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RepTemplates\timeseries\docs\data\"/>
    </mc:Choice>
  </mc:AlternateContent>
  <xr:revisionPtr revIDLastSave="0" documentId="8_{8162562F-AE13-45FE-B54F-C79A19999B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3" r:id="rId1"/>
    <sheet name="All Chart" sheetId="1" r:id="rId2"/>
    <sheet name="Recent Char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C4" i="3"/>
  <c r="D5585" i="3"/>
  <c r="C5585" i="3"/>
  <c r="D5584" i="3"/>
  <c r="C5584" i="3" s="1"/>
  <c r="D5583" i="3"/>
  <c r="C5583" i="3"/>
  <c r="D5582" i="3"/>
  <c r="C5582" i="3"/>
  <c r="D5581" i="3"/>
  <c r="C5581" i="3"/>
  <c r="D5580" i="3"/>
  <c r="C5580" i="3" s="1"/>
  <c r="D5579" i="3"/>
  <c r="C5579" i="3"/>
  <c r="D5578" i="3"/>
  <c r="C5578" i="3" s="1"/>
  <c r="D5577" i="3"/>
  <c r="C5577" i="3"/>
  <c r="D5576" i="3"/>
  <c r="C5576" i="3" s="1"/>
  <c r="D5575" i="3"/>
  <c r="C5575" i="3"/>
  <c r="D5574" i="3"/>
  <c r="C5574" i="3"/>
  <c r="D5573" i="3"/>
  <c r="C5573" i="3"/>
  <c r="D5572" i="3"/>
  <c r="C5572" i="3" s="1"/>
  <c r="D5571" i="3"/>
  <c r="C5571" i="3"/>
  <c r="D5570" i="3"/>
  <c r="C5570" i="3" s="1"/>
  <c r="D5569" i="3"/>
  <c r="C5569" i="3"/>
  <c r="D5568" i="3"/>
  <c r="C5568" i="3" s="1"/>
  <c r="D5567" i="3"/>
  <c r="C5567" i="3"/>
  <c r="D5566" i="3"/>
  <c r="C5566" i="3"/>
  <c r="D5565" i="3"/>
  <c r="C5565" i="3"/>
  <c r="D5564" i="3"/>
  <c r="C5564" i="3" s="1"/>
  <c r="D5563" i="3"/>
  <c r="C5563" i="3"/>
  <c r="D5562" i="3"/>
  <c r="C5562" i="3" s="1"/>
  <c r="D5561" i="3"/>
  <c r="C5561" i="3"/>
  <c r="D5560" i="3"/>
  <c r="C5560" i="3" s="1"/>
  <c r="D5559" i="3"/>
  <c r="C5559" i="3"/>
  <c r="D5558" i="3"/>
  <c r="C5558" i="3"/>
  <c r="D5557" i="3"/>
  <c r="C5557" i="3"/>
  <c r="D5556" i="3"/>
  <c r="C5556" i="3" s="1"/>
  <c r="D5555" i="3"/>
  <c r="C5555" i="3"/>
  <c r="D5554" i="3"/>
  <c r="C5554" i="3" s="1"/>
  <c r="D5553" i="3"/>
  <c r="C5553" i="3"/>
  <c r="D5552" i="3"/>
  <c r="C5552" i="3" s="1"/>
  <c r="D5551" i="3"/>
  <c r="C5551" i="3"/>
  <c r="D5550" i="3"/>
  <c r="C5550" i="3"/>
  <c r="D5549" i="3"/>
  <c r="C5549" i="3"/>
  <c r="D5548" i="3"/>
  <c r="C5548" i="3" s="1"/>
  <c r="D5547" i="3"/>
  <c r="C5547" i="3"/>
  <c r="D5546" i="3"/>
  <c r="C5546" i="3" s="1"/>
  <c r="D5545" i="3"/>
  <c r="C5545" i="3"/>
  <c r="D5544" i="3"/>
  <c r="C5544" i="3" s="1"/>
  <c r="D5543" i="3"/>
  <c r="C5543" i="3"/>
  <c r="D5542" i="3"/>
  <c r="C5542" i="3"/>
  <c r="D5541" i="3"/>
  <c r="C5541" i="3"/>
  <c r="D5540" i="3"/>
  <c r="C5540" i="3" s="1"/>
  <c r="D5539" i="3"/>
  <c r="C5539" i="3"/>
  <c r="D5538" i="3"/>
  <c r="C5538" i="3" s="1"/>
  <c r="D5537" i="3"/>
  <c r="C5537" i="3"/>
  <c r="D5536" i="3"/>
  <c r="C5536" i="3" s="1"/>
  <c r="D5535" i="3"/>
  <c r="C5535" i="3"/>
  <c r="D5534" i="3"/>
  <c r="C5534" i="3"/>
  <c r="D5533" i="3"/>
  <c r="C5533" i="3"/>
  <c r="D5532" i="3"/>
  <c r="C5532" i="3" s="1"/>
  <c r="D5531" i="3"/>
  <c r="C5531" i="3"/>
  <c r="D5530" i="3"/>
  <c r="C5530" i="3" s="1"/>
  <c r="D5529" i="3"/>
  <c r="C5529" i="3"/>
  <c r="D5528" i="3"/>
  <c r="C5528" i="3" s="1"/>
  <c r="D5527" i="3"/>
  <c r="C5527" i="3"/>
  <c r="D5526" i="3"/>
  <c r="C5526" i="3"/>
  <c r="D5525" i="3"/>
  <c r="C5525" i="3"/>
  <c r="D5524" i="3"/>
  <c r="C5524" i="3" s="1"/>
  <c r="D5523" i="3"/>
  <c r="C5523" i="3"/>
  <c r="D5522" i="3"/>
  <c r="C5522" i="3" s="1"/>
  <c r="D5521" i="3"/>
  <c r="C5521" i="3"/>
  <c r="D5520" i="3"/>
  <c r="C5520" i="3" s="1"/>
  <c r="D5519" i="3"/>
  <c r="C5519" i="3"/>
  <c r="D5518" i="3"/>
  <c r="C5518" i="3"/>
  <c r="D5517" i="3"/>
  <c r="C5517" i="3"/>
  <c r="D5516" i="3"/>
  <c r="C5516" i="3" s="1"/>
  <c r="D5515" i="3"/>
  <c r="C5515" i="3"/>
  <c r="D5514" i="3"/>
  <c r="C5514" i="3" s="1"/>
  <c r="D5513" i="3"/>
  <c r="C5513" i="3"/>
  <c r="D5512" i="3"/>
  <c r="C5512" i="3" s="1"/>
  <c r="D5511" i="3"/>
  <c r="C5511" i="3"/>
  <c r="D5510" i="3"/>
  <c r="C5510" i="3"/>
  <c r="D5509" i="3"/>
  <c r="C5509" i="3"/>
  <c r="D5508" i="3"/>
  <c r="C5508" i="3" s="1"/>
  <c r="D5507" i="3"/>
  <c r="C5507" i="3"/>
  <c r="D5506" i="3"/>
  <c r="C5506" i="3" s="1"/>
  <c r="D5505" i="3"/>
  <c r="C5505" i="3"/>
  <c r="D5504" i="3"/>
  <c r="C5504" i="3" s="1"/>
  <c r="D5503" i="3"/>
  <c r="C5503" i="3"/>
  <c r="D5502" i="3"/>
  <c r="C5502" i="3"/>
  <c r="D5501" i="3"/>
  <c r="C5501" i="3"/>
  <c r="D5500" i="3"/>
  <c r="C5500" i="3" s="1"/>
  <c r="D5499" i="3"/>
  <c r="C5499" i="3"/>
  <c r="D5498" i="3"/>
  <c r="C5498" i="3" s="1"/>
  <c r="D5497" i="3"/>
  <c r="C5497" i="3"/>
  <c r="D5496" i="3"/>
  <c r="C5496" i="3" s="1"/>
  <c r="D5495" i="3"/>
  <c r="C5495" i="3"/>
  <c r="D5494" i="3"/>
  <c r="C5494" i="3"/>
  <c r="D5493" i="3"/>
  <c r="C5493" i="3"/>
  <c r="D5492" i="3"/>
  <c r="C5492" i="3" s="1"/>
  <c r="D5491" i="3"/>
  <c r="C5491" i="3"/>
  <c r="D5490" i="3"/>
  <c r="C5490" i="3" s="1"/>
  <c r="D5489" i="3"/>
  <c r="C5489" i="3" s="1"/>
  <c r="D5488" i="3"/>
  <c r="C5488" i="3" s="1"/>
  <c r="D5487" i="3"/>
  <c r="C5487" i="3"/>
  <c r="D5486" i="3"/>
  <c r="C5486" i="3"/>
  <c r="D5485" i="3"/>
  <c r="C5485" i="3"/>
  <c r="D5484" i="3"/>
  <c r="C5484" i="3"/>
  <c r="D5483" i="3"/>
  <c r="C5483" i="3"/>
  <c r="D5482" i="3"/>
  <c r="C5482" i="3" s="1"/>
  <c r="D5481" i="3"/>
  <c r="C5481" i="3" s="1"/>
  <c r="D5480" i="3"/>
  <c r="C5480" i="3" s="1"/>
  <c r="D5479" i="3"/>
  <c r="C5479" i="3"/>
  <c r="D5478" i="3"/>
  <c r="C5478" i="3"/>
  <c r="D5477" i="3"/>
  <c r="C5477" i="3"/>
  <c r="D5476" i="3"/>
  <c r="C5476" i="3"/>
  <c r="D5475" i="3"/>
  <c r="C5475" i="3" s="1"/>
  <c r="D5474" i="3"/>
  <c r="C5474" i="3"/>
  <c r="D5473" i="3"/>
  <c r="C5473" i="3"/>
  <c r="D5472" i="3"/>
  <c r="C5472" i="3"/>
  <c r="D5471" i="3"/>
  <c r="C5471" i="3" s="1"/>
  <c r="D5470" i="3"/>
  <c r="C5470" i="3"/>
  <c r="D5469" i="3"/>
  <c r="C5469" i="3"/>
  <c r="D5468" i="3"/>
  <c r="C5468" i="3"/>
  <c r="D5467" i="3"/>
  <c r="C5467" i="3" s="1"/>
  <c r="D5466" i="3"/>
  <c r="C5466" i="3"/>
  <c r="D5465" i="3"/>
  <c r="C5465" i="3"/>
  <c r="D5464" i="3"/>
  <c r="C5464" i="3"/>
  <c r="D5463" i="3"/>
  <c r="C5463" i="3" s="1"/>
  <c r="D5462" i="3"/>
  <c r="C5462" i="3"/>
  <c r="D5461" i="3"/>
  <c r="C5461" i="3"/>
  <c r="D5460" i="3"/>
  <c r="C5460" i="3"/>
  <c r="D5459" i="3"/>
  <c r="C5459" i="3" s="1"/>
  <c r="D5458" i="3"/>
  <c r="C5458" i="3"/>
  <c r="D5457" i="3"/>
  <c r="C5457" i="3"/>
  <c r="D5456" i="3"/>
  <c r="C5456" i="3"/>
  <c r="D5455" i="3"/>
  <c r="C5455" i="3" s="1"/>
  <c r="D5454" i="3"/>
  <c r="C5454" i="3"/>
  <c r="D5453" i="3"/>
  <c r="C5453" i="3"/>
  <c r="D5452" i="3"/>
  <c r="C5452" i="3"/>
  <c r="D5451" i="3"/>
  <c r="C5451" i="3" s="1"/>
  <c r="D5450" i="3"/>
  <c r="C5450" i="3"/>
  <c r="D5449" i="3"/>
  <c r="C5449" i="3"/>
  <c r="D5448" i="3"/>
  <c r="C5448" i="3"/>
  <c r="D5447" i="3"/>
  <c r="C5447" i="3" s="1"/>
  <c r="D5446" i="3"/>
  <c r="C5446" i="3"/>
  <c r="D5445" i="3"/>
  <c r="C5445" i="3"/>
  <c r="D5444" i="3"/>
  <c r="C5444" i="3"/>
  <c r="D5443" i="3"/>
  <c r="C5443" i="3" s="1"/>
  <c r="D5442" i="3"/>
  <c r="C5442" i="3"/>
  <c r="D5441" i="3"/>
  <c r="C5441" i="3"/>
  <c r="D5440" i="3"/>
  <c r="C5440" i="3"/>
  <c r="D5439" i="3"/>
  <c r="C5439" i="3" s="1"/>
  <c r="D5438" i="3"/>
  <c r="C5438" i="3"/>
  <c r="D5437" i="3"/>
  <c r="C5437" i="3"/>
  <c r="D5436" i="3"/>
  <c r="C5436" i="3"/>
  <c r="D5435" i="3"/>
  <c r="C5435" i="3" s="1"/>
  <c r="D5434" i="3"/>
  <c r="C5434" i="3"/>
  <c r="D5433" i="3"/>
  <c r="C5433" i="3"/>
  <c r="D5432" i="3"/>
  <c r="C5432" i="3"/>
  <c r="D5431" i="3"/>
  <c r="C5431" i="3" s="1"/>
  <c r="D5430" i="3"/>
  <c r="C5430" i="3"/>
  <c r="D5429" i="3"/>
  <c r="C5429" i="3"/>
  <c r="D5428" i="3"/>
  <c r="C5428" i="3"/>
  <c r="D5427" i="3"/>
  <c r="C5427" i="3" s="1"/>
  <c r="D5426" i="3"/>
  <c r="C5426" i="3"/>
  <c r="D5425" i="3"/>
  <c r="C5425" i="3"/>
  <c r="D5424" i="3"/>
  <c r="C5424" i="3"/>
  <c r="D5423" i="3"/>
  <c r="C5423" i="3" s="1"/>
  <c r="D5422" i="3"/>
  <c r="C5422" i="3"/>
  <c r="D5421" i="3"/>
  <c r="C5421" i="3"/>
  <c r="D5420" i="3"/>
  <c r="C5420" i="3"/>
  <c r="D5419" i="3"/>
  <c r="C5419" i="3" s="1"/>
  <c r="D5418" i="3"/>
  <c r="C5418" i="3"/>
  <c r="D5417" i="3"/>
  <c r="C5417" i="3"/>
  <c r="D5416" i="3"/>
  <c r="C5416" i="3"/>
  <c r="D5415" i="3"/>
  <c r="C5415" i="3" s="1"/>
  <c r="D5414" i="3"/>
  <c r="C5414" i="3"/>
  <c r="D5413" i="3"/>
  <c r="C5413" i="3"/>
  <c r="D5412" i="3"/>
  <c r="C5412" i="3"/>
  <c r="D5411" i="3"/>
  <c r="C5411" i="3" s="1"/>
  <c r="D5410" i="3"/>
  <c r="C5410" i="3"/>
  <c r="D5409" i="3"/>
  <c r="C5409" i="3"/>
  <c r="D5408" i="3"/>
  <c r="C5408" i="3"/>
  <c r="D5407" i="3"/>
  <c r="C5407" i="3" s="1"/>
  <c r="D5406" i="3"/>
  <c r="C5406" i="3"/>
  <c r="D5405" i="3"/>
  <c r="C5405" i="3"/>
  <c r="D5404" i="3"/>
  <c r="C5404" i="3"/>
  <c r="D5403" i="3"/>
  <c r="C5403" i="3" s="1"/>
  <c r="D5402" i="3"/>
  <c r="C5402" i="3"/>
  <c r="D5401" i="3"/>
  <c r="C5401" i="3"/>
  <c r="D5400" i="3"/>
  <c r="C5400" i="3"/>
  <c r="D5399" i="3"/>
  <c r="C5399" i="3" s="1"/>
  <c r="D5398" i="3"/>
  <c r="C5398" i="3"/>
  <c r="D5397" i="3"/>
  <c r="C5397" i="3"/>
  <c r="D5396" i="3"/>
  <c r="C5396" i="3"/>
  <c r="D5395" i="3"/>
  <c r="C5395" i="3" s="1"/>
  <c r="D5394" i="3"/>
  <c r="C5394" i="3"/>
  <c r="D5393" i="3"/>
  <c r="C5393" i="3"/>
  <c r="D5392" i="3"/>
  <c r="C5392" i="3"/>
  <c r="D5391" i="3"/>
  <c r="C5391" i="3" s="1"/>
  <c r="D5390" i="3"/>
  <c r="C5390" i="3"/>
  <c r="D5389" i="3"/>
  <c r="C5389" i="3"/>
  <c r="D5388" i="3"/>
  <c r="C5388" i="3"/>
  <c r="D5387" i="3"/>
  <c r="C5387" i="3" s="1"/>
  <c r="D5386" i="3"/>
  <c r="C5386" i="3"/>
  <c r="D5385" i="3"/>
  <c r="C5385" i="3"/>
  <c r="D5384" i="3"/>
  <c r="C5384" i="3"/>
  <c r="D5383" i="3"/>
  <c r="C5383" i="3" s="1"/>
  <c r="D5382" i="3"/>
  <c r="C5382" i="3"/>
  <c r="D5381" i="3"/>
  <c r="C5381" i="3"/>
  <c r="D5380" i="3"/>
  <c r="C5380" i="3"/>
  <c r="D5379" i="3"/>
  <c r="C5379" i="3" s="1"/>
  <c r="D5378" i="3"/>
  <c r="C5378" i="3"/>
  <c r="D5377" i="3"/>
  <c r="C5377" i="3"/>
  <c r="D5376" i="3"/>
  <c r="C5376" i="3"/>
  <c r="D5375" i="3"/>
  <c r="C5375" i="3" s="1"/>
  <c r="D5374" i="3"/>
  <c r="C5374" i="3"/>
  <c r="D5373" i="3"/>
  <c r="C5373" i="3"/>
  <c r="D5372" i="3"/>
  <c r="C5372" i="3"/>
  <c r="D5371" i="3"/>
  <c r="C5371" i="3" s="1"/>
  <c r="D5370" i="3"/>
  <c r="C5370" i="3"/>
  <c r="D5369" i="3"/>
  <c r="C5369" i="3"/>
  <c r="D5368" i="3"/>
  <c r="C5368" i="3"/>
  <c r="D5367" i="3"/>
  <c r="C5367" i="3" s="1"/>
  <c r="D5366" i="3"/>
  <c r="C5366" i="3"/>
  <c r="D5365" i="3"/>
  <c r="C5365" i="3"/>
  <c r="D5364" i="3"/>
  <c r="C5364" i="3"/>
  <c r="D5363" i="3"/>
  <c r="C5363" i="3" s="1"/>
  <c r="D5362" i="3"/>
  <c r="C5362" i="3"/>
  <c r="D5361" i="3"/>
  <c r="C5361" i="3"/>
  <c r="D5360" i="3"/>
  <c r="C5360" i="3"/>
  <c r="D5359" i="3"/>
  <c r="C5359" i="3" s="1"/>
  <c r="D5358" i="3"/>
  <c r="C5358" i="3"/>
  <c r="D5357" i="3"/>
  <c r="C5357" i="3"/>
  <c r="D5356" i="3"/>
  <c r="C5356" i="3"/>
  <c r="D5355" i="3"/>
  <c r="C5355" i="3" s="1"/>
  <c r="D5354" i="3"/>
  <c r="C5354" i="3"/>
  <c r="D5353" i="3"/>
  <c r="C5353" i="3"/>
  <c r="D5352" i="3"/>
  <c r="C5352" i="3"/>
  <c r="D5351" i="3"/>
  <c r="C5351" i="3" s="1"/>
  <c r="D5350" i="3"/>
  <c r="C5350" i="3"/>
  <c r="D5349" i="3"/>
  <c r="C5349" i="3"/>
  <c r="D5348" i="3"/>
  <c r="C5348" i="3"/>
  <c r="D5347" i="3"/>
  <c r="C5347" i="3" s="1"/>
  <c r="D5346" i="3"/>
  <c r="C5346" i="3"/>
  <c r="D5345" i="3"/>
  <c r="C5345" i="3"/>
  <c r="D5344" i="3"/>
  <c r="C5344" i="3"/>
  <c r="D5343" i="3"/>
  <c r="C5343" i="3" s="1"/>
  <c r="D5342" i="3"/>
  <c r="C5342" i="3"/>
  <c r="D5341" i="3"/>
  <c r="C5341" i="3"/>
  <c r="D5340" i="3"/>
  <c r="C5340" i="3"/>
  <c r="D5339" i="3"/>
  <c r="C5339" i="3" s="1"/>
  <c r="D5338" i="3"/>
  <c r="C5338" i="3"/>
  <c r="D5337" i="3"/>
  <c r="C5337" i="3"/>
  <c r="D5336" i="3"/>
  <c r="C5336" i="3"/>
  <c r="D5335" i="3"/>
  <c r="C5335" i="3" s="1"/>
  <c r="D5334" i="3"/>
  <c r="C5334" i="3"/>
  <c r="D5333" i="3"/>
  <c r="C5333" i="3"/>
  <c r="D5332" i="3"/>
  <c r="C5332" i="3"/>
  <c r="D5331" i="3"/>
  <c r="C5331" i="3" s="1"/>
  <c r="D5330" i="3"/>
  <c r="C5330" i="3"/>
  <c r="D5329" i="3"/>
  <c r="C5329" i="3"/>
  <c r="D5328" i="3"/>
  <c r="C5328" i="3"/>
  <c r="D5327" i="3"/>
  <c r="C5327" i="3" s="1"/>
  <c r="D5326" i="3"/>
  <c r="C5326" i="3"/>
  <c r="D5325" i="3"/>
  <c r="C5325" i="3"/>
  <c r="D5324" i="3"/>
  <c r="C5324" i="3"/>
  <c r="D5323" i="3"/>
  <c r="C5323" i="3" s="1"/>
  <c r="D5322" i="3"/>
  <c r="C5322" i="3"/>
  <c r="D5321" i="3"/>
  <c r="C5321" i="3"/>
  <c r="D5320" i="3"/>
  <c r="C5320" i="3"/>
  <c r="D5319" i="3"/>
  <c r="C5319" i="3" s="1"/>
  <c r="D5318" i="3"/>
  <c r="C5318" i="3"/>
  <c r="D5317" i="3"/>
  <c r="C5317" i="3"/>
  <c r="D5316" i="3"/>
  <c r="C5316" i="3"/>
  <c r="D5315" i="3"/>
  <c r="C5315" i="3" s="1"/>
  <c r="D5314" i="3"/>
  <c r="C5314" i="3"/>
  <c r="D5313" i="3"/>
  <c r="C5313" i="3"/>
  <c r="D5312" i="3"/>
  <c r="C5312" i="3"/>
  <c r="D5311" i="3"/>
  <c r="C5311" i="3" s="1"/>
  <c r="D5310" i="3"/>
  <c r="C5310" i="3"/>
  <c r="D5309" i="3"/>
  <c r="C5309" i="3"/>
  <c r="D5308" i="3"/>
  <c r="C5308" i="3"/>
  <c r="D5307" i="3"/>
  <c r="C5307" i="3" s="1"/>
  <c r="D5306" i="3"/>
  <c r="C5306" i="3"/>
  <c r="D5305" i="3"/>
  <c r="C5305" i="3"/>
  <c r="D5304" i="3"/>
  <c r="C5304" i="3"/>
  <c r="D5303" i="3"/>
  <c r="C5303" i="3" s="1"/>
  <c r="D5302" i="3"/>
  <c r="C5302" i="3"/>
  <c r="D5301" i="3"/>
  <c r="C5301" i="3"/>
  <c r="D5300" i="3"/>
  <c r="C5300" i="3"/>
  <c r="D5299" i="3"/>
  <c r="C5299" i="3" s="1"/>
  <c r="D5298" i="3"/>
  <c r="C5298" i="3"/>
  <c r="D5297" i="3"/>
  <c r="C5297" i="3"/>
  <c r="D5296" i="3"/>
  <c r="C5296" i="3"/>
  <c r="D5295" i="3"/>
  <c r="C5295" i="3" s="1"/>
  <c r="D5294" i="3"/>
  <c r="C5294" i="3"/>
  <c r="D5293" i="3"/>
  <c r="C5293" i="3"/>
  <c r="D5292" i="3"/>
  <c r="C5292" i="3"/>
  <c r="D5291" i="3"/>
  <c r="C5291" i="3" s="1"/>
  <c r="D5290" i="3"/>
  <c r="C5290" i="3"/>
  <c r="D5289" i="3"/>
  <c r="C5289" i="3"/>
  <c r="D5288" i="3"/>
  <c r="C5288" i="3"/>
  <c r="D5287" i="3"/>
  <c r="C5287" i="3" s="1"/>
  <c r="D5286" i="3"/>
  <c r="C5286" i="3"/>
  <c r="D5285" i="3"/>
  <c r="C5285" i="3"/>
  <c r="D5284" i="3"/>
  <c r="C5284" i="3"/>
  <c r="D5283" i="3"/>
  <c r="C5283" i="3" s="1"/>
  <c r="D5282" i="3"/>
  <c r="C5282" i="3"/>
  <c r="D5281" i="3"/>
  <c r="C5281" i="3"/>
  <c r="D5280" i="3"/>
  <c r="C5280" i="3"/>
  <c r="D5279" i="3"/>
  <c r="C5279" i="3" s="1"/>
  <c r="D5278" i="3"/>
  <c r="C5278" i="3"/>
  <c r="D5277" i="3"/>
  <c r="C5277" i="3"/>
  <c r="D5276" i="3"/>
  <c r="C5276" i="3"/>
  <c r="D5275" i="3"/>
  <c r="C5275" i="3" s="1"/>
  <c r="D5274" i="3"/>
  <c r="C5274" i="3" s="1"/>
  <c r="D5273" i="3"/>
  <c r="C5273" i="3" s="1"/>
  <c r="D5272" i="3"/>
  <c r="C5272" i="3" s="1"/>
  <c r="D5271" i="3"/>
  <c r="C5271" i="3" s="1"/>
  <c r="D5270" i="3"/>
  <c r="C5270" i="3"/>
  <c r="D5269" i="3"/>
  <c r="C5269" i="3"/>
  <c r="D5268" i="3"/>
  <c r="C5268" i="3"/>
  <c r="D5267" i="3"/>
  <c r="C5267" i="3" s="1"/>
  <c r="D5266" i="3"/>
  <c r="C5266" i="3"/>
  <c r="D5265" i="3"/>
  <c r="C5265" i="3" s="1"/>
  <c r="D5264" i="3"/>
  <c r="C5264" i="3" s="1"/>
  <c r="D5263" i="3"/>
  <c r="C5263" i="3" s="1"/>
  <c r="D5262" i="3"/>
  <c r="C5262" i="3"/>
  <c r="D5261" i="3"/>
  <c r="C5261" i="3" s="1"/>
  <c r="D5260" i="3"/>
  <c r="C5260" i="3" s="1"/>
  <c r="D5259" i="3"/>
  <c r="C5259" i="3" s="1"/>
  <c r="D5258" i="3"/>
  <c r="C5258" i="3"/>
  <c r="D5257" i="3"/>
  <c r="C5257" i="3" s="1"/>
  <c r="D5256" i="3"/>
  <c r="C5256" i="3" s="1"/>
  <c r="D5255" i="3"/>
  <c r="C5255" i="3" s="1"/>
  <c r="D5254" i="3"/>
  <c r="C5254" i="3"/>
  <c r="D5253" i="3"/>
  <c r="C5253" i="3" s="1"/>
  <c r="D5252" i="3"/>
  <c r="C5252" i="3" s="1"/>
  <c r="D5251" i="3"/>
  <c r="C5251" i="3" s="1"/>
  <c r="D5250" i="3"/>
  <c r="C5250" i="3"/>
  <c r="D5249" i="3"/>
  <c r="C5249" i="3" s="1"/>
  <c r="D5248" i="3"/>
  <c r="C5248" i="3" s="1"/>
  <c r="D5247" i="3"/>
  <c r="C5247" i="3" s="1"/>
  <c r="D5246" i="3"/>
  <c r="C5246" i="3"/>
  <c r="D5245" i="3"/>
  <c r="C5245" i="3" s="1"/>
  <c r="D5244" i="3"/>
  <c r="C5244" i="3" s="1"/>
  <c r="D5243" i="3"/>
  <c r="C5243" i="3" s="1"/>
  <c r="D5242" i="3"/>
  <c r="C5242" i="3"/>
  <c r="D5241" i="3"/>
  <c r="C5241" i="3" s="1"/>
  <c r="D5240" i="3"/>
  <c r="C5240" i="3" s="1"/>
  <c r="D5239" i="3"/>
  <c r="C5239" i="3" s="1"/>
  <c r="D5238" i="3"/>
  <c r="C5238" i="3"/>
  <c r="D5237" i="3"/>
  <c r="C5237" i="3" s="1"/>
  <c r="D5236" i="3"/>
  <c r="C5236" i="3" s="1"/>
  <c r="D5235" i="3"/>
  <c r="C5235" i="3" s="1"/>
  <c r="D5234" i="3"/>
  <c r="C5234" i="3"/>
  <c r="D5233" i="3"/>
  <c r="C5233" i="3" s="1"/>
  <c r="D5232" i="3"/>
  <c r="C5232" i="3" s="1"/>
  <c r="D5231" i="3"/>
  <c r="C5231" i="3" s="1"/>
  <c r="D5230" i="3"/>
  <c r="C5230" i="3"/>
  <c r="D5229" i="3"/>
  <c r="C5229" i="3" s="1"/>
  <c r="D5228" i="3"/>
  <c r="C5228" i="3" s="1"/>
  <c r="D5227" i="3"/>
  <c r="C5227" i="3" s="1"/>
  <c r="D5226" i="3"/>
  <c r="C5226" i="3"/>
  <c r="D5225" i="3"/>
  <c r="C5225" i="3" s="1"/>
  <c r="D5224" i="3"/>
  <c r="C5224" i="3" s="1"/>
  <c r="D5223" i="3"/>
  <c r="C5223" i="3" s="1"/>
  <c r="D5222" i="3"/>
  <c r="C5222" i="3"/>
  <c r="D5221" i="3"/>
  <c r="C5221" i="3" s="1"/>
  <c r="D5220" i="3"/>
  <c r="C5220" i="3" s="1"/>
  <c r="D5219" i="3"/>
  <c r="C5219" i="3" s="1"/>
  <c r="D5218" i="3"/>
  <c r="C5218" i="3"/>
  <c r="D5217" i="3"/>
  <c r="C5217" i="3" s="1"/>
  <c r="F5216" i="3"/>
  <c r="D5216" i="3"/>
  <c r="C5216" i="3"/>
  <c r="H5215" i="3"/>
  <c r="G5215" i="3"/>
  <c r="F5215" i="3"/>
  <c r="D5215" i="3"/>
  <c r="C5215" i="3" s="1"/>
  <c r="H5214" i="3"/>
  <c r="G5214" i="3"/>
  <c r="F5214" i="3"/>
  <c r="D5214" i="3"/>
  <c r="C5214" i="3" s="1"/>
  <c r="H5213" i="3"/>
  <c r="G5213" i="3"/>
  <c r="F5213" i="3"/>
  <c r="D5213" i="3"/>
  <c r="C5213" i="3" s="1"/>
  <c r="H5212" i="3"/>
  <c r="G5212" i="3"/>
  <c r="F5212" i="3"/>
  <c r="D5212" i="3"/>
  <c r="C5212" i="3" s="1"/>
  <c r="H5211" i="3"/>
  <c r="G5211" i="3"/>
  <c r="F5211" i="3"/>
  <c r="D5211" i="3"/>
  <c r="C5211" i="3"/>
  <c r="H5210" i="3"/>
  <c r="G5210" i="3"/>
  <c r="F5210" i="3"/>
  <c r="D5210" i="3"/>
  <c r="C5210" i="3"/>
  <c r="H5209" i="3"/>
  <c r="G5209" i="3"/>
  <c r="F5209" i="3"/>
  <c r="D5209" i="3"/>
  <c r="C5209" i="3" s="1"/>
  <c r="H5208" i="3"/>
  <c r="G5208" i="3"/>
  <c r="F5208" i="3"/>
  <c r="D5208" i="3"/>
  <c r="C5208" i="3"/>
  <c r="H5207" i="3"/>
  <c r="G5207" i="3"/>
  <c r="F5207" i="3"/>
  <c r="D5207" i="3"/>
  <c r="C5207" i="3" s="1"/>
  <c r="H5206" i="3"/>
  <c r="G5206" i="3"/>
  <c r="F5206" i="3"/>
  <c r="D5206" i="3"/>
  <c r="C5206" i="3" s="1"/>
  <c r="H5205" i="3"/>
  <c r="G5205" i="3"/>
  <c r="F5205" i="3"/>
  <c r="D5205" i="3"/>
  <c r="C5205" i="3" s="1"/>
  <c r="H5204" i="3"/>
  <c r="G5204" i="3"/>
  <c r="F5204" i="3"/>
  <c r="D5204" i="3"/>
  <c r="C5204" i="3" s="1"/>
  <c r="H5203" i="3"/>
  <c r="G5203" i="3"/>
  <c r="F5203" i="3"/>
  <c r="D5203" i="3"/>
  <c r="C5203" i="3" s="1"/>
  <c r="H5202" i="3"/>
  <c r="G5202" i="3"/>
  <c r="F5202" i="3"/>
  <c r="D5202" i="3"/>
  <c r="C5202" i="3"/>
  <c r="H5201" i="3"/>
  <c r="G5201" i="3"/>
  <c r="F5201" i="3"/>
  <c r="D5201" i="3"/>
  <c r="C5201" i="3" s="1"/>
  <c r="H5200" i="3"/>
  <c r="G5200" i="3"/>
  <c r="F5200" i="3"/>
  <c r="D5200" i="3"/>
  <c r="C5200" i="3"/>
  <c r="H5199" i="3"/>
  <c r="G5199" i="3"/>
  <c r="F5199" i="3"/>
  <c r="D5199" i="3"/>
  <c r="C5199" i="3"/>
  <c r="H5198" i="3"/>
  <c r="G5198" i="3"/>
  <c r="F5198" i="3"/>
  <c r="D5198" i="3"/>
  <c r="C5198" i="3" s="1"/>
  <c r="H5197" i="3"/>
  <c r="G5197" i="3"/>
  <c r="F5197" i="3"/>
  <c r="D5197" i="3"/>
  <c r="C5197" i="3"/>
  <c r="H5196" i="3"/>
  <c r="G5196" i="3"/>
  <c r="F5196" i="3"/>
  <c r="D5196" i="3"/>
  <c r="C5196" i="3" s="1"/>
  <c r="H5195" i="3"/>
  <c r="G5195" i="3"/>
  <c r="F5195" i="3"/>
  <c r="D5195" i="3"/>
  <c r="C5195" i="3"/>
  <c r="H5194" i="3"/>
  <c r="G5194" i="3"/>
  <c r="F5194" i="3"/>
  <c r="D5194" i="3"/>
  <c r="C5194" i="3"/>
  <c r="H5193" i="3"/>
  <c r="G5193" i="3"/>
  <c r="F5193" i="3"/>
  <c r="D5193" i="3"/>
  <c r="C5193" i="3" s="1"/>
  <c r="H5192" i="3"/>
  <c r="G5192" i="3"/>
  <c r="F5192" i="3"/>
  <c r="D5192" i="3"/>
  <c r="C5192" i="3"/>
  <c r="H5191" i="3"/>
  <c r="G5191" i="3"/>
  <c r="F5191" i="3"/>
  <c r="D5191" i="3"/>
  <c r="C5191" i="3"/>
  <c r="H5190" i="3"/>
  <c r="G5190" i="3"/>
  <c r="F5190" i="3"/>
  <c r="D5190" i="3"/>
  <c r="C5190" i="3" s="1"/>
  <c r="H5189" i="3"/>
  <c r="G5189" i="3"/>
  <c r="F5189" i="3"/>
  <c r="D5189" i="3"/>
  <c r="C5189" i="3"/>
  <c r="H5188" i="3"/>
  <c r="G5188" i="3"/>
  <c r="F5188" i="3"/>
  <c r="D5188" i="3"/>
  <c r="C5188" i="3" s="1"/>
  <c r="H5187" i="3"/>
  <c r="G5187" i="3"/>
  <c r="F5187" i="3"/>
  <c r="D5187" i="3"/>
  <c r="C5187" i="3" s="1"/>
  <c r="H5186" i="3"/>
  <c r="G5186" i="3"/>
  <c r="F5186" i="3"/>
  <c r="D5186" i="3"/>
  <c r="C5186" i="3"/>
  <c r="H5185" i="3"/>
  <c r="G5185" i="3"/>
  <c r="F5185" i="3"/>
  <c r="D5185" i="3"/>
  <c r="C5185" i="3" s="1"/>
  <c r="H5184" i="3"/>
  <c r="G5184" i="3"/>
  <c r="F5184" i="3"/>
  <c r="D5184" i="3"/>
  <c r="C5184" i="3"/>
  <c r="H5183" i="3"/>
  <c r="G5183" i="3"/>
  <c r="F5183" i="3"/>
  <c r="D5183" i="3"/>
  <c r="C5183" i="3"/>
  <c r="H5182" i="3"/>
  <c r="G5182" i="3"/>
  <c r="F5182" i="3"/>
  <c r="D5182" i="3"/>
  <c r="C5182" i="3" s="1"/>
  <c r="H5181" i="3"/>
  <c r="G5181" i="3"/>
  <c r="F5181" i="3"/>
  <c r="D5181" i="3"/>
  <c r="C5181" i="3"/>
  <c r="H5180" i="3"/>
  <c r="G5180" i="3"/>
  <c r="F5180" i="3"/>
  <c r="D5180" i="3"/>
  <c r="C5180" i="3" s="1"/>
  <c r="H5179" i="3"/>
  <c r="G5179" i="3"/>
  <c r="F5179" i="3"/>
  <c r="D5179" i="3"/>
  <c r="C5179" i="3"/>
  <c r="H5178" i="3"/>
  <c r="G5178" i="3"/>
  <c r="F5178" i="3"/>
  <c r="D5178" i="3"/>
  <c r="C5178" i="3"/>
  <c r="H5177" i="3"/>
  <c r="G5177" i="3"/>
  <c r="F5177" i="3"/>
  <c r="D5177" i="3"/>
  <c r="C5177" i="3" s="1"/>
  <c r="H5176" i="3"/>
  <c r="G5176" i="3"/>
  <c r="F5176" i="3"/>
  <c r="D5176" i="3"/>
  <c r="C5176" i="3"/>
  <c r="H5175" i="3"/>
  <c r="G5175" i="3"/>
  <c r="F5175" i="3"/>
  <c r="D5175" i="3"/>
  <c r="C5175" i="3"/>
  <c r="H5174" i="3"/>
  <c r="G5174" i="3"/>
  <c r="F5174" i="3"/>
  <c r="D5174" i="3"/>
  <c r="C5174" i="3" s="1"/>
  <c r="H5173" i="3"/>
  <c r="G5173" i="3"/>
  <c r="F5173" i="3"/>
  <c r="D5173" i="3"/>
  <c r="C5173" i="3"/>
  <c r="H5172" i="3"/>
  <c r="G5172" i="3"/>
  <c r="F5172" i="3"/>
  <c r="D5172" i="3"/>
  <c r="C5172" i="3" s="1"/>
  <c r="H5171" i="3"/>
  <c r="G5171" i="3"/>
  <c r="F5171" i="3"/>
  <c r="D5171" i="3"/>
  <c r="C5171" i="3"/>
  <c r="H5170" i="3"/>
  <c r="G5170" i="3"/>
  <c r="F5170" i="3"/>
  <c r="D5170" i="3"/>
  <c r="C5170" i="3"/>
  <c r="H5169" i="3"/>
  <c r="G5169" i="3"/>
  <c r="F5169" i="3"/>
  <c r="D5169" i="3"/>
  <c r="C5169" i="3" s="1"/>
  <c r="H5168" i="3"/>
  <c r="G5168" i="3"/>
  <c r="F5168" i="3"/>
  <c r="D5168" i="3"/>
  <c r="C5168" i="3"/>
  <c r="H5167" i="3"/>
  <c r="G5167" i="3"/>
  <c r="F5167" i="3"/>
  <c r="D5167" i="3"/>
  <c r="C5167" i="3"/>
  <c r="H5166" i="3"/>
  <c r="G5166" i="3"/>
  <c r="F5166" i="3"/>
  <c r="D5166" i="3"/>
  <c r="C5166" i="3" s="1"/>
  <c r="H5165" i="3"/>
  <c r="G5165" i="3"/>
  <c r="F5165" i="3"/>
  <c r="D5165" i="3"/>
  <c r="C5165" i="3"/>
  <c r="H5164" i="3"/>
  <c r="G5164" i="3"/>
  <c r="F5164" i="3"/>
  <c r="D5164" i="3"/>
  <c r="C5164" i="3" s="1"/>
  <c r="H5163" i="3"/>
  <c r="G5163" i="3"/>
  <c r="F5163" i="3"/>
  <c r="D5163" i="3"/>
  <c r="C5163" i="3"/>
  <c r="H5162" i="3"/>
  <c r="G5162" i="3"/>
  <c r="F5162" i="3"/>
  <c r="D5162" i="3"/>
  <c r="C5162" i="3"/>
  <c r="H5161" i="3"/>
  <c r="G5161" i="3"/>
  <c r="F5161" i="3"/>
  <c r="D5161" i="3"/>
  <c r="C5161" i="3" s="1"/>
  <c r="H5160" i="3"/>
  <c r="G5160" i="3"/>
  <c r="F5160" i="3"/>
  <c r="D5160" i="3"/>
  <c r="C5160" i="3"/>
  <c r="H5159" i="3"/>
  <c r="G5159" i="3"/>
  <c r="F5159" i="3"/>
  <c r="D5159" i="3"/>
  <c r="C5159" i="3"/>
  <c r="H5158" i="3"/>
  <c r="G5158" i="3"/>
  <c r="F5158" i="3"/>
  <c r="D5158" i="3"/>
  <c r="C5158" i="3" s="1"/>
  <c r="H5157" i="3"/>
  <c r="G5157" i="3"/>
  <c r="F5157" i="3"/>
  <c r="D5157" i="3"/>
  <c r="C5157" i="3"/>
  <c r="H5156" i="3"/>
  <c r="G5156" i="3"/>
  <c r="F5156" i="3"/>
  <c r="D5156" i="3"/>
  <c r="C5156" i="3" s="1"/>
  <c r="H5155" i="3"/>
  <c r="G5155" i="3"/>
  <c r="F5155" i="3"/>
  <c r="D5155" i="3"/>
  <c r="C5155" i="3"/>
  <c r="H5154" i="3"/>
  <c r="G5154" i="3"/>
  <c r="F5154" i="3"/>
  <c r="D5154" i="3"/>
  <c r="C5154" i="3"/>
  <c r="H5153" i="3"/>
  <c r="G5153" i="3"/>
  <c r="F5153" i="3"/>
  <c r="D5153" i="3"/>
  <c r="C5153" i="3" s="1"/>
  <c r="H5152" i="3"/>
  <c r="G5152" i="3"/>
  <c r="F5152" i="3"/>
  <c r="D5152" i="3"/>
  <c r="C5152" i="3"/>
  <c r="H5151" i="3"/>
  <c r="G5151" i="3"/>
  <c r="F5151" i="3"/>
  <c r="D5151" i="3"/>
  <c r="C5151" i="3"/>
  <c r="H5150" i="3"/>
  <c r="G5150" i="3"/>
  <c r="F5150" i="3"/>
  <c r="D5150" i="3"/>
  <c r="C5150" i="3" s="1"/>
  <c r="H5149" i="3"/>
  <c r="G5149" i="3"/>
  <c r="F5149" i="3"/>
  <c r="D5149" i="3"/>
  <c r="C5149" i="3"/>
  <c r="H5148" i="3"/>
  <c r="G5148" i="3"/>
  <c r="F5148" i="3"/>
  <c r="D5148" i="3"/>
  <c r="C5148" i="3"/>
  <c r="H5147" i="3"/>
  <c r="G5147" i="3"/>
  <c r="F5147" i="3"/>
  <c r="D5147" i="3"/>
  <c r="C5147" i="3"/>
  <c r="H5146" i="3"/>
  <c r="G5146" i="3"/>
  <c r="F5146" i="3"/>
  <c r="D5146" i="3"/>
  <c r="C5146" i="3"/>
  <c r="H5145" i="3"/>
  <c r="G5145" i="3"/>
  <c r="F5145" i="3"/>
  <c r="D5145" i="3"/>
  <c r="C5145" i="3" s="1"/>
  <c r="H5144" i="3"/>
  <c r="G5144" i="3"/>
  <c r="F5144" i="3"/>
  <c r="D5144" i="3"/>
  <c r="C5144" i="3"/>
  <c r="H5143" i="3"/>
  <c r="G5143" i="3"/>
  <c r="F5143" i="3"/>
  <c r="D5143" i="3"/>
  <c r="C5143" i="3"/>
  <c r="H5142" i="3"/>
  <c r="G5142" i="3"/>
  <c r="F5142" i="3"/>
  <c r="D5142" i="3"/>
  <c r="C5142" i="3" s="1"/>
  <c r="H5141" i="3"/>
  <c r="G5141" i="3"/>
  <c r="F5141" i="3"/>
  <c r="D5141" i="3"/>
  <c r="C5141" i="3"/>
  <c r="H5140" i="3"/>
  <c r="G5140" i="3"/>
  <c r="F5140" i="3"/>
  <c r="D5140" i="3"/>
  <c r="C5140" i="3"/>
  <c r="H5139" i="3"/>
  <c r="G5139" i="3"/>
  <c r="F5139" i="3"/>
  <c r="D5139" i="3"/>
  <c r="C5139" i="3" s="1"/>
  <c r="H5138" i="3"/>
  <c r="G5138" i="3"/>
  <c r="F5138" i="3"/>
  <c r="D5138" i="3"/>
  <c r="C5138" i="3"/>
  <c r="H5137" i="3"/>
  <c r="G5137" i="3"/>
  <c r="F5137" i="3"/>
  <c r="D5137" i="3"/>
  <c r="C5137" i="3" s="1"/>
  <c r="H5136" i="3"/>
  <c r="G5136" i="3"/>
  <c r="F5136" i="3"/>
  <c r="D5136" i="3"/>
  <c r="C5136" i="3"/>
  <c r="H5135" i="3"/>
  <c r="G5135" i="3"/>
  <c r="F5135" i="3"/>
  <c r="D5135" i="3"/>
  <c r="C5135" i="3"/>
  <c r="H5134" i="3"/>
  <c r="G5134" i="3"/>
  <c r="F5134" i="3"/>
  <c r="D5134" i="3"/>
  <c r="C5134" i="3" s="1"/>
  <c r="H5133" i="3"/>
  <c r="G5133" i="3"/>
  <c r="F5133" i="3"/>
  <c r="D5133" i="3"/>
  <c r="C5133" i="3"/>
  <c r="H5132" i="3"/>
  <c r="G5132" i="3"/>
  <c r="F5132" i="3"/>
  <c r="D5132" i="3"/>
  <c r="C5132" i="3"/>
  <c r="H5131" i="3"/>
  <c r="G5131" i="3"/>
  <c r="F5131" i="3"/>
  <c r="D5131" i="3"/>
  <c r="C5131" i="3" s="1"/>
  <c r="H5130" i="3"/>
  <c r="G5130" i="3"/>
  <c r="F5130" i="3"/>
  <c r="D5130" i="3"/>
  <c r="C5130" i="3"/>
  <c r="H5129" i="3"/>
  <c r="G5129" i="3"/>
  <c r="F5129" i="3"/>
  <c r="D5129" i="3"/>
  <c r="C5129" i="3" s="1"/>
  <c r="H5128" i="3"/>
  <c r="G5128" i="3"/>
  <c r="F5128" i="3"/>
  <c r="D5128" i="3"/>
  <c r="C5128" i="3"/>
  <c r="H5127" i="3"/>
  <c r="G5127" i="3"/>
  <c r="F5127" i="3"/>
  <c r="D5127" i="3"/>
  <c r="C5127" i="3"/>
  <c r="H5126" i="3"/>
  <c r="G5126" i="3"/>
  <c r="F5126" i="3"/>
  <c r="D5126" i="3"/>
  <c r="C5126" i="3" s="1"/>
  <c r="H5125" i="3"/>
  <c r="G5125" i="3"/>
  <c r="F5125" i="3"/>
  <c r="D5125" i="3"/>
  <c r="C5125" i="3"/>
  <c r="H5124" i="3"/>
  <c r="G5124" i="3"/>
  <c r="F5124" i="3"/>
  <c r="D5124" i="3"/>
  <c r="C5124" i="3"/>
  <c r="H5123" i="3"/>
  <c r="G5123" i="3"/>
  <c r="F5123" i="3"/>
  <c r="D5123" i="3"/>
  <c r="C5123" i="3"/>
  <c r="H5122" i="3"/>
  <c r="G5122" i="3"/>
  <c r="F5122" i="3"/>
  <c r="D5122" i="3"/>
  <c r="C5122" i="3"/>
  <c r="H5121" i="3"/>
  <c r="G5121" i="3"/>
  <c r="F5121" i="3"/>
  <c r="D5121" i="3"/>
  <c r="C5121" i="3" s="1"/>
  <c r="H5120" i="3"/>
  <c r="G5120" i="3"/>
  <c r="F5120" i="3"/>
  <c r="D5120" i="3"/>
  <c r="C5120" i="3"/>
  <c r="H5119" i="3"/>
  <c r="G5119" i="3"/>
  <c r="F5119" i="3"/>
  <c r="D5119" i="3"/>
  <c r="C5119" i="3"/>
  <c r="H5118" i="3"/>
  <c r="G5118" i="3"/>
  <c r="F5118" i="3"/>
  <c r="D5118" i="3"/>
  <c r="C5118" i="3" s="1"/>
  <c r="H5117" i="3"/>
  <c r="G5117" i="3"/>
  <c r="F5117" i="3"/>
  <c r="D5117" i="3"/>
  <c r="C5117" i="3"/>
  <c r="H5116" i="3"/>
  <c r="G5116" i="3"/>
  <c r="F5116" i="3"/>
  <c r="D5116" i="3"/>
  <c r="C5116" i="3"/>
  <c r="H5115" i="3"/>
  <c r="G5115" i="3"/>
  <c r="F5115" i="3"/>
  <c r="D5115" i="3"/>
  <c r="C5115" i="3"/>
  <c r="H5114" i="3"/>
  <c r="G5114" i="3"/>
  <c r="F5114" i="3"/>
  <c r="D5114" i="3"/>
  <c r="C5114" i="3"/>
  <c r="H5113" i="3"/>
  <c r="G5113" i="3"/>
  <c r="F5113" i="3"/>
  <c r="D5113" i="3"/>
  <c r="C5113" i="3" s="1"/>
  <c r="H5112" i="3"/>
  <c r="G5112" i="3"/>
  <c r="F5112" i="3"/>
  <c r="D5112" i="3"/>
  <c r="C5112" i="3"/>
  <c r="H5111" i="3"/>
  <c r="G5111" i="3"/>
  <c r="F5111" i="3"/>
  <c r="D5111" i="3"/>
  <c r="C5111" i="3"/>
  <c r="H5110" i="3"/>
  <c r="G5110" i="3"/>
  <c r="F5110" i="3"/>
  <c r="D5110" i="3"/>
  <c r="C5110" i="3" s="1"/>
  <c r="H5109" i="3"/>
  <c r="G5109" i="3"/>
  <c r="F5109" i="3"/>
  <c r="D5109" i="3"/>
  <c r="C5109" i="3"/>
  <c r="H5108" i="3"/>
  <c r="G5108" i="3"/>
  <c r="F5108" i="3"/>
  <c r="D5108" i="3"/>
  <c r="C5108" i="3"/>
  <c r="H5107" i="3"/>
  <c r="G5107" i="3"/>
  <c r="F5107" i="3"/>
  <c r="D5107" i="3"/>
  <c r="C5107" i="3" s="1"/>
  <c r="H5106" i="3"/>
  <c r="G5106" i="3"/>
  <c r="F5106" i="3"/>
  <c r="D5106" i="3"/>
  <c r="C5106" i="3"/>
  <c r="H5105" i="3"/>
  <c r="G5105" i="3"/>
  <c r="F5105" i="3"/>
  <c r="D5105" i="3"/>
  <c r="C5105" i="3" s="1"/>
  <c r="H5104" i="3"/>
  <c r="G5104" i="3"/>
  <c r="F5104" i="3"/>
  <c r="D5104" i="3"/>
  <c r="C5104" i="3"/>
  <c r="H5103" i="3"/>
  <c r="G5103" i="3"/>
  <c r="F5103" i="3"/>
  <c r="D5103" i="3"/>
  <c r="C5103" i="3"/>
  <c r="H5102" i="3"/>
  <c r="G5102" i="3"/>
  <c r="F5102" i="3"/>
  <c r="D5102" i="3"/>
  <c r="C5102" i="3" s="1"/>
  <c r="H5101" i="3"/>
  <c r="G5101" i="3"/>
  <c r="F5101" i="3"/>
  <c r="D5101" i="3"/>
  <c r="C5101" i="3"/>
  <c r="H5100" i="3"/>
  <c r="G5100" i="3"/>
  <c r="F5100" i="3"/>
  <c r="D5100" i="3"/>
  <c r="C5100" i="3" s="1"/>
  <c r="H5099" i="3"/>
  <c r="G5099" i="3"/>
  <c r="F5099" i="3"/>
  <c r="D5099" i="3"/>
  <c r="C5099" i="3"/>
  <c r="H5098" i="3"/>
  <c r="G5098" i="3"/>
  <c r="F5098" i="3"/>
  <c r="D5098" i="3"/>
  <c r="C5098" i="3"/>
  <c r="H5097" i="3"/>
  <c r="G5097" i="3"/>
  <c r="F5097" i="3"/>
  <c r="D5097" i="3"/>
  <c r="C5097" i="3" s="1"/>
  <c r="H5096" i="3"/>
  <c r="G5096" i="3"/>
  <c r="F5096" i="3"/>
  <c r="D5096" i="3"/>
  <c r="C5096" i="3"/>
  <c r="H5095" i="3"/>
  <c r="G5095" i="3"/>
  <c r="F5095" i="3"/>
  <c r="D5095" i="3"/>
  <c r="C5095" i="3"/>
  <c r="H5094" i="3"/>
  <c r="G5094" i="3"/>
  <c r="F5094" i="3"/>
  <c r="D5094" i="3"/>
  <c r="C5094" i="3" s="1"/>
  <c r="H5093" i="3"/>
  <c r="G5093" i="3"/>
  <c r="F5093" i="3"/>
  <c r="D5093" i="3"/>
  <c r="C5093" i="3"/>
  <c r="H5092" i="3"/>
  <c r="G5092" i="3"/>
  <c r="F5092" i="3"/>
  <c r="D5092" i="3"/>
  <c r="C5092" i="3" s="1"/>
  <c r="H5091" i="3"/>
  <c r="G5091" i="3"/>
  <c r="F5091" i="3"/>
  <c r="D5091" i="3"/>
  <c r="C5091" i="3" s="1"/>
  <c r="H5090" i="3"/>
  <c r="G5090" i="3"/>
  <c r="F5090" i="3"/>
  <c r="D5090" i="3"/>
  <c r="C5090" i="3"/>
  <c r="H5089" i="3"/>
  <c r="G5089" i="3"/>
  <c r="F5089" i="3"/>
  <c r="D5089" i="3"/>
  <c r="C5089" i="3" s="1"/>
  <c r="H5088" i="3"/>
  <c r="G5088" i="3"/>
  <c r="F5088" i="3"/>
  <c r="D5088" i="3"/>
  <c r="C5088" i="3"/>
  <c r="H5087" i="3"/>
  <c r="G5087" i="3"/>
  <c r="F5087" i="3"/>
  <c r="D5087" i="3"/>
  <c r="C5087" i="3"/>
  <c r="H5086" i="3"/>
  <c r="G5086" i="3"/>
  <c r="F5086" i="3"/>
  <c r="D5086" i="3"/>
  <c r="C5086" i="3" s="1"/>
  <c r="H5085" i="3"/>
  <c r="G5085" i="3"/>
  <c r="F5085" i="3"/>
  <c r="D5085" i="3"/>
  <c r="C5085" i="3"/>
  <c r="H5084" i="3"/>
  <c r="G5084" i="3"/>
  <c r="F5084" i="3"/>
  <c r="D5084" i="3"/>
  <c r="C5084" i="3" s="1"/>
  <c r="H5083" i="3"/>
  <c r="G5083" i="3"/>
  <c r="F5083" i="3"/>
  <c r="D5083" i="3"/>
  <c r="C5083" i="3"/>
  <c r="H5082" i="3"/>
  <c r="G5082" i="3"/>
  <c r="F5082" i="3"/>
  <c r="D5082" i="3"/>
  <c r="C5082" i="3"/>
  <c r="H5081" i="3"/>
  <c r="G5081" i="3"/>
  <c r="F5081" i="3"/>
  <c r="D5081" i="3"/>
  <c r="C5081" i="3" s="1"/>
  <c r="H5080" i="3"/>
  <c r="G5080" i="3"/>
  <c r="F5080" i="3"/>
  <c r="D5080" i="3"/>
  <c r="C5080" i="3"/>
  <c r="H5079" i="3"/>
  <c r="G5079" i="3"/>
  <c r="F5079" i="3"/>
  <c r="D5079" i="3"/>
  <c r="C5079" i="3"/>
  <c r="H5078" i="3"/>
  <c r="G5078" i="3"/>
  <c r="F5078" i="3"/>
  <c r="D5078" i="3"/>
  <c r="C5078" i="3" s="1"/>
  <c r="H5077" i="3"/>
  <c r="G5077" i="3"/>
  <c r="F5077" i="3"/>
  <c r="D5077" i="3"/>
  <c r="C5077" i="3"/>
  <c r="H5076" i="3"/>
  <c r="G5076" i="3"/>
  <c r="F5076" i="3"/>
  <c r="D5076" i="3"/>
  <c r="C5076" i="3" s="1"/>
  <c r="H5075" i="3"/>
  <c r="G5075" i="3"/>
  <c r="F5075" i="3"/>
  <c r="D5075" i="3"/>
  <c r="C5075" i="3"/>
  <c r="H5074" i="3"/>
  <c r="G5074" i="3"/>
  <c r="F5074" i="3"/>
  <c r="D5074" i="3"/>
  <c r="C5074" i="3" s="1"/>
  <c r="H5073" i="3"/>
  <c r="G5073" i="3"/>
  <c r="F5073" i="3"/>
  <c r="D5073" i="3"/>
  <c r="C5073" i="3" s="1"/>
  <c r="H5072" i="3"/>
  <c r="G5072" i="3"/>
  <c r="F5072" i="3"/>
  <c r="D5072" i="3"/>
  <c r="C5072" i="3"/>
  <c r="H5071" i="3"/>
  <c r="G5071" i="3"/>
  <c r="F5071" i="3"/>
  <c r="D5071" i="3"/>
  <c r="C5071" i="3"/>
  <c r="H5070" i="3"/>
  <c r="G5070" i="3"/>
  <c r="F5070" i="3"/>
  <c r="D5070" i="3"/>
  <c r="C5070" i="3" s="1"/>
  <c r="H5069" i="3"/>
  <c r="G5069" i="3"/>
  <c r="F5069" i="3"/>
  <c r="D5069" i="3"/>
  <c r="C5069" i="3"/>
  <c r="H5068" i="3"/>
  <c r="G5068" i="3"/>
  <c r="F5068" i="3"/>
  <c r="D5068" i="3"/>
  <c r="C5068" i="3"/>
  <c r="H5067" i="3"/>
  <c r="G5067" i="3"/>
  <c r="F5067" i="3"/>
  <c r="D5067" i="3"/>
  <c r="C5067" i="3"/>
  <c r="H5066" i="3"/>
  <c r="G5066" i="3"/>
  <c r="F5066" i="3"/>
  <c r="D5066" i="3"/>
  <c r="C5066" i="3" s="1"/>
  <c r="H5065" i="3"/>
  <c r="G5065" i="3"/>
  <c r="F5065" i="3"/>
  <c r="D5065" i="3"/>
  <c r="C5065" i="3" s="1"/>
  <c r="H5064" i="3"/>
  <c r="G5064" i="3"/>
  <c r="F5064" i="3"/>
  <c r="D5064" i="3"/>
  <c r="C5064" i="3"/>
  <c r="H5063" i="3"/>
  <c r="G5063" i="3"/>
  <c r="F5063" i="3"/>
  <c r="D5063" i="3"/>
  <c r="C5063" i="3"/>
  <c r="H5062" i="3"/>
  <c r="G5062" i="3"/>
  <c r="F5062" i="3"/>
  <c r="D5062" i="3"/>
  <c r="C5062" i="3" s="1"/>
  <c r="H5061" i="3"/>
  <c r="G5061" i="3"/>
  <c r="F5061" i="3"/>
  <c r="D5061" i="3"/>
  <c r="C5061" i="3"/>
  <c r="H5060" i="3"/>
  <c r="G5060" i="3"/>
  <c r="F5060" i="3"/>
  <c r="D5060" i="3"/>
  <c r="C5060" i="3" s="1"/>
  <c r="H5059" i="3"/>
  <c r="G5059" i="3"/>
  <c r="F5059" i="3"/>
  <c r="D5059" i="3"/>
  <c r="C5059" i="3"/>
  <c r="H5058" i="3"/>
  <c r="G5058" i="3"/>
  <c r="F5058" i="3"/>
  <c r="D5058" i="3"/>
  <c r="C5058" i="3" s="1"/>
  <c r="H5057" i="3"/>
  <c r="G5057" i="3"/>
  <c r="F5057" i="3"/>
  <c r="D5057" i="3"/>
  <c r="C5057" i="3" s="1"/>
  <c r="H5056" i="3"/>
  <c r="G5056" i="3"/>
  <c r="F5056" i="3"/>
  <c r="D5056" i="3"/>
  <c r="C5056" i="3"/>
  <c r="H5055" i="3"/>
  <c r="G5055" i="3"/>
  <c r="F5055" i="3"/>
  <c r="D5055" i="3"/>
  <c r="C5055" i="3"/>
  <c r="H5054" i="3"/>
  <c r="G5054" i="3"/>
  <c r="F5054" i="3"/>
  <c r="D5054" i="3"/>
  <c r="C5054" i="3" s="1"/>
  <c r="H5053" i="3"/>
  <c r="G5053" i="3"/>
  <c r="F5053" i="3"/>
  <c r="D5053" i="3"/>
  <c r="C5053" i="3"/>
  <c r="H5052" i="3"/>
  <c r="G5052" i="3"/>
  <c r="F5052" i="3"/>
  <c r="D5052" i="3"/>
  <c r="C5052" i="3" s="1"/>
  <c r="H5051" i="3"/>
  <c r="G5051" i="3"/>
  <c r="F5051" i="3"/>
  <c r="D5051" i="3"/>
  <c r="C5051" i="3"/>
  <c r="H5050" i="3"/>
  <c r="G5050" i="3"/>
  <c r="F5050" i="3"/>
  <c r="D5050" i="3"/>
  <c r="C5050" i="3" s="1"/>
  <c r="H5049" i="3"/>
  <c r="G5049" i="3"/>
  <c r="F5049" i="3"/>
  <c r="D5049" i="3"/>
  <c r="C5049" i="3" s="1"/>
  <c r="H5048" i="3"/>
  <c r="G5048" i="3"/>
  <c r="F5048" i="3"/>
  <c r="D5048" i="3"/>
  <c r="C5048" i="3"/>
  <c r="H5047" i="3"/>
  <c r="G5047" i="3"/>
  <c r="F5047" i="3"/>
  <c r="D5047" i="3"/>
  <c r="C5047" i="3"/>
  <c r="H5046" i="3"/>
  <c r="G5046" i="3"/>
  <c r="F5046" i="3"/>
  <c r="D5046" i="3"/>
  <c r="C5046" i="3" s="1"/>
  <c r="H5045" i="3"/>
  <c r="G5045" i="3"/>
  <c r="F5045" i="3"/>
  <c r="D5045" i="3"/>
  <c r="C5045" i="3"/>
  <c r="H5044" i="3"/>
  <c r="G5044" i="3"/>
  <c r="F5044" i="3"/>
  <c r="D5044" i="3"/>
  <c r="C5044" i="3" s="1"/>
  <c r="H5043" i="3"/>
  <c r="G5043" i="3"/>
  <c r="F5043" i="3"/>
  <c r="D5043" i="3"/>
  <c r="C5043" i="3"/>
  <c r="H5042" i="3"/>
  <c r="G5042" i="3"/>
  <c r="F5042" i="3"/>
  <c r="D5042" i="3"/>
  <c r="C5042" i="3" s="1"/>
  <c r="H5041" i="3"/>
  <c r="G5041" i="3"/>
  <c r="F5041" i="3"/>
  <c r="D5041" i="3"/>
  <c r="C5041" i="3" s="1"/>
  <c r="H5040" i="3"/>
  <c r="G5040" i="3"/>
  <c r="F5040" i="3"/>
  <c r="D5040" i="3"/>
  <c r="C5040" i="3"/>
  <c r="H5039" i="3"/>
  <c r="G5039" i="3"/>
  <c r="F5039" i="3"/>
  <c r="D5039" i="3"/>
  <c r="C5039" i="3"/>
  <c r="H5038" i="3"/>
  <c r="G5038" i="3"/>
  <c r="F5038" i="3"/>
  <c r="D5038" i="3"/>
  <c r="C5038" i="3" s="1"/>
  <c r="H5037" i="3"/>
  <c r="G5037" i="3"/>
  <c r="F5037" i="3"/>
  <c r="D5037" i="3"/>
  <c r="C5037" i="3"/>
  <c r="H5036" i="3"/>
  <c r="G5036" i="3"/>
  <c r="F5036" i="3"/>
  <c r="D5036" i="3"/>
  <c r="C5036" i="3"/>
  <c r="H5035" i="3"/>
  <c r="G5035" i="3"/>
  <c r="F5035" i="3"/>
  <c r="D5035" i="3"/>
  <c r="C5035" i="3" s="1"/>
  <c r="H5034" i="3"/>
  <c r="G5034" i="3"/>
  <c r="F5034" i="3"/>
  <c r="D5034" i="3"/>
  <c r="C5034" i="3" s="1"/>
  <c r="H5033" i="3"/>
  <c r="G5033" i="3"/>
  <c r="F5033" i="3"/>
  <c r="D5033" i="3"/>
  <c r="C5033" i="3" s="1"/>
  <c r="H5032" i="3"/>
  <c r="G5032" i="3"/>
  <c r="F5032" i="3"/>
  <c r="D5032" i="3"/>
  <c r="C5032" i="3"/>
  <c r="H5031" i="3"/>
  <c r="G5031" i="3"/>
  <c r="F5031" i="3"/>
  <c r="D5031" i="3"/>
  <c r="C5031" i="3"/>
  <c r="H5030" i="3"/>
  <c r="G5030" i="3"/>
  <c r="F5030" i="3"/>
  <c r="D5030" i="3"/>
  <c r="C5030" i="3" s="1"/>
  <c r="H5029" i="3"/>
  <c r="G5029" i="3"/>
  <c r="F5029" i="3"/>
  <c r="D5029" i="3"/>
  <c r="C5029" i="3"/>
  <c r="H5028" i="3"/>
  <c r="G5028" i="3"/>
  <c r="F5028" i="3"/>
  <c r="D5028" i="3"/>
  <c r="C5028" i="3"/>
  <c r="H5027" i="3"/>
  <c r="G5027" i="3"/>
  <c r="F5027" i="3"/>
  <c r="D5027" i="3"/>
  <c r="C5027" i="3"/>
  <c r="H5026" i="3"/>
  <c r="G5026" i="3"/>
  <c r="F5026" i="3"/>
  <c r="D5026" i="3"/>
  <c r="C5026" i="3" s="1"/>
  <c r="H5025" i="3"/>
  <c r="G5025" i="3"/>
  <c r="F5025" i="3"/>
  <c r="D5025" i="3"/>
  <c r="C5025" i="3" s="1"/>
  <c r="H5024" i="3"/>
  <c r="G5024" i="3"/>
  <c r="F5024" i="3"/>
  <c r="D5024" i="3"/>
  <c r="C5024" i="3"/>
  <c r="H5023" i="3"/>
  <c r="G5023" i="3"/>
  <c r="F5023" i="3"/>
  <c r="D5023" i="3"/>
  <c r="C5023" i="3"/>
  <c r="H5022" i="3"/>
  <c r="G5022" i="3"/>
  <c r="F5022" i="3"/>
  <c r="D5022" i="3"/>
  <c r="C5022" i="3" s="1"/>
  <c r="H5021" i="3"/>
  <c r="G5021" i="3"/>
  <c r="F5021" i="3"/>
  <c r="D5021" i="3"/>
  <c r="C5021" i="3"/>
  <c r="H5020" i="3"/>
  <c r="G5020" i="3"/>
  <c r="F5020" i="3"/>
  <c r="D5020" i="3"/>
  <c r="C5020" i="3"/>
  <c r="H5019" i="3"/>
  <c r="G5019" i="3"/>
  <c r="F5019" i="3"/>
  <c r="D5019" i="3"/>
  <c r="C5019" i="3"/>
  <c r="H5018" i="3"/>
  <c r="G5018" i="3"/>
  <c r="F5018" i="3"/>
  <c r="D5018" i="3"/>
  <c r="C5018" i="3" s="1"/>
  <c r="H5017" i="3"/>
  <c r="G5017" i="3"/>
  <c r="F5017" i="3"/>
  <c r="D5017" i="3"/>
  <c r="C5017" i="3"/>
  <c r="H5016" i="3"/>
  <c r="G5016" i="3"/>
  <c r="F5016" i="3"/>
  <c r="D5016" i="3"/>
  <c r="C5016" i="3"/>
  <c r="H5015" i="3"/>
  <c r="G5015" i="3"/>
  <c r="F5015" i="3"/>
  <c r="D5015" i="3"/>
  <c r="C5015" i="3"/>
  <c r="H5014" i="3"/>
  <c r="G5014" i="3"/>
  <c r="F5014" i="3"/>
  <c r="D5014" i="3"/>
  <c r="C5014" i="3" s="1"/>
  <c r="H5013" i="3"/>
  <c r="G5013" i="3"/>
  <c r="F5013" i="3"/>
  <c r="D5013" i="3"/>
  <c r="C5013" i="3"/>
  <c r="H5012" i="3"/>
  <c r="G5012" i="3"/>
  <c r="F5012" i="3"/>
  <c r="D5012" i="3"/>
  <c r="C5012" i="3" s="1"/>
  <c r="H5011" i="3"/>
  <c r="G5011" i="3"/>
  <c r="F5011" i="3"/>
  <c r="D5011" i="3"/>
  <c r="C5011" i="3"/>
  <c r="H5010" i="3"/>
  <c r="G5010" i="3"/>
  <c r="F5010" i="3"/>
  <c r="D5010" i="3"/>
  <c r="C5010" i="3" s="1"/>
  <c r="H5009" i="3"/>
  <c r="G5009" i="3"/>
  <c r="F5009" i="3"/>
  <c r="D5009" i="3"/>
  <c r="C5009" i="3"/>
  <c r="H5008" i="3"/>
  <c r="G5008" i="3"/>
  <c r="F5008" i="3"/>
  <c r="D5008" i="3"/>
  <c r="C5008" i="3"/>
  <c r="H5007" i="3"/>
  <c r="G5007" i="3"/>
  <c r="F5007" i="3"/>
  <c r="D5007" i="3"/>
  <c r="C5007" i="3"/>
  <c r="H5006" i="3"/>
  <c r="G5006" i="3"/>
  <c r="F5006" i="3"/>
  <c r="D5006" i="3"/>
  <c r="C5006" i="3" s="1"/>
  <c r="H5005" i="3"/>
  <c r="G5005" i="3"/>
  <c r="F5005" i="3"/>
  <c r="D5005" i="3"/>
  <c r="C5005" i="3"/>
  <c r="H5004" i="3"/>
  <c r="G5004" i="3"/>
  <c r="F5004" i="3"/>
  <c r="D5004" i="3"/>
  <c r="C5004" i="3" s="1"/>
  <c r="H5003" i="3"/>
  <c r="G5003" i="3"/>
  <c r="F5003" i="3"/>
  <c r="D5003" i="3"/>
  <c r="C5003" i="3" s="1"/>
  <c r="H5002" i="3"/>
  <c r="G5002" i="3"/>
  <c r="F5002" i="3"/>
  <c r="D5002" i="3"/>
  <c r="C5002" i="3" s="1"/>
  <c r="H5001" i="3"/>
  <c r="G5001" i="3"/>
  <c r="F5001" i="3"/>
  <c r="D5001" i="3"/>
  <c r="C5001" i="3"/>
  <c r="H5000" i="3"/>
  <c r="G5000" i="3"/>
  <c r="F5000" i="3"/>
  <c r="D5000" i="3"/>
  <c r="C5000" i="3"/>
  <c r="H4999" i="3"/>
  <c r="G4999" i="3"/>
  <c r="F4999" i="3"/>
  <c r="D4999" i="3"/>
  <c r="C4999" i="3"/>
  <c r="H4998" i="3"/>
  <c r="G4998" i="3"/>
  <c r="F4998" i="3"/>
  <c r="D4998" i="3"/>
  <c r="C4998" i="3" s="1"/>
  <c r="H4997" i="3"/>
  <c r="G4997" i="3"/>
  <c r="F4997" i="3"/>
  <c r="D4997" i="3"/>
  <c r="C4997" i="3"/>
  <c r="H4996" i="3"/>
  <c r="G4996" i="3"/>
  <c r="F4996" i="3"/>
  <c r="D4996" i="3"/>
  <c r="C4996" i="3" s="1"/>
  <c r="H4995" i="3"/>
  <c r="G4995" i="3"/>
  <c r="F4995" i="3"/>
  <c r="D4995" i="3"/>
  <c r="C4995" i="3"/>
  <c r="H4994" i="3"/>
  <c r="G4994" i="3"/>
  <c r="F4994" i="3"/>
  <c r="D4994" i="3"/>
  <c r="C4994" i="3" s="1"/>
  <c r="H4993" i="3"/>
  <c r="G4993" i="3"/>
  <c r="F4993" i="3"/>
  <c r="D4993" i="3"/>
  <c r="C4993" i="3"/>
  <c r="H4992" i="3"/>
  <c r="G4992" i="3"/>
  <c r="F4992" i="3"/>
  <c r="D4992" i="3"/>
  <c r="C4992" i="3"/>
  <c r="H4991" i="3"/>
  <c r="G4991" i="3"/>
  <c r="F4991" i="3"/>
  <c r="D4991" i="3"/>
  <c r="C4991" i="3"/>
  <c r="H4990" i="3"/>
  <c r="G4990" i="3"/>
  <c r="F4990" i="3"/>
  <c r="D4990" i="3"/>
  <c r="C4990" i="3" s="1"/>
  <c r="H4989" i="3"/>
  <c r="G4989" i="3"/>
  <c r="F4989" i="3"/>
  <c r="D4989" i="3"/>
  <c r="C4989" i="3"/>
  <c r="H4988" i="3"/>
  <c r="G4988" i="3"/>
  <c r="F4988" i="3"/>
  <c r="D4988" i="3"/>
  <c r="C4988" i="3" s="1"/>
  <c r="H4987" i="3"/>
  <c r="G4987" i="3"/>
  <c r="F4987" i="3"/>
  <c r="D4987" i="3"/>
  <c r="C4987" i="3" s="1"/>
  <c r="H4986" i="3"/>
  <c r="G4986" i="3"/>
  <c r="F4986" i="3"/>
  <c r="D4986" i="3"/>
  <c r="C4986" i="3" s="1"/>
  <c r="H4985" i="3"/>
  <c r="G4985" i="3"/>
  <c r="F4985" i="3"/>
  <c r="D4985" i="3"/>
  <c r="C4985" i="3"/>
  <c r="H4984" i="3"/>
  <c r="G4984" i="3"/>
  <c r="F4984" i="3"/>
  <c r="D4984" i="3"/>
  <c r="C4984" i="3"/>
  <c r="H4983" i="3"/>
  <c r="G4983" i="3"/>
  <c r="F4983" i="3"/>
  <c r="D4983" i="3"/>
  <c r="C4983" i="3"/>
  <c r="H4982" i="3"/>
  <c r="G4982" i="3"/>
  <c r="F4982" i="3"/>
  <c r="D4982" i="3"/>
  <c r="C4982" i="3" s="1"/>
  <c r="H4981" i="3"/>
  <c r="G4981" i="3"/>
  <c r="F4981" i="3"/>
  <c r="D4981" i="3"/>
  <c r="C4981" i="3"/>
  <c r="H4980" i="3"/>
  <c r="G4980" i="3"/>
  <c r="F4980" i="3"/>
  <c r="D4980" i="3"/>
  <c r="C4980" i="3"/>
  <c r="H4979" i="3"/>
  <c r="G4979" i="3"/>
  <c r="F4979" i="3"/>
  <c r="D4979" i="3"/>
  <c r="C4979" i="3" s="1"/>
  <c r="H4978" i="3"/>
  <c r="G4978" i="3"/>
  <c r="F4978" i="3"/>
  <c r="D4978" i="3"/>
  <c r="C4978" i="3" s="1"/>
  <c r="H4977" i="3"/>
  <c r="G4977" i="3"/>
  <c r="F4977" i="3"/>
  <c r="D4977" i="3"/>
  <c r="C4977" i="3"/>
  <c r="H4976" i="3"/>
  <c r="G4976" i="3"/>
  <c r="F4976" i="3"/>
  <c r="D4976" i="3"/>
  <c r="C4976" i="3"/>
  <c r="H4975" i="3"/>
  <c r="G4975" i="3"/>
  <c r="F4975" i="3"/>
  <c r="D4975" i="3"/>
  <c r="C4975" i="3"/>
  <c r="H4974" i="3"/>
  <c r="G4974" i="3"/>
  <c r="F4974" i="3"/>
  <c r="D4974" i="3"/>
  <c r="C4974" i="3" s="1"/>
  <c r="H4973" i="3"/>
  <c r="G4973" i="3"/>
  <c r="F4973" i="3"/>
  <c r="D4973" i="3"/>
  <c r="C4973" i="3"/>
  <c r="H4972" i="3"/>
  <c r="G4972" i="3"/>
  <c r="F4972" i="3"/>
  <c r="D4972" i="3"/>
  <c r="C4972" i="3" s="1"/>
  <c r="H4971" i="3"/>
  <c r="G4971" i="3"/>
  <c r="F4971" i="3"/>
  <c r="D4971" i="3"/>
  <c r="C4971" i="3" s="1"/>
  <c r="H4970" i="3"/>
  <c r="G4970" i="3"/>
  <c r="F4970" i="3"/>
  <c r="D4970" i="3"/>
  <c r="C4970" i="3" s="1"/>
  <c r="H4969" i="3"/>
  <c r="G4969" i="3"/>
  <c r="F4969" i="3"/>
  <c r="D4969" i="3"/>
  <c r="C4969" i="3"/>
  <c r="H4968" i="3"/>
  <c r="G4968" i="3"/>
  <c r="F4968" i="3"/>
  <c r="D4968" i="3"/>
  <c r="C4968" i="3"/>
  <c r="H4967" i="3"/>
  <c r="G4967" i="3"/>
  <c r="F4967" i="3"/>
  <c r="D4967" i="3"/>
  <c r="C4967" i="3"/>
  <c r="H4966" i="3"/>
  <c r="G4966" i="3"/>
  <c r="F4966" i="3"/>
  <c r="D4966" i="3"/>
  <c r="C4966" i="3" s="1"/>
  <c r="H4965" i="3"/>
  <c r="G4965" i="3"/>
  <c r="F4965" i="3"/>
  <c r="D4965" i="3"/>
  <c r="C4965" i="3"/>
  <c r="H4964" i="3"/>
  <c r="G4964" i="3"/>
  <c r="F4964" i="3"/>
  <c r="D4964" i="3"/>
  <c r="C4964" i="3" s="1"/>
  <c r="H4963" i="3"/>
  <c r="G4963" i="3"/>
  <c r="F4963" i="3"/>
  <c r="D4963" i="3"/>
  <c r="C4963" i="3" s="1"/>
  <c r="H4962" i="3"/>
  <c r="G4962" i="3"/>
  <c r="F4962" i="3"/>
  <c r="D4962" i="3"/>
  <c r="C4962" i="3" s="1"/>
  <c r="H4961" i="3"/>
  <c r="G4961" i="3"/>
  <c r="F4961" i="3"/>
  <c r="D4961" i="3"/>
  <c r="C4961" i="3"/>
  <c r="H4960" i="3"/>
  <c r="G4960" i="3"/>
  <c r="F4960" i="3"/>
  <c r="D4960" i="3"/>
  <c r="C4960" i="3"/>
  <c r="H4959" i="3"/>
  <c r="G4959" i="3"/>
  <c r="F4959" i="3"/>
  <c r="D4959" i="3"/>
  <c r="C4959" i="3" s="1"/>
  <c r="H4958" i="3"/>
  <c r="G4958" i="3"/>
  <c r="F4958" i="3"/>
  <c r="D4958" i="3"/>
  <c r="C4958" i="3" s="1"/>
  <c r="H4957" i="3"/>
  <c r="G4957" i="3"/>
  <c r="F4957" i="3"/>
  <c r="D4957" i="3"/>
  <c r="C4957" i="3"/>
  <c r="H4956" i="3"/>
  <c r="G4956" i="3"/>
  <c r="F4956" i="3"/>
  <c r="D4956" i="3"/>
  <c r="C4956" i="3"/>
  <c r="H4955" i="3"/>
  <c r="G4955" i="3"/>
  <c r="F4955" i="3"/>
  <c r="D4955" i="3"/>
  <c r="C4955" i="3"/>
  <c r="H4954" i="3"/>
  <c r="G4954" i="3"/>
  <c r="F4954" i="3"/>
  <c r="D4954" i="3"/>
  <c r="C4954" i="3" s="1"/>
  <c r="H4953" i="3"/>
  <c r="G4953" i="3"/>
  <c r="F4953" i="3"/>
  <c r="D4953" i="3"/>
  <c r="C4953" i="3"/>
  <c r="H4952" i="3"/>
  <c r="G4952" i="3"/>
  <c r="F4952" i="3"/>
  <c r="D4952" i="3"/>
  <c r="C4952" i="3"/>
  <c r="H4951" i="3"/>
  <c r="G4951" i="3"/>
  <c r="F4951" i="3"/>
  <c r="D4951" i="3"/>
  <c r="C4951" i="3" s="1"/>
  <c r="H4950" i="3"/>
  <c r="G4950" i="3"/>
  <c r="F4950" i="3"/>
  <c r="D4950" i="3"/>
  <c r="C4950" i="3" s="1"/>
  <c r="H4949" i="3"/>
  <c r="G4949" i="3"/>
  <c r="F4949" i="3"/>
  <c r="D4949" i="3"/>
  <c r="C4949" i="3"/>
  <c r="H4948" i="3"/>
  <c r="G4948" i="3"/>
  <c r="F4948" i="3"/>
  <c r="D4948" i="3"/>
  <c r="C4948" i="3"/>
  <c r="H4947" i="3"/>
  <c r="G4947" i="3"/>
  <c r="F4947" i="3"/>
  <c r="D4947" i="3"/>
  <c r="C4947" i="3" s="1"/>
  <c r="H4946" i="3"/>
  <c r="G4946" i="3"/>
  <c r="F4946" i="3"/>
  <c r="D4946" i="3"/>
  <c r="C4946" i="3" s="1"/>
  <c r="H4945" i="3"/>
  <c r="G4945" i="3"/>
  <c r="F4945" i="3"/>
  <c r="D4945" i="3"/>
  <c r="C4945" i="3"/>
  <c r="H4944" i="3"/>
  <c r="G4944" i="3"/>
  <c r="F4944" i="3"/>
  <c r="D4944" i="3"/>
  <c r="C4944" i="3"/>
  <c r="H4943" i="3"/>
  <c r="G4943" i="3"/>
  <c r="F4943" i="3"/>
  <c r="D4943" i="3"/>
  <c r="C4943" i="3" s="1"/>
  <c r="H4942" i="3"/>
  <c r="G4942" i="3"/>
  <c r="F4942" i="3"/>
  <c r="D4942" i="3"/>
  <c r="C4942" i="3" s="1"/>
  <c r="H4941" i="3"/>
  <c r="G4941" i="3"/>
  <c r="F4941" i="3"/>
  <c r="D4941" i="3"/>
  <c r="C4941" i="3"/>
  <c r="H4940" i="3"/>
  <c r="G4940" i="3"/>
  <c r="F4940" i="3"/>
  <c r="D4940" i="3"/>
  <c r="C4940" i="3"/>
  <c r="H4939" i="3"/>
  <c r="G4939" i="3"/>
  <c r="F4939" i="3"/>
  <c r="D4939" i="3"/>
  <c r="C4939" i="3"/>
  <c r="H4938" i="3"/>
  <c r="G4938" i="3"/>
  <c r="F4938" i="3"/>
  <c r="D4938" i="3"/>
  <c r="C4938" i="3"/>
  <c r="H4937" i="3"/>
  <c r="G4937" i="3"/>
  <c r="F4937" i="3"/>
  <c r="D4937" i="3"/>
  <c r="C4937" i="3"/>
  <c r="H4936" i="3"/>
  <c r="G4936" i="3"/>
  <c r="F4936" i="3"/>
  <c r="D4936" i="3"/>
  <c r="C4936" i="3"/>
  <c r="H4935" i="3"/>
  <c r="G4935" i="3"/>
  <c r="F4935" i="3"/>
  <c r="D4935" i="3"/>
  <c r="C4935" i="3" s="1"/>
  <c r="H4934" i="3"/>
  <c r="G4934" i="3"/>
  <c r="F4934" i="3"/>
  <c r="D4934" i="3"/>
  <c r="C4934" i="3" s="1"/>
  <c r="H4933" i="3"/>
  <c r="G4933" i="3"/>
  <c r="F4933" i="3"/>
  <c r="D4933" i="3"/>
  <c r="C4933" i="3" s="1"/>
  <c r="H4932" i="3"/>
  <c r="G4932" i="3"/>
  <c r="F4932" i="3"/>
  <c r="D4932" i="3"/>
  <c r="C4932" i="3"/>
  <c r="H4931" i="3"/>
  <c r="G4931" i="3"/>
  <c r="F4931" i="3"/>
  <c r="D4931" i="3"/>
  <c r="C4931" i="3"/>
  <c r="H4930" i="3"/>
  <c r="G4930" i="3"/>
  <c r="F4930" i="3"/>
  <c r="D4930" i="3"/>
  <c r="C4930" i="3"/>
  <c r="H4929" i="3"/>
  <c r="G4929" i="3"/>
  <c r="F4929" i="3"/>
  <c r="D4929" i="3"/>
  <c r="C4929" i="3"/>
  <c r="H4928" i="3"/>
  <c r="G4928" i="3"/>
  <c r="F4928" i="3"/>
  <c r="D4928" i="3"/>
  <c r="C4928" i="3"/>
  <c r="H4927" i="3"/>
  <c r="G4927" i="3"/>
  <c r="F4927" i="3"/>
  <c r="D4927" i="3"/>
  <c r="C4927" i="3" s="1"/>
  <c r="H4926" i="3"/>
  <c r="G4926" i="3"/>
  <c r="F4926" i="3"/>
  <c r="D4926" i="3"/>
  <c r="C4926" i="3" s="1"/>
  <c r="H4925" i="3"/>
  <c r="G4925" i="3"/>
  <c r="F4925" i="3"/>
  <c r="D4925" i="3"/>
  <c r="C4925" i="3" s="1"/>
  <c r="H4924" i="3"/>
  <c r="G4924" i="3"/>
  <c r="F4924" i="3"/>
  <c r="D4924" i="3"/>
  <c r="C4924" i="3"/>
  <c r="H4923" i="3"/>
  <c r="G4923" i="3"/>
  <c r="F4923" i="3"/>
  <c r="D4923" i="3"/>
  <c r="C4923" i="3"/>
  <c r="H4922" i="3"/>
  <c r="G4922" i="3"/>
  <c r="F4922" i="3"/>
  <c r="D4922" i="3"/>
  <c r="C4922" i="3"/>
  <c r="H4921" i="3"/>
  <c r="G4921" i="3"/>
  <c r="F4921" i="3"/>
  <c r="D4921" i="3"/>
  <c r="C4921" i="3"/>
  <c r="H4920" i="3"/>
  <c r="G4920" i="3"/>
  <c r="F4920" i="3"/>
  <c r="D4920" i="3"/>
  <c r="C4920" i="3"/>
  <c r="H4919" i="3"/>
  <c r="G4919" i="3"/>
  <c r="F4919" i="3"/>
  <c r="D4919" i="3"/>
  <c r="C4919" i="3" s="1"/>
  <c r="H4918" i="3"/>
  <c r="G4918" i="3"/>
  <c r="F4918" i="3"/>
  <c r="D4918" i="3"/>
  <c r="C4918" i="3" s="1"/>
  <c r="H4917" i="3"/>
  <c r="G4917" i="3"/>
  <c r="F4917" i="3"/>
  <c r="D4917" i="3"/>
  <c r="C4917" i="3" s="1"/>
  <c r="H4916" i="3"/>
  <c r="G4916" i="3"/>
  <c r="F4916" i="3"/>
  <c r="D4916" i="3"/>
  <c r="C4916" i="3"/>
  <c r="H4915" i="3"/>
  <c r="G4915" i="3"/>
  <c r="F4915" i="3"/>
  <c r="D4915" i="3"/>
  <c r="C4915" i="3" s="1"/>
  <c r="H4914" i="3"/>
  <c r="G4914" i="3"/>
  <c r="F4914" i="3"/>
  <c r="D4914" i="3"/>
  <c r="C4914" i="3"/>
  <c r="H4913" i="3"/>
  <c r="G4913" i="3"/>
  <c r="F4913" i="3"/>
  <c r="D4913" i="3"/>
  <c r="C4913" i="3"/>
  <c r="H4912" i="3"/>
  <c r="G4912" i="3"/>
  <c r="F4912" i="3"/>
  <c r="D4912" i="3"/>
  <c r="C4912" i="3"/>
  <c r="H4911" i="3"/>
  <c r="G4911" i="3"/>
  <c r="F4911" i="3"/>
  <c r="D4911" i="3"/>
  <c r="C4911" i="3" s="1"/>
  <c r="H4910" i="3"/>
  <c r="G4910" i="3"/>
  <c r="F4910" i="3"/>
  <c r="D4910" i="3"/>
  <c r="C4910" i="3" s="1"/>
  <c r="H4909" i="3"/>
  <c r="G4909" i="3"/>
  <c r="F4909" i="3"/>
  <c r="D4909" i="3"/>
  <c r="C4909" i="3" s="1"/>
  <c r="H4908" i="3"/>
  <c r="G4908" i="3"/>
  <c r="F4908" i="3"/>
  <c r="D4908" i="3"/>
  <c r="C4908" i="3" s="1"/>
  <c r="H4907" i="3"/>
  <c r="G4907" i="3"/>
  <c r="F4907" i="3"/>
  <c r="D4907" i="3"/>
  <c r="C4907" i="3" s="1"/>
  <c r="H4906" i="3"/>
  <c r="G4906" i="3"/>
  <c r="F4906" i="3"/>
  <c r="D4906" i="3"/>
  <c r="C4906" i="3"/>
  <c r="H4905" i="3"/>
  <c r="G4905" i="3"/>
  <c r="F4905" i="3"/>
  <c r="D4905" i="3"/>
  <c r="C4905" i="3"/>
  <c r="H4904" i="3"/>
  <c r="G4904" i="3"/>
  <c r="F4904" i="3"/>
  <c r="D4904" i="3"/>
  <c r="C4904" i="3"/>
  <c r="H4903" i="3"/>
  <c r="G4903" i="3"/>
  <c r="F4903" i="3"/>
  <c r="D4903" i="3"/>
  <c r="C4903" i="3" s="1"/>
  <c r="H4902" i="3"/>
  <c r="G4902" i="3"/>
  <c r="F4902" i="3"/>
  <c r="D4902" i="3"/>
  <c r="C4902" i="3" s="1"/>
  <c r="H4901" i="3"/>
  <c r="G4901" i="3"/>
  <c r="F4901" i="3"/>
  <c r="D4901" i="3"/>
  <c r="C4901" i="3" s="1"/>
  <c r="H4900" i="3"/>
  <c r="G4900" i="3"/>
  <c r="F4900" i="3"/>
  <c r="D4900" i="3"/>
  <c r="C4900" i="3" s="1"/>
  <c r="H4899" i="3"/>
  <c r="G4899" i="3"/>
  <c r="F4899" i="3"/>
  <c r="D4899" i="3"/>
  <c r="C4899" i="3" s="1"/>
  <c r="H4898" i="3"/>
  <c r="G4898" i="3"/>
  <c r="F4898" i="3"/>
  <c r="D4898" i="3"/>
  <c r="C4898" i="3"/>
  <c r="H4897" i="3"/>
  <c r="G4897" i="3"/>
  <c r="F4897" i="3"/>
  <c r="D4897" i="3"/>
  <c r="C4897" i="3"/>
  <c r="H4896" i="3"/>
  <c r="G4896" i="3"/>
  <c r="F4896" i="3"/>
  <c r="D4896" i="3"/>
  <c r="C4896" i="3"/>
  <c r="H4895" i="3"/>
  <c r="G4895" i="3"/>
  <c r="F4895" i="3"/>
  <c r="D4895" i="3"/>
  <c r="C4895" i="3" s="1"/>
  <c r="H4894" i="3"/>
  <c r="G4894" i="3"/>
  <c r="F4894" i="3"/>
  <c r="D4894" i="3"/>
  <c r="C4894" i="3" s="1"/>
  <c r="H4893" i="3"/>
  <c r="G4893" i="3"/>
  <c r="F4893" i="3"/>
  <c r="D4893" i="3"/>
  <c r="C4893" i="3" s="1"/>
  <c r="H4892" i="3"/>
  <c r="G4892" i="3"/>
  <c r="F4892" i="3"/>
  <c r="D4892" i="3"/>
  <c r="C4892" i="3" s="1"/>
  <c r="H4891" i="3"/>
  <c r="G4891" i="3"/>
  <c r="F4891" i="3"/>
  <c r="D4891" i="3"/>
  <c r="C4891" i="3" s="1"/>
  <c r="H4890" i="3"/>
  <c r="G4890" i="3"/>
  <c r="F4890" i="3"/>
  <c r="D4890" i="3"/>
  <c r="C4890" i="3"/>
  <c r="H4889" i="3"/>
  <c r="G4889" i="3"/>
  <c r="F4889" i="3"/>
  <c r="D4889" i="3"/>
  <c r="C4889" i="3"/>
  <c r="H4888" i="3"/>
  <c r="G4888" i="3"/>
  <c r="F4888" i="3"/>
  <c r="D4888" i="3"/>
  <c r="C4888" i="3"/>
  <c r="H4887" i="3"/>
  <c r="G4887" i="3"/>
  <c r="F4887" i="3"/>
  <c r="D4887" i="3"/>
  <c r="C4887" i="3" s="1"/>
  <c r="H4886" i="3"/>
  <c r="G4886" i="3"/>
  <c r="F4886" i="3"/>
  <c r="D4886" i="3"/>
  <c r="C4886" i="3" s="1"/>
  <c r="H4885" i="3"/>
  <c r="G4885" i="3"/>
  <c r="F4885" i="3"/>
  <c r="D4885" i="3"/>
  <c r="C4885" i="3" s="1"/>
  <c r="H4884" i="3"/>
  <c r="G4884" i="3"/>
  <c r="F4884" i="3"/>
  <c r="D4884" i="3"/>
  <c r="C4884" i="3" s="1"/>
  <c r="H4883" i="3"/>
  <c r="G4883" i="3"/>
  <c r="F4883" i="3"/>
  <c r="D4883" i="3"/>
  <c r="C4883" i="3" s="1"/>
  <c r="H4882" i="3"/>
  <c r="G4882" i="3"/>
  <c r="F4882" i="3"/>
  <c r="D4882" i="3"/>
  <c r="C4882" i="3"/>
  <c r="H4881" i="3"/>
  <c r="G4881" i="3"/>
  <c r="F4881" i="3"/>
  <c r="D4881" i="3"/>
  <c r="C4881" i="3"/>
  <c r="H4880" i="3"/>
  <c r="G4880" i="3"/>
  <c r="F4880" i="3"/>
  <c r="D4880" i="3"/>
  <c r="C4880" i="3"/>
  <c r="H4879" i="3"/>
  <c r="G4879" i="3"/>
  <c r="F4879" i="3"/>
  <c r="D4879" i="3"/>
  <c r="C4879" i="3" s="1"/>
  <c r="H4878" i="3"/>
  <c r="G4878" i="3"/>
  <c r="F4878" i="3"/>
  <c r="D4878" i="3"/>
  <c r="C4878" i="3" s="1"/>
  <c r="H4877" i="3"/>
  <c r="G4877" i="3"/>
  <c r="F4877" i="3"/>
  <c r="D4877" i="3"/>
  <c r="C4877" i="3" s="1"/>
  <c r="H4876" i="3"/>
  <c r="G4876" i="3"/>
  <c r="F4876" i="3"/>
  <c r="D4876" i="3"/>
  <c r="C4876" i="3" s="1"/>
  <c r="H4875" i="3"/>
  <c r="G4875" i="3"/>
  <c r="F4875" i="3"/>
  <c r="D4875" i="3"/>
  <c r="C4875" i="3" s="1"/>
  <c r="H4874" i="3"/>
  <c r="G4874" i="3"/>
  <c r="F4874" i="3"/>
  <c r="D4874" i="3"/>
  <c r="C4874" i="3"/>
  <c r="H4873" i="3"/>
  <c r="G4873" i="3"/>
  <c r="F4873" i="3"/>
  <c r="D4873" i="3"/>
  <c r="C4873" i="3"/>
  <c r="H4872" i="3"/>
  <c r="G4872" i="3"/>
  <c r="F4872" i="3"/>
  <c r="D4872" i="3"/>
  <c r="C4872" i="3"/>
  <c r="H4871" i="3"/>
  <c r="G4871" i="3"/>
  <c r="F4871" i="3"/>
  <c r="D4871" i="3"/>
  <c r="C4871" i="3" s="1"/>
  <c r="H4870" i="3"/>
  <c r="G4870" i="3"/>
  <c r="F4870" i="3"/>
  <c r="D4870" i="3"/>
  <c r="C4870" i="3" s="1"/>
  <c r="H4869" i="3"/>
  <c r="G4869" i="3"/>
  <c r="F4869" i="3"/>
  <c r="D4869" i="3"/>
  <c r="C4869" i="3" s="1"/>
  <c r="H4868" i="3"/>
  <c r="G4868" i="3"/>
  <c r="F4868" i="3"/>
  <c r="D4868" i="3"/>
  <c r="C4868" i="3" s="1"/>
  <c r="H4867" i="3"/>
  <c r="G4867" i="3"/>
  <c r="F4867" i="3"/>
  <c r="D4867" i="3"/>
  <c r="C4867" i="3" s="1"/>
  <c r="H4866" i="3"/>
  <c r="G4866" i="3"/>
  <c r="F4866" i="3"/>
  <c r="D4866" i="3"/>
  <c r="C4866" i="3"/>
  <c r="H4865" i="3"/>
  <c r="G4865" i="3"/>
  <c r="F4865" i="3"/>
  <c r="D4865" i="3"/>
  <c r="C4865" i="3"/>
  <c r="H4864" i="3"/>
  <c r="G4864" i="3"/>
  <c r="F4864" i="3"/>
  <c r="D4864" i="3"/>
  <c r="C4864" i="3"/>
  <c r="H4863" i="3"/>
  <c r="G4863" i="3"/>
  <c r="F4863" i="3"/>
  <c r="D4863" i="3"/>
  <c r="C4863" i="3" s="1"/>
  <c r="H4862" i="3"/>
  <c r="G4862" i="3"/>
  <c r="F4862" i="3"/>
  <c r="D4862" i="3"/>
  <c r="C4862" i="3" s="1"/>
  <c r="H4861" i="3"/>
  <c r="G4861" i="3"/>
  <c r="F4861" i="3"/>
  <c r="D4861" i="3"/>
  <c r="C4861" i="3" s="1"/>
  <c r="H4860" i="3"/>
  <c r="G4860" i="3"/>
  <c r="F4860" i="3"/>
  <c r="D4860" i="3"/>
  <c r="C4860" i="3" s="1"/>
  <c r="H4859" i="3"/>
  <c r="G4859" i="3"/>
  <c r="F4859" i="3"/>
  <c r="D4859" i="3"/>
  <c r="C4859" i="3" s="1"/>
  <c r="H4858" i="3"/>
  <c r="G4858" i="3"/>
  <c r="F4858" i="3"/>
  <c r="D4858" i="3"/>
  <c r="C4858" i="3"/>
  <c r="H4857" i="3"/>
  <c r="G4857" i="3"/>
  <c r="F4857" i="3"/>
  <c r="D4857" i="3"/>
  <c r="C4857" i="3"/>
  <c r="H4856" i="3"/>
  <c r="G4856" i="3"/>
  <c r="F4856" i="3"/>
  <c r="D4856" i="3"/>
  <c r="C4856" i="3"/>
  <c r="H4855" i="3"/>
  <c r="G4855" i="3"/>
  <c r="F4855" i="3"/>
  <c r="D4855" i="3"/>
  <c r="C4855" i="3" s="1"/>
  <c r="H4854" i="3"/>
  <c r="G4854" i="3"/>
  <c r="F4854" i="3"/>
  <c r="D4854" i="3"/>
  <c r="C4854" i="3" s="1"/>
  <c r="H4853" i="3"/>
  <c r="G4853" i="3"/>
  <c r="F4853" i="3"/>
  <c r="D4853" i="3"/>
  <c r="C4853" i="3" s="1"/>
  <c r="H4852" i="3"/>
  <c r="G4852" i="3"/>
  <c r="F4852" i="3"/>
  <c r="D4852" i="3"/>
  <c r="C4852" i="3" s="1"/>
  <c r="H4851" i="3"/>
  <c r="G4851" i="3"/>
  <c r="F4851" i="3"/>
  <c r="D4851" i="3"/>
  <c r="C4851" i="3" s="1"/>
  <c r="H4850" i="3"/>
  <c r="G4850" i="3"/>
  <c r="F4850" i="3"/>
  <c r="D4850" i="3"/>
  <c r="C4850" i="3"/>
  <c r="H4849" i="3"/>
  <c r="G4849" i="3"/>
  <c r="F4849" i="3"/>
  <c r="D4849" i="3"/>
  <c r="C4849" i="3"/>
  <c r="H4848" i="3"/>
  <c r="G4848" i="3"/>
  <c r="F4848" i="3"/>
  <c r="D4848" i="3"/>
  <c r="C4848" i="3"/>
  <c r="H4847" i="3"/>
  <c r="G4847" i="3"/>
  <c r="F4847" i="3"/>
  <c r="D4847" i="3"/>
  <c r="C4847" i="3" s="1"/>
  <c r="H4846" i="3"/>
  <c r="G4846" i="3"/>
  <c r="F4846" i="3"/>
  <c r="D4846" i="3"/>
  <c r="C4846" i="3" s="1"/>
  <c r="H4845" i="3"/>
  <c r="G4845" i="3"/>
  <c r="F4845" i="3"/>
  <c r="D4845" i="3"/>
  <c r="C4845" i="3" s="1"/>
  <c r="H4844" i="3"/>
  <c r="G4844" i="3"/>
  <c r="F4844" i="3"/>
  <c r="D4844" i="3"/>
  <c r="C4844" i="3" s="1"/>
  <c r="H4843" i="3"/>
  <c r="G4843" i="3"/>
  <c r="F4843" i="3"/>
  <c r="D4843" i="3"/>
  <c r="C4843" i="3" s="1"/>
  <c r="H4842" i="3"/>
  <c r="G4842" i="3"/>
  <c r="F4842" i="3"/>
  <c r="D4842" i="3"/>
  <c r="C4842" i="3"/>
  <c r="H4841" i="3"/>
  <c r="G4841" i="3"/>
  <c r="F4841" i="3"/>
  <c r="D4841" i="3"/>
  <c r="C4841" i="3"/>
  <c r="H4840" i="3"/>
  <c r="G4840" i="3"/>
  <c r="F4840" i="3"/>
  <c r="D4840" i="3"/>
  <c r="C4840" i="3"/>
  <c r="H4839" i="3"/>
  <c r="G4839" i="3"/>
  <c r="F4839" i="3"/>
  <c r="D4839" i="3"/>
  <c r="C4839" i="3" s="1"/>
  <c r="H4838" i="3"/>
  <c r="G4838" i="3"/>
  <c r="F4838" i="3"/>
  <c r="D4838" i="3"/>
  <c r="C4838" i="3" s="1"/>
  <c r="H4837" i="3"/>
  <c r="G4837" i="3"/>
  <c r="F4837" i="3"/>
  <c r="D4837" i="3"/>
  <c r="C4837" i="3" s="1"/>
  <c r="H4836" i="3"/>
  <c r="G4836" i="3"/>
  <c r="F4836" i="3"/>
  <c r="D4836" i="3"/>
  <c r="C4836" i="3" s="1"/>
  <c r="H4835" i="3"/>
  <c r="G4835" i="3"/>
  <c r="F4835" i="3"/>
  <c r="D4835" i="3"/>
  <c r="C4835" i="3" s="1"/>
  <c r="H4834" i="3"/>
  <c r="G4834" i="3"/>
  <c r="F4834" i="3"/>
  <c r="D4834" i="3"/>
  <c r="C4834" i="3"/>
  <c r="H4833" i="3"/>
  <c r="G4833" i="3"/>
  <c r="F4833" i="3"/>
  <c r="D4833" i="3"/>
  <c r="C4833" i="3"/>
  <c r="H4832" i="3"/>
  <c r="G4832" i="3"/>
  <c r="F4832" i="3"/>
  <c r="D4832" i="3"/>
  <c r="C4832" i="3"/>
  <c r="H4831" i="3"/>
  <c r="G4831" i="3"/>
  <c r="F4831" i="3"/>
  <c r="D4831" i="3"/>
  <c r="C4831" i="3" s="1"/>
  <c r="H4830" i="3"/>
  <c r="G4830" i="3"/>
  <c r="F4830" i="3"/>
  <c r="D4830" i="3"/>
  <c r="C4830" i="3" s="1"/>
  <c r="H4829" i="3"/>
  <c r="G4829" i="3"/>
  <c r="F4829" i="3"/>
  <c r="D4829" i="3"/>
  <c r="C4829" i="3" s="1"/>
  <c r="H4828" i="3"/>
  <c r="G4828" i="3"/>
  <c r="F4828" i="3"/>
  <c r="D4828" i="3"/>
  <c r="C4828" i="3" s="1"/>
  <c r="H4827" i="3"/>
  <c r="G4827" i="3"/>
  <c r="F4827" i="3"/>
  <c r="D4827" i="3"/>
  <c r="C4827" i="3" s="1"/>
  <c r="H4826" i="3"/>
  <c r="G4826" i="3"/>
  <c r="F4826" i="3"/>
  <c r="D4826" i="3"/>
  <c r="C4826" i="3"/>
  <c r="H4825" i="3"/>
  <c r="G4825" i="3"/>
  <c r="F4825" i="3"/>
  <c r="D4825" i="3"/>
  <c r="C4825" i="3"/>
  <c r="H4824" i="3"/>
  <c r="G4824" i="3"/>
  <c r="F4824" i="3"/>
  <c r="D4824" i="3"/>
  <c r="C4824" i="3"/>
  <c r="H4823" i="3"/>
  <c r="G4823" i="3"/>
  <c r="F4823" i="3"/>
  <c r="D4823" i="3"/>
  <c r="C4823" i="3" s="1"/>
  <c r="H4822" i="3"/>
  <c r="G4822" i="3"/>
  <c r="F4822" i="3"/>
  <c r="D4822" i="3"/>
  <c r="C4822" i="3" s="1"/>
  <c r="H4821" i="3"/>
  <c r="G4821" i="3"/>
  <c r="F4821" i="3"/>
  <c r="D4821" i="3"/>
  <c r="C4821" i="3" s="1"/>
  <c r="H4820" i="3"/>
  <c r="G4820" i="3"/>
  <c r="F4820" i="3"/>
  <c r="D4820" i="3"/>
  <c r="C4820" i="3" s="1"/>
  <c r="H4819" i="3"/>
  <c r="G4819" i="3"/>
  <c r="F4819" i="3"/>
  <c r="D4819" i="3"/>
  <c r="C4819" i="3" s="1"/>
  <c r="H4818" i="3"/>
  <c r="G4818" i="3"/>
  <c r="F4818" i="3"/>
  <c r="D4818" i="3"/>
  <c r="C4818" i="3"/>
  <c r="H4817" i="3"/>
  <c r="G4817" i="3"/>
  <c r="F4817" i="3"/>
  <c r="D4817" i="3"/>
  <c r="C4817" i="3"/>
  <c r="H4816" i="3"/>
  <c r="G4816" i="3"/>
  <c r="F4816" i="3"/>
  <c r="D4816" i="3"/>
  <c r="C4816" i="3"/>
  <c r="H4815" i="3"/>
  <c r="G4815" i="3"/>
  <c r="F4815" i="3"/>
  <c r="D4815" i="3"/>
  <c r="C4815" i="3" s="1"/>
  <c r="H4814" i="3"/>
  <c r="G4814" i="3"/>
  <c r="F4814" i="3"/>
  <c r="D4814" i="3"/>
  <c r="C4814" i="3" s="1"/>
  <c r="H4813" i="3"/>
  <c r="G4813" i="3"/>
  <c r="F4813" i="3"/>
  <c r="D4813" i="3"/>
  <c r="C4813" i="3" s="1"/>
  <c r="H4812" i="3"/>
  <c r="G4812" i="3"/>
  <c r="F4812" i="3"/>
  <c r="D4812" i="3"/>
  <c r="C4812" i="3" s="1"/>
  <c r="H4811" i="3"/>
  <c r="G4811" i="3"/>
  <c r="F4811" i="3"/>
  <c r="D4811" i="3"/>
  <c r="C4811" i="3" s="1"/>
  <c r="H4810" i="3"/>
  <c r="G4810" i="3"/>
  <c r="F4810" i="3"/>
  <c r="D4810" i="3"/>
  <c r="C4810" i="3"/>
  <c r="H4809" i="3"/>
  <c r="G4809" i="3"/>
  <c r="F4809" i="3"/>
  <c r="D4809" i="3"/>
  <c r="C4809" i="3"/>
  <c r="H4808" i="3"/>
  <c r="G4808" i="3"/>
  <c r="F4808" i="3"/>
  <c r="D4808" i="3"/>
  <c r="C4808" i="3"/>
  <c r="H4807" i="3"/>
  <c r="G4807" i="3"/>
  <c r="F4807" i="3"/>
  <c r="D4807" i="3"/>
  <c r="C4807" i="3" s="1"/>
  <c r="H4806" i="3"/>
  <c r="G4806" i="3"/>
  <c r="F4806" i="3"/>
  <c r="D4806" i="3"/>
  <c r="C4806" i="3" s="1"/>
  <c r="H4805" i="3"/>
  <c r="G4805" i="3"/>
  <c r="F4805" i="3"/>
  <c r="D4805" i="3"/>
  <c r="C4805" i="3" s="1"/>
  <c r="H4804" i="3"/>
  <c r="G4804" i="3"/>
  <c r="F4804" i="3"/>
  <c r="D4804" i="3"/>
  <c r="C4804" i="3" s="1"/>
  <c r="H4803" i="3"/>
  <c r="G4803" i="3"/>
  <c r="F4803" i="3"/>
  <c r="D4803" i="3"/>
  <c r="C4803" i="3" s="1"/>
  <c r="H4802" i="3"/>
  <c r="G4802" i="3"/>
  <c r="F4802" i="3"/>
  <c r="D4802" i="3"/>
  <c r="C4802" i="3"/>
  <c r="H4801" i="3"/>
  <c r="G4801" i="3"/>
  <c r="F4801" i="3"/>
  <c r="D4801" i="3"/>
  <c r="C4801" i="3"/>
  <c r="H4800" i="3"/>
  <c r="G4800" i="3"/>
  <c r="F4800" i="3"/>
  <c r="D4800" i="3"/>
  <c r="C4800" i="3"/>
  <c r="H4799" i="3"/>
  <c r="G4799" i="3"/>
  <c r="F4799" i="3"/>
  <c r="D4799" i="3"/>
  <c r="C4799" i="3" s="1"/>
  <c r="H4798" i="3"/>
  <c r="G4798" i="3"/>
  <c r="F4798" i="3"/>
  <c r="D4798" i="3"/>
  <c r="C4798" i="3" s="1"/>
  <c r="H4797" i="3"/>
  <c r="G4797" i="3"/>
  <c r="F4797" i="3"/>
  <c r="D4797" i="3"/>
  <c r="C4797" i="3" s="1"/>
  <c r="H4796" i="3"/>
  <c r="G4796" i="3"/>
  <c r="F4796" i="3"/>
  <c r="D4796" i="3"/>
  <c r="C4796" i="3" s="1"/>
  <c r="H4795" i="3"/>
  <c r="G4795" i="3"/>
  <c r="F4795" i="3"/>
  <c r="D4795" i="3"/>
  <c r="C4795" i="3" s="1"/>
  <c r="H4794" i="3"/>
  <c r="G4794" i="3"/>
  <c r="F4794" i="3"/>
  <c r="D4794" i="3"/>
  <c r="C4794" i="3"/>
  <c r="H4793" i="3"/>
  <c r="G4793" i="3"/>
  <c r="F4793" i="3"/>
  <c r="D4793" i="3"/>
  <c r="C4793" i="3"/>
  <c r="H4792" i="3"/>
  <c r="G4792" i="3"/>
  <c r="F4792" i="3"/>
  <c r="D4792" i="3"/>
  <c r="C4792" i="3"/>
  <c r="H4791" i="3"/>
  <c r="G4791" i="3"/>
  <c r="F4791" i="3"/>
  <c r="D4791" i="3"/>
  <c r="C4791" i="3" s="1"/>
  <c r="H4790" i="3"/>
  <c r="G4790" i="3"/>
  <c r="F4790" i="3"/>
  <c r="D4790" i="3"/>
  <c r="C4790" i="3" s="1"/>
  <c r="H4789" i="3"/>
  <c r="G4789" i="3"/>
  <c r="F4789" i="3"/>
  <c r="D4789" i="3"/>
  <c r="C4789" i="3" s="1"/>
  <c r="H4788" i="3"/>
  <c r="G4788" i="3"/>
  <c r="F4788" i="3"/>
  <c r="D4788" i="3"/>
  <c r="C4788" i="3" s="1"/>
  <c r="H4787" i="3"/>
  <c r="G4787" i="3"/>
  <c r="F4787" i="3"/>
  <c r="D4787" i="3"/>
  <c r="C4787" i="3" s="1"/>
  <c r="H4786" i="3"/>
  <c r="G4786" i="3"/>
  <c r="F4786" i="3"/>
  <c r="D4786" i="3"/>
  <c r="C4786" i="3"/>
  <c r="H4785" i="3"/>
  <c r="G4785" i="3"/>
  <c r="F4785" i="3"/>
  <c r="D4785" i="3"/>
  <c r="C4785" i="3"/>
  <c r="H4784" i="3"/>
  <c r="G4784" i="3"/>
  <c r="F4784" i="3"/>
  <c r="D4784" i="3"/>
  <c r="C4784" i="3"/>
  <c r="H4783" i="3"/>
  <c r="G4783" i="3"/>
  <c r="F4783" i="3"/>
  <c r="D4783" i="3"/>
  <c r="C4783" i="3" s="1"/>
  <c r="H4782" i="3"/>
  <c r="G4782" i="3"/>
  <c r="F4782" i="3"/>
  <c r="D4782" i="3"/>
  <c r="C4782" i="3" s="1"/>
  <c r="H4781" i="3"/>
  <c r="G4781" i="3"/>
  <c r="F4781" i="3"/>
  <c r="D4781" i="3"/>
  <c r="C4781" i="3" s="1"/>
  <c r="H4780" i="3"/>
  <c r="G4780" i="3"/>
  <c r="F4780" i="3"/>
  <c r="D4780" i="3"/>
  <c r="C4780" i="3" s="1"/>
  <c r="H4779" i="3"/>
  <c r="G4779" i="3"/>
  <c r="F4779" i="3"/>
  <c r="D4779" i="3"/>
  <c r="C4779" i="3" s="1"/>
  <c r="H4778" i="3"/>
  <c r="G4778" i="3"/>
  <c r="F4778" i="3"/>
  <c r="D4778" i="3"/>
  <c r="C4778" i="3"/>
  <c r="H4777" i="3"/>
  <c r="G4777" i="3"/>
  <c r="F4777" i="3"/>
  <c r="D4777" i="3"/>
  <c r="C4777" i="3"/>
  <c r="H4776" i="3"/>
  <c r="G4776" i="3"/>
  <c r="F4776" i="3"/>
  <c r="D4776" i="3"/>
  <c r="C4776" i="3"/>
  <c r="H4775" i="3"/>
  <c r="G4775" i="3"/>
  <c r="F4775" i="3"/>
  <c r="D4775" i="3"/>
  <c r="C4775" i="3" s="1"/>
  <c r="H4774" i="3"/>
  <c r="G4774" i="3"/>
  <c r="F4774" i="3"/>
  <c r="D4774" i="3"/>
  <c r="C4774" i="3" s="1"/>
  <c r="H4773" i="3"/>
  <c r="G4773" i="3"/>
  <c r="F4773" i="3"/>
  <c r="D4773" i="3"/>
  <c r="C4773" i="3" s="1"/>
  <c r="H4772" i="3"/>
  <c r="G4772" i="3"/>
  <c r="F4772" i="3"/>
  <c r="D4772" i="3"/>
  <c r="C4772" i="3" s="1"/>
  <c r="H4771" i="3"/>
  <c r="G4771" i="3"/>
  <c r="F4771" i="3"/>
  <c r="D4771" i="3"/>
  <c r="C4771" i="3" s="1"/>
  <c r="H4770" i="3"/>
  <c r="G4770" i="3"/>
  <c r="F4770" i="3"/>
  <c r="D4770" i="3"/>
  <c r="C4770" i="3"/>
  <c r="H4769" i="3"/>
  <c r="G4769" i="3"/>
  <c r="F4769" i="3"/>
  <c r="D4769" i="3"/>
  <c r="C4769" i="3"/>
  <c r="H4768" i="3"/>
  <c r="G4768" i="3"/>
  <c r="F4768" i="3"/>
  <c r="D4768" i="3"/>
  <c r="C4768" i="3"/>
  <c r="H4767" i="3"/>
  <c r="G4767" i="3"/>
  <c r="F4767" i="3"/>
  <c r="D4767" i="3"/>
  <c r="C4767" i="3" s="1"/>
  <c r="H4766" i="3"/>
  <c r="G4766" i="3"/>
  <c r="F4766" i="3"/>
  <c r="D4766" i="3"/>
  <c r="C4766" i="3" s="1"/>
  <c r="H4765" i="3"/>
  <c r="G4765" i="3"/>
  <c r="F4765" i="3"/>
  <c r="D4765" i="3"/>
  <c r="C4765" i="3" s="1"/>
  <c r="H4764" i="3"/>
  <c r="G4764" i="3"/>
  <c r="F4764" i="3"/>
  <c r="D4764" i="3"/>
  <c r="C4764" i="3" s="1"/>
  <c r="H4763" i="3"/>
  <c r="G4763" i="3"/>
  <c r="F4763" i="3"/>
  <c r="D4763" i="3"/>
  <c r="C4763" i="3" s="1"/>
  <c r="H4762" i="3"/>
  <c r="G4762" i="3"/>
  <c r="F4762" i="3"/>
  <c r="D4762" i="3"/>
  <c r="C4762" i="3"/>
  <c r="H4761" i="3"/>
  <c r="G4761" i="3"/>
  <c r="F4761" i="3"/>
  <c r="D4761" i="3"/>
  <c r="C4761" i="3"/>
  <c r="H4760" i="3"/>
  <c r="G4760" i="3"/>
  <c r="F4760" i="3"/>
  <c r="D4760" i="3"/>
  <c r="C4760" i="3"/>
  <c r="H4759" i="3"/>
  <c r="G4759" i="3"/>
  <c r="F4759" i="3"/>
  <c r="D4759" i="3"/>
  <c r="C4759" i="3" s="1"/>
  <c r="H4758" i="3"/>
  <c r="G4758" i="3"/>
  <c r="F4758" i="3"/>
  <c r="D4758" i="3"/>
  <c r="C4758" i="3" s="1"/>
  <c r="H4757" i="3"/>
  <c r="G4757" i="3"/>
  <c r="F4757" i="3"/>
  <c r="D4757" i="3"/>
  <c r="C4757" i="3" s="1"/>
  <c r="H4756" i="3"/>
  <c r="G4756" i="3"/>
  <c r="F4756" i="3"/>
  <c r="D4756" i="3"/>
  <c r="C4756" i="3" s="1"/>
  <c r="H4755" i="3"/>
  <c r="G4755" i="3"/>
  <c r="F4755" i="3"/>
  <c r="D4755" i="3"/>
  <c r="C4755" i="3" s="1"/>
  <c r="H4754" i="3"/>
  <c r="G4754" i="3"/>
  <c r="F4754" i="3"/>
  <c r="D4754" i="3"/>
  <c r="C4754" i="3"/>
  <c r="H4753" i="3"/>
  <c r="G4753" i="3"/>
  <c r="F4753" i="3"/>
  <c r="D4753" i="3"/>
  <c r="C4753" i="3"/>
  <c r="H4752" i="3"/>
  <c r="G4752" i="3"/>
  <c r="F4752" i="3"/>
  <c r="D4752" i="3"/>
  <c r="C4752" i="3"/>
  <c r="H4751" i="3"/>
  <c r="G4751" i="3"/>
  <c r="F4751" i="3"/>
  <c r="D4751" i="3"/>
  <c r="C4751" i="3" s="1"/>
  <c r="H4750" i="3"/>
  <c r="G4750" i="3"/>
  <c r="F4750" i="3"/>
  <c r="D4750" i="3"/>
  <c r="C4750" i="3" s="1"/>
  <c r="H4749" i="3"/>
  <c r="G4749" i="3"/>
  <c r="F4749" i="3"/>
  <c r="D4749" i="3"/>
  <c r="C4749" i="3" s="1"/>
  <c r="H4748" i="3"/>
  <c r="G4748" i="3"/>
  <c r="F4748" i="3"/>
  <c r="D4748" i="3"/>
  <c r="C4748" i="3" s="1"/>
  <c r="H4747" i="3"/>
  <c r="G4747" i="3"/>
  <c r="F4747" i="3"/>
  <c r="D4747" i="3"/>
  <c r="C4747" i="3" s="1"/>
  <c r="H4746" i="3"/>
  <c r="G4746" i="3"/>
  <c r="F4746" i="3"/>
  <c r="D4746" i="3"/>
  <c r="C4746" i="3"/>
  <c r="H4745" i="3"/>
  <c r="G4745" i="3"/>
  <c r="F4745" i="3"/>
  <c r="D4745" i="3"/>
  <c r="C4745" i="3"/>
  <c r="H4744" i="3"/>
  <c r="G4744" i="3"/>
  <c r="F4744" i="3"/>
  <c r="D4744" i="3"/>
  <c r="C4744" i="3"/>
  <c r="H4743" i="3"/>
  <c r="G4743" i="3"/>
  <c r="F4743" i="3"/>
  <c r="D4743" i="3"/>
  <c r="C4743" i="3" s="1"/>
  <c r="H4742" i="3"/>
  <c r="G4742" i="3"/>
  <c r="F4742" i="3"/>
  <c r="D4742" i="3"/>
  <c r="C4742" i="3" s="1"/>
  <c r="H4741" i="3"/>
  <c r="G4741" i="3"/>
  <c r="F4741" i="3"/>
  <c r="D4741" i="3"/>
  <c r="C4741" i="3" s="1"/>
  <c r="H4740" i="3"/>
  <c r="G4740" i="3"/>
  <c r="F4740" i="3"/>
  <c r="D4740" i="3"/>
  <c r="C4740" i="3" s="1"/>
  <c r="H4739" i="3"/>
  <c r="G4739" i="3"/>
  <c r="F4739" i="3"/>
  <c r="D4739" i="3"/>
  <c r="C4739" i="3" s="1"/>
  <c r="H4738" i="3"/>
  <c r="G4738" i="3"/>
  <c r="F4738" i="3"/>
  <c r="D4738" i="3"/>
  <c r="C4738" i="3"/>
  <c r="H4737" i="3"/>
  <c r="G4737" i="3"/>
  <c r="F4737" i="3"/>
  <c r="D4737" i="3"/>
  <c r="C4737" i="3"/>
  <c r="H4736" i="3"/>
  <c r="G4736" i="3"/>
  <c r="F4736" i="3"/>
  <c r="D4736" i="3"/>
  <c r="C4736" i="3"/>
  <c r="H4735" i="3"/>
  <c r="G4735" i="3"/>
  <c r="F4735" i="3"/>
  <c r="D4735" i="3"/>
  <c r="C4735" i="3" s="1"/>
  <c r="H4734" i="3"/>
  <c r="G4734" i="3"/>
  <c r="F4734" i="3"/>
  <c r="D4734" i="3"/>
  <c r="C4734" i="3" s="1"/>
  <c r="H4733" i="3"/>
  <c r="G4733" i="3"/>
  <c r="F4733" i="3"/>
  <c r="D4733" i="3"/>
  <c r="C4733" i="3" s="1"/>
  <c r="H4732" i="3"/>
  <c r="G4732" i="3"/>
  <c r="F4732" i="3"/>
  <c r="D4732" i="3"/>
  <c r="C4732" i="3" s="1"/>
  <c r="H4731" i="3"/>
  <c r="G4731" i="3"/>
  <c r="F4731" i="3"/>
  <c r="D4731" i="3"/>
  <c r="C4731" i="3" s="1"/>
  <c r="H4730" i="3"/>
  <c r="G4730" i="3"/>
  <c r="F4730" i="3"/>
  <c r="D4730" i="3"/>
  <c r="C4730" i="3"/>
  <c r="H4729" i="3"/>
  <c r="G4729" i="3"/>
  <c r="F4729" i="3"/>
  <c r="D4729" i="3"/>
  <c r="C4729" i="3" s="1"/>
  <c r="H4728" i="3"/>
  <c r="G4728" i="3"/>
  <c r="F4728" i="3"/>
  <c r="D4728" i="3"/>
  <c r="C4728" i="3"/>
  <c r="H4727" i="3"/>
  <c r="G4727" i="3"/>
  <c r="F4727" i="3"/>
  <c r="D4727" i="3"/>
  <c r="C4727" i="3" s="1"/>
  <c r="H4726" i="3"/>
  <c r="G4726" i="3"/>
  <c r="F4726" i="3"/>
  <c r="D4726" i="3"/>
  <c r="C4726" i="3" s="1"/>
  <c r="H4725" i="3"/>
  <c r="G4725" i="3"/>
  <c r="F4725" i="3"/>
  <c r="D4725" i="3"/>
  <c r="C4725" i="3" s="1"/>
  <c r="H4724" i="3"/>
  <c r="G4724" i="3"/>
  <c r="F4724" i="3"/>
  <c r="D4724" i="3"/>
  <c r="C4724" i="3" s="1"/>
  <c r="H4723" i="3"/>
  <c r="G4723" i="3"/>
  <c r="F4723" i="3"/>
  <c r="D4723" i="3"/>
  <c r="C4723" i="3"/>
  <c r="H4722" i="3"/>
  <c r="G4722" i="3"/>
  <c r="F4722" i="3"/>
  <c r="D4722" i="3"/>
  <c r="C4722" i="3"/>
  <c r="H4721" i="3"/>
  <c r="G4721" i="3"/>
  <c r="F4721" i="3"/>
  <c r="D4721" i="3"/>
  <c r="C4721" i="3"/>
  <c r="H4720" i="3"/>
  <c r="G4720" i="3"/>
  <c r="F4720" i="3"/>
  <c r="D4720" i="3"/>
  <c r="C4720" i="3"/>
  <c r="H4719" i="3"/>
  <c r="G4719" i="3"/>
  <c r="F4719" i="3"/>
  <c r="D4719" i="3"/>
  <c r="C4719" i="3" s="1"/>
  <c r="H4718" i="3"/>
  <c r="G4718" i="3"/>
  <c r="F4718" i="3"/>
  <c r="D4718" i="3"/>
  <c r="C4718" i="3" s="1"/>
  <c r="H4717" i="3"/>
  <c r="G4717" i="3"/>
  <c r="F4717" i="3"/>
  <c r="D4717" i="3"/>
  <c r="C4717" i="3" s="1"/>
  <c r="H4716" i="3"/>
  <c r="G4716" i="3"/>
  <c r="F4716" i="3"/>
  <c r="D4716" i="3"/>
  <c r="C4716" i="3" s="1"/>
  <c r="H4715" i="3"/>
  <c r="G4715" i="3"/>
  <c r="F4715" i="3"/>
  <c r="D4715" i="3"/>
  <c r="C4715" i="3"/>
  <c r="H4714" i="3"/>
  <c r="G4714" i="3"/>
  <c r="F4714" i="3"/>
  <c r="D4714" i="3"/>
  <c r="C4714" i="3"/>
  <c r="H4713" i="3"/>
  <c r="G4713" i="3"/>
  <c r="F4713" i="3"/>
  <c r="D4713" i="3"/>
  <c r="C4713" i="3"/>
  <c r="H4712" i="3"/>
  <c r="G4712" i="3"/>
  <c r="F4712" i="3"/>
  <c r="D4712" i="3"/>
  <c r="C4712" i="3"/>
  <c r="H4711" i="3"/>
  <c r="G4711" i="3"/>
  <c r="F4711" i="3"/>
  <c r="D4711" i="3"/>
  <c r="C4711" i="3" s="1"/>
  <c r="H4710" i="3"/>
  <c r="G4710" i="3"/>
  <c r="F4710" i="3"/>
  <c r="D4710" i="3"/>
  <c r="C4710" i="3" s="1"/>
  <c r="H4709" i="3"/>
  <c r="G4709" i="3"/>
  <c r="F4709" i="3"/>
  <c r="D4709" i="3"/>
  <c r="C4709" i="3" s="1"/>
  <c r="H4708" i="3"/>
  <c r="G4708" i="3"/>
  <c r="F4708" i="3"/>
  <c r="D4708" i="3"/>
  <c r="C4708" i="3" s="1"/>
  <c r="H4707" i="3"/>
  <c r="G4707" i="3"/>
  <c r="F4707" i="3"/>
  <c r="D4707" i="3"/>
  <c r="C4707" i="3"/>
  <c r="H4706" i="3"/>
  <c r="G4706" i="3"/>
  <c r="F4706" i="3"/>
  <c r="D4706" i="3"/>
  <c r="C4706" i="3"/>
  <c r="H4705" i="3"/>
  <c r="G4705" i="3"/>
  <c r="F4705" i="3"/>
  <c r="D4705" i="3"/>
  <c r="C4705" i="3"/>
  <c r="H4704" i="3"/>
  <c r="G4704" i="3"/>
  <c r="F4704" i="3"/>
  <c r="D4704" i="3"/>
  <c r="C4704" i="3"/>
  <c r="H4703" i="3"/>
  <c r="G4703" i="3"/>
  <c r="F4703" i="3"/>
  <c r="D4703" i="3"/>
  <c r="C4703" i="3" s="1"/>
  <c r="H4702" i="3"/>
  <c r="G4702" i="3"/>
  <c r="F4702" i="3"/>
  <c r="D4702" i="3"/>
  <c r="C4702" i="3" s="1"/>
  <c r="H4701" i="3"/>
  <c r="G4701" i="3"/>
  <c r="F4701" i="3"/>
  <c r="D4701" i="3"/>
  <c r="C4701" i="3" s="1"/>
  <c r="H4700" i="3"/>
  <c r="G4700" i="3"/>
  <c r="F4700" i="3"/>
  <c r="D4700" i="3"/>
  <c r="C4700" i="3" s="1"/>
  <c r="H4699" i="3"/>
  <c r="G4699" i="3"/>
  <c r="F4699" i="3"/>
  <c r="D4699" i="3"/>
  <c r="C4699" i="3"/>
  <c r="H4698" i="3"/>
  <c r="G4698" i="3"/>
  <c r="F4698" i="3"/>
  <c r="D4698" i="3"/>
  <c r="C4698" i="3"/>
  <c r="H4697" i="3"/>
  <c r="G4697" i="3"/>
  <c r="F4697" i="3"/>
  <c r="D4697" i="3"/>
  <c r="C4697" i="3"/>
  <c r="H4696" i="3"/>
  <c r="G4696" i="3"/>
  <c r="F4696" i="3"/>
  <c r="D4696" i="3"/>
  <c r="C4696" i="3"/>
  <c r="H4695" i="3"/>
  <c r="G4695" i="3"/>
  <c r="F4695" i="3"/>
  <c r="D4695" i="3"/>
  <c r="C4695" i="3"/>
  <c r="H4694" i="3"/>
  <c r="G4694" i="3"/>
  <c r="F4694" i="3"/>
  <c r="D4694" i="3"/>
  <c r="C4694" i="3" s="1"/>
  <c r="H4693" i="3"/>
  <c r="G4693" i="3"/>
  <c r="F4693" i="3"/>
  <c r="D4693" i="3"/>
  <c r="C4693" i="3" s="1"/>
  <c r="H4692" i="3"/>
  <c r="G4692" i="3"/>
  <c r="F4692" i="3"/>
  <c r="D4692" i="3"/>
  <c r="C4692" i="3" s="1"/>
  <c r="H4691" i="3"/>
  <c r="G4691" i="3"/>
  <c r="F4691" i="3"/>
  <c r="D4691" i="3"/>
  <c r="C4691" i="3" s="1"/>
  <c r="H4690" i="3"/>
  <c r="G4690" i="3"/>
  <c r="F4690" i="3"/>
  <c r="D4690" i="3"/>
  <c r="C4690" i="3"/>
  <c r="H4689" i="3"/>
  <c r="G4689" i="3"/>
  <c r="F4689" i="3"/>
  <c r="D4689" i="3"/>
  <c r="C4689" i="3"/>
  <c r="H4688" i="3"/>
  <c r="G4688" i="3"/>
  <c r="F4688" i="3"/>
  <c r="D4688" i="3"/>
  <c r="C4688" i="3"/>
  <c r="H4687" i="3"/>
  <c r="G4687" i="3"/>
  <c r="F4687" i="3"/>
  <c r="D4687" i="3"/>
  <c r="C4687" i="3"/>
  <c r="H4686" i="3"/>
  <c r="G4686" i="3"/>
  <c r="F4686" i="3"/>
  <c r="D4686" i="3"/>
  <c r="C4686" i="3" s="1"/>
  <c r="H4685" i="3"/>
  <c r="G4685" i="3"/>
  <c r="F4685" i="3"/>
  <c r="D4685" i="3"/>
  <c r="C4685" i="3" s="1"/>
  <c r="H4684" i="3"/>
  <c r="G4684" i="3"/>
  <c r="F4684" i="3"/>
  <c r="D4684" i="3"/>
  <c r="C4684" i="3" s="1"/>
  <c r="H4683" i="3"/>
  <c r="G4683" i="3"/>
  <c r="F4683" i="3"/>
  <c r="D4683" i="3"/>
  <c r="C4683" i="3" s="1"/>
  <c r="H4682" i="3"/>
  <c r="G4682" i="3"/>
  <c r="F4682" i="3"/>
  <c r="D4682" i="3"/>
  <c r="C4682" i="3"/>
  <c r="H4681" i="3"/>
  <c r="G4681" i="3"/>
  <c r="F4681" i="3"/>
  <c r="D4681" i="3"/>
  <c r="C4681" i="3"/>
  <c r="H4680" i="3"/>
  <c r="G4680" i="3"/>
  <c r="F4680" i="3"/>
  <c r="D4680" i="3"/>
  <c r="C4680" i="3"/>
  <c r="H4679" i="3"/>
  <c r="G4679" i="3"/>
  <c r="F4679" i="3"/>
  <c r="D4679" i="3"/>
  <c r="C4679" i="3"/>
  <c r="H4678" i="3"/>
  <c r="G4678" i="3"/>
  <c r="F4678" i="3"/>
  <c r="D4678" i="3"/>
  <c r="C4678" i="3" s="1"/>
  <c r="H4677" i="3"/>
  <c r="G4677" i="3"/>
  <c r="F4677" i="3"/>
  <c r="D4677" i="3"/>
  <c r="C4677" i="3" s="1"/>
  <c r="H4676" i="3"/>
  <c r="G4676" i="3"/>
  <c r="F4676" i="3"/>
  <c r="D4676" i="3"/>
  <c r="C4676" i="3" s="1"/>
  <c r="H4675" i="3"/>
  <c r="G4675" i="3"/>
  <c r="F4675" i="3"/>
  <c r="D4675" i="3"/>
  <c r="C4675" i="3" s="1"/>
  <c r="H4674" i="3"/>
  <c r="G4674" i="3"/>
  <c r="F4674" i="3"/>
  <c r="D4674" i="3"/>
  <c r="C4674" i="3"/>
  <c r="H4673" i="3"/>
  <c r="G4673" i="3"/>
  <c r="F4673" i="3"/>
  <c r="D4673" i="3"/>
  <c r="C4673" i="3"/>
  <c r="H4672" i="3"/>
  <c r="G4672" i="3"/>
  <c r="F4672" i="3"/>
  <c r="D4672" i="3"/>
  <c r="C4672" i="3"/>
  <c r="H4671" i="3"/>
  <c r="G4671" i="3"/>
  <c r="F4671" i="3"/>
  <c r="D4671" i="3"/>
  <c r="C4671" i="3"/>
  <c r="H4670" i="3"/>
  <c r="G4670" i="3"/>
  <c r="F4670" i="3"/>
  <c r="D4670" i="3"/>
  <c r="C4670" i="3" s="1"/>
  <c r="H4669" i="3"/>
  <c r="G4669" i="3"/>
  <c r="F4669" i="3"/>
  <c r="D4669" i="3"/>
  <c r="C4669" i="3" s="1"/>
  <c r="H4668" i="3"/>
  <c r="G4668" i="3"/>
  <c r="F4668" i="3"/>
  <c r="D4668" i="3"/>
  <c r="C4668" i="3"/>
  <c r="H4667" i="3"/>
  <c r="G4667" i="3"/>
  <c r="F4667" i="3"/>
  <c r="D4667" i="3"/>
  <c r="C4667" i="3" s="1"/>
  <c r="H4666" i="3"/>
  <c r="G4666" i="3"/>
  <c r="F4666" i="3"/>
  <c r="D4666" i="3"/>
  <c r="C4666" i="3"/>
  <c r="H4665" i="3"/>
  <c r="G4665" i="3"/>
  <c r="F4665" i="3"/>
  <c r="D4665" i="3"/>
  <c r="C4665" i="3"/>
  <c r="H4664" i="3"/>
  <c r="G4664" i="3"/>
  <c r="F4664" i="3"/>
  <c r="D4664" i="3"/>
  <c r="C4664" i="3"/>
  <c r="H4663" i="3"/>
  <c r="G4663" i="3"/>
  <c r="F4663" i="3"/>
  <c r="D4663" i="3"/>
  <c r="C4663" i="3" s="1"/>
  <c r="H4662" i="3"/>
  <c r="G4662" i="3"/>
  <c r="F4662" i="3"/>
  <c r="D4662" i="3"/>
  <c r="C4662" i="3" s="1"/>
  <c r="H4661" i="3"/>
  <c r="G4661" i="3"/>
  <c r="F4661" i="3"/>
  <c r="D4661" i="3"/>
  <c r="C4661" i="3" s="1"/>
  <c r="H4660" i="3"/>
  <c r="G4660" i="3"/>
  <c r="F4660" i="3"/>
  <c r="D4660" i="3"/>
  <c r="C4660" i="3"/>
  <c r="H4659" i="3"/>
  <c r="G4659" i="3"/>
  <c r="F4659" i="3"/>
  <c r="D4659" i="3"/>
  <c r="C4659" i="3" s="1"/>
  <c r="H4658" i="3"/>
  <c r="G4658" i="3"/>
  <c r="F4658" i="3"/>
  <c r="D4658" i="3"/>
  <c r="C4658" i="3"/>
  <c r="H4657" i="3"/>
  <c r="G4657" i="3"/>
  <c r="F4657" i="3"/>
  <c r="D4657" i="3"/>
  <c r="C4657" i="3"/>
  <c r="H4656" i="3"/>
  <c r="G4656" i="3"/>
  <c r="F4656" i="3"/>
  <c r="D4656" i="3"/>
  <c r="C4656" i="3"/>
  <c r="H4655" i="3"/>
  <c r="G4655" i="3"/>
  <c r="F4655" i="3"/>
  <c r="D4655" i="3"/>
  <c r="C4655" i="3" s="1"/>
  <c r="H4654" i="3"/>
  <c r="G4654" i="3"/>
  <c r="F4654" i="3"/>
  <c r="D4654" i="3"/>
  <c r="C4654" i="3" s="1"/>
  <c r="H4653" i="3"/>
  <c r="G4653" i="3"/>
  <c r="F4653" i="3"/>
  <c r="D4653" i="3"/>
  <c r="C4653" i="3" s="1"/>
  <c r="H4652" i="3"/>
  <c r="G4652" i="3"/>
  <c r="F4652" i="3"/>
  <c r="D4652" i="3"/>
  <c r="C4652" i="3"/>
  <c r="H4651" i="3"/>
  <c r="G4651" i="3"/>
  <c r="F4651" i="3"/>
  <c r="D4651" i="3"/>
  <c r="C4651" i="3" s="1"/>
  <c r="H4650" i="3"/>
  <c r="G4650" i="3"/>
  <c r="F4650" i="3"/>
  <c r="D4650" i="3"/>
  <c r="C4650" i="3"/>
  <c r="H4649" i="3"/>
  <c r="G4649" i="3"/>
  <c r="F4649" i="3"/>
  <c r="D4649" i="3"/>
  <c r="C4649" i="3"/>
  <c r="H4648" i="3"/>
  <c r="G4648" i="3"/>
  <c r="F4648" i="3"/>
  <c r="D4648" i="3"/>
  <c r="C4648" i="3"/>
  <c r="H4647" i="3"/>
  <c r="G4647" i="3"/>
  <c r="F4647" i="3"/>
  <c r="D4647" i="3"/>
  <c r="C4647" i="3" s="1"/>
  <c r="H4646" i="3"/>
  <c r="G4646" i="3"/>
  <c r="F4646" i="3"/>
  <c r="D4646" i="3"/>
  <c r="C4646" i="3" s="1"/>
  <c r="H4645" i="3"/>
  <c r="G4645" i="3"/>
  <c r="F4645" i="3"/>
  <c r="D4645" i="3"/>
  <c r="C4645" i="3" s="1"/>
  <c r="H4644" i="3"/>
  <c r="G4644" i="3"/>
  <c r="F4644" i="3"/>
  <c r="D4644" i="3"/>
  <c r="C4644" i="3"/>
  <c r="H4643" i="3"/>
  <c r="G4643" i="3"/>
  <c r="F4643" i="3"/>
  <c r="D4643" i="3"/>
  <c r="C4643" i="3"/>
  <c r="H4642" i="3"/>
  <c r="G4642" i="3"/>
  <c r="F4642" i="3"/>
  <c r="D4642" i="3"/>
  <c r="C4642" i="3"/>
  <c r="H4641" i="3"/>
  <c r="G4641" i="3"/>
  <c r="F4641" i="3"/>
  <c r="D4641" i="3"/>
  <c r="C4641" i="3"/>
  <c r="H4640" i="3"/>
  <c r="G4640" i="3"/>
  <c r="F4640" i="3"/>
  <c r="D4640" i="3"/>
  <c r="C4640" i="3"/>
  <c r="H4639" i="3"/>
  <c r="G4639" i="3"/>
  <c r="F4639" i="3"/>
  <c r="D4639" i="3"/>
  <c r="C4639" i="3" s="1"/>
  <c r="H4638" i="3"/>
  <c r="G4638" i="3"/>
  <c r="F4638" i="3"/>
  <c r="D4638" i="3"/>
  <c r="C4638" i="3" s="1"/>
  <c r="H4637" i="3"/>
  <c r="G4637" i="3"/>
  <c r="F4637" i="3"/>
  <c r="D4637" i="3"/>
  <c r="C4637" i="3" s="1"/>
  <c r="H4636" i="3"/>
  <c r="G4636" i="3"/>
  <c r="F4636" i="3"/>
  <c r="D4636" i="3"/>
  <c r="C4636" i="3"/>
  <c r="H4635" i="3"/>
  <c r="G4635" i="3"/>
  <c r="F4635" i="3"/>
  <c r="D4635" i="3"/>
  <c r="C4635" i="3" s="1"/>
  <c r="H4634" i="3"/>
  <c r="G4634" i="3"/>
  <c r="F4634" i="3"/>
  <c r="D4634" i="3"/>
  <c r="C4634" i="3"/>
  <c r="H4633" i="3"/>
  <c r="G4633" i="3"/>
  <c r="F4633" i="3"/>
  <c r="D4633" i="3"/>
  <c r="C4633" i="3"/>
  <c r="H4632" i="3"/>
  <c r="G4632" i="3"/>
  <c r="F4632" i="3"/>
  <c r="D4632" i="3"/>
  <c r="C4632" i="3"/>
  <c r="H4631" i="3"/>
  <c r="G4631" i="3"/>
  <c r="F4631" i="3"/>
  <c r="D4631" i="3"/>
  <c r="C4631" i="3" s="1"/>
  <c r="H4630" i="3"/>
  <c r="G4630" i="3"/>
  <c r="F4630" i="3"/>
  <c r="D4630" i="3"/>
  <c r="C4630" i="3" s="1"/>
  <c r="H4629" i="3"/>
  <c r="G4629" i="3"/>
  <c r="F4629" i="3"/>
  <c r="D4629" i="3"/>
  <c r="C4629" i="3" s="1"/>
  <c r="H4628" i="3"/>
  <c r="G4628" i="3"/>
  <c r="F4628" i="3"/>
  <c r="D4628" i="3"/>
  <c r="C4628" i="3"/>
  <c r="H4627" i="3"/>
  <c r="G4627" i="3"/>
  <c r="F4627" i="3"/>
  <c r="D4627" i="3"/>
  <c r="C4627" i="3" s="1"/>
  <c r="H4626" i="3"/>
  <c r="G4626" i="3"/>
  <c r="F4626" i="3"/>
  <c r="D4626" i="3"/>
  <c r="C4626" i="3"/>
  <c r="H4625" i="3"/>
  <c r="G4625" i="3"/>
  <c r="F4625" i="3"/>
  <c r="D4625" i="3"/>
  <c r="C4625" i="3"/>
  <c r="H4624" i="3"/>
  <c r="G4624" i="3"/>
  <c r="F4624" i="3"/>
  <c r="D4624" i="3"/>
  <c r="C4624" i="3"/>
  <c r="H4623" i="3"/>
  <c r="G4623" i="3"/>
  <c r="F4623" i="3"/>
  <c r="D4623" i="3"/>
  <c r="C4623" i="3" s="1"/>
  <c r="H4622" i="3"/>
  <c r="G4622" i="3"/>
  <c r="F4622" i="3"/>
  <c r="D4622" i="3"/>
  <c r="C4622" i="3" s="1"/>
  <c r="H4621" i="3"/>
  <c r="G4621" i="3"/>
  <c r="F4621" i="3"/>
  <c r="D4621" i="3"/>
  <c r="C4621" i="3" s="1"/>
  <c r="H4620" i="3"/>
  <c r="G4620" i="3"/>
  <c r="F4620" i="3"/>
  <c r="D4620" i="3"/>
  <c r="C4620" i="3"/>
  <c r="H4619" i="3"/>
  <c r="G4619" i="3"/>
  <c r="F4619" i="3"/>
  <c r="D4619" i="3"/>
  <c r="C4619" i="3"/>
  <c r="H4618" i="3"/>
  <c r="G4618" i="3"/>
  <c r="F4618" i="3"/>
  <c r="D4618" i="3"/>
  <c r="C4618" i="3"/>
  <c r="H4617" i="3"/>
  <c r="G4617" i="3"/>
  <c r="F4617" i="3"/>
  <c r="D4617" i="3"/>
  <c r="C4617" i="3"/>
  <c r="H4616" i="3"/>
  <c r="G4616" i="3"/>
  <c r="F4616" i="3"/>
  <c r="D4616" i="3"/>
  <c r="C4616" i="3"/>
  <c r="H4615" i="3"/>
  <c r="G4615" i="3"/>
  <c r="F4615" i="3"/>
  <c r="D4615" i="3"/>
  <c r="C4615" i="3" s="1"/>
  <c r="H4614" i="3"/>
  <c r="G4614" i="3"/>
  <c r="F4614" i="3"/>
  <c r="D4614" i="3"/>
  <c r="C4614" i="3" s="1"/>
  <c r="H4613" i="3"/>
  <c r="G4613" i="3"/>
  <c r="F4613" i="3"/>
  <c r="D4613" i="3"/>
  <c r="C4613" i="3" s="1"/>
  <c r="H4612" i="3"/>
  <c r="G4612" i="3"/>
  <c r="F4612" i="3"/>
  <c r="D4612" i="3"/>
  <c r="C4612" i="3"/>
  <c r="H4611" i="3"/>
  <c r="G4611" i="3"/>
  <c r="F4611" i="3"/>
  <c r="D4611" i="3"/>
  <c r="C4611" i="3"/>
  <c r="H4610" i="3"/>
  <c r="G4610" i="3"/>
  <c r="F4610" i="3"/>
  <c r="D4610" i="3"/>
  <c r="C4610" i="3"/>
  <c r="H4609" i="3"/>
  <c r="G4609" i="3"/>
  <c r="F4609" i="3"/>
  <c r="D4609" i="3"/>
  <c r="C4609" i="3"/>
  <c r="H4608" i="3"/>
  <c r="G4608" i="3"/>
  <c r="F4608" i="3"/>
  <c r="D4608" i="3"/>
  <c r="C4608" i="3"/>
  <c r="H4607" i="3"/>
  <c r="G4607" i="3"/>
  <c r="F4607" i="3"/>
  <c r="D4607" i="3"/>
  <c r="C4607" i="3" s="1"/>
  <c r="H4606" i="3"/>
  <c r="G4606" i="3"/>
  <c r="F4606" i="3"/>
  <c r="D4606" i="3"/>
  <c r="C4606" i="3" s="1"/>
  <c r="H4605" i="3"/>
  <c r="G4605" i="3"/>
  <c r="F4605" i="3"/>
  <c r="D4605" i="3"/>
  <c r="C4605" i="3" s="1"/>
  <c r="H4604" i="3"/>
  <c r="G4604" i="3"/>
  <c r="F4604" i="3"/>
  <c r="D4604" i="3"/>
  <c r="C4604" i="3"/>
  <c r="H4603" i="3"/>
  <c r="G4603" i="3"/>
  <c r="F4603" i="3"/>
  <c r="D4603" i="3"/>
  <c r="C4603" i="3"/>
  <c r="H4602" i="3"/>
  <c r="G4602" i="3"/>
  <c r="F4602" i="3"/>
  <c r="D4602" i="3"/>
  <c r="C4602" i="3"/>
  <c r="H4601" i="3"/>
  <c r="G4601" i="3"/>
  <c r="F4601" i="3"/>
  <c r="D4601" i="3"/>
  <c r="C4601" i="3"/>
  <c r="H4600" i="3"/>
  <c r="G4600" i="3"/>
  <c r="F4600" i="3"/>
  <c r="D4600" i="3"/>
  <c r="C4600" i="3"/>
  <c r="H4599" i="3"/>
  <c r="G4599" i="3"/>
  <c r="F4599" i="3"/>
  <c r="D4599" i="3"/>
  <c r="C4599" i="3" s="1"/>
  <c r="H4598" i="3"/>
  <c r="G4598" i="3"/>
  <c r="F4598" i="3"/>
  <c r="D4598" i="3"/>
  <c r="C4598" i="3" s="1"/>
  <c r="H4597" i="3"/>
  <c r="G4597" i="3"/>
  <c r="F4597" i="3"/>
  <c r="D4597" i="3"/>
  <c r="C4597" i="3" s="1"/>
  <c r="H4596" i="3"/>
  <c r="G4596" i="3"/>
  <c r="F4596" i="3"/>
  <c r="D4596" i="3"/>
  <c r="C4596" i="3"/>
  <c r="H4595" i="3"/>
  <c r="G4595" i="3"/>
  <c r="F4595" i="3"/>
  <c r="D4595" i="3"/>
  <c r="C4595" i="3" s="1"/>
  <c r="H4594" i="3"/>
  <c r="G4594" i="3"/>
  <c r="F4594" i="3"/>
  <c r="D4594" i="3"/>
  <c r="C4594" i="3"/>
  <c r="H4593" i="3"/>
  <c r="G4593" i="3"/>
  <c r="F4593" i="3"/>
  <c r="D4593" i="3"/>
  <c r="C4593" i="3"/>
  <c r="H4592" i="3"/>
  <c r="G4592" i="3"/>
  <c r="F4592" i="3"/>
  <c r="D4592" i="3"/>
  <c r="C4592" i="3"/>
  <c r="H4591" i="3"/>
  <c r="G4591" i="3"/>
  <c r="F4591" i="3"/>
  <c r="D4591" i="3"/>
  <c r="C4591" i="3" s="1"/>
  <c r="H4590" i="3"/>
  <c r="G4590" i="3"/>
  <c r="F4590" i="3"/>
  <c r="D4590" i="3"/>
  <c r="C4590" i="3" s="1"/>
  <c r="H4589" i="3"/>
  <c r="G4589" i="3"/>
  <c r="F4589" i="3"/>
  <c r="D4589" i="3"/>
  <c r="C4589" i="3" s="1"/>
  <c r="H4588" i="3"/>
  <c r="G4588" i="3"/>
  <c r="F4588" i="3"/>
  <c r="D4588" i="3"/>
  <c r="C4588" i="3"/>
  <c r="H4587" i="3"/>
  <c r="G4587" i="3"/>
  <c r="F4587" i="3"/>
  <c r="D4587" i="3"/>
  <c r="C4587" i="3" s="1"/>
  <c r="H4586" i="3"/>
  <c r="G4586" i="3"/>
  <c r="F4586" i="3"/>
  <c r="D4586" i="3"/>
  <c r="C4586" i="3"/>
  <c r="H4585" i="3"/>
  <c r="G4585" i="3"/>
  <c r="F4585" i="3"/>
  <c r="D4585" i="3"/>
  <c r="C4585" i="3"/>
  <c r="H4584" i="3"/>
  <c r="G4584" i="3"/>
  <c r="F4584" i="3"/>
  <c r="D4584" i="3"/>
  <c r="C4584" i="3"/>
  <c r="H4583" i="3"/>
  <c r="G4583" i="3"/>
  <c r="F4583" i="3"/>
  <c r="D4583" i="3"/>
  <c r="C4583" i="3" s="1"/>
  <c r="H4582" i="3"/>
  <c r="G4582" i="3"/>
  <c r="F4582" i="3"/>
  <c r="D4582" i="3"/>
  <c r="C4582" i="3" s="1"/>
  <c r="H4581" i="3"/>
  <c r="G4581" i="3"/>
  <c r="F4581" i="3"/>
  <c r="D4581" i="3"/>
  <c r="C4581" i="3" s="1"/>
  <c r="H4580" i="3"/>
  <c r="G4580" i="3"/>
  <c r="F4580" i="3"/>
  <c r="D4580" i="3"/>
  <c r="C4580" i="3"/>
  <c r="H4579" i="3"/>
  <c r="G4579" i="3"/>
  <c r="F4579" i="3"/>
  <c r="D4579" i="3"/>
  <c r="C4579" i="3"/>
  <c r="H4578" i="3"/>
  <c r="G4578" i="3"/>
  <c r="F4578" i="3"/>
  <c r="D4578" i="3"/>
  <c r="C4578" i="3"/>
  <c r="H4577" i="3"/>
  <c r="G4577" i="3"/>
  <c r="F4577" i="3"/>
  <c r="D4577" i="3"/>
  <c r="C4577" i="3"/>
  <c r="H4576" i="3"/>
  <c r="G4576" i="3"/>
  <c r="F4576" i="3"/>
  <c r="D4576" i="3"/>
  <c r="C4576" i="3"/>
  <c r="H4575" i="3"/>
  <c r="G4575" i="3"/>
  <c r="F4575" i="3"/>
  <c r="D4575" i="3"/>
  <c r="C4575" i="3" s="1"/>
  <c r="H4574" i="3"/>
  <c r="G4574" i="3"/>
  <c r="F4574" i="3"/>
  <c r="D4574" i="3"/>
  <c r="C4574" i="3" s="1"/>
  <c r="H4573" i="3"/>
  <c r="G4573" i="3"/>
  <c r="F4573" i="3"/>
  <c r="D4573" i="3"/>
  <c r="C4573" i="3" s="1"/>
  <c r="H4572" i="3"/>
  <c r="G4572" i="3"/>
  <c r="F4572" i="3"/>
  <c r="D4572" i="3"/>
  <c r="C4572" i="3"/>
  <c r="H4571" i="3"/>
  <c r="G4571" i="3"/>
  <c r="F4571" i="3"/>
  <c r="D4571" i="3"/>
  <c r="C4571" i="3" s="1"/>
  <c r="H4570" i="3"/>
  <c r="G4570" i="3"/>
  <c r="F4570" i="3"/>
  <c r="D4570" i="3"/>
  <c r="C4570" i="3"/>
  <c r="H4569" i="3"/>
  <c r="G4569" i="3"/>
  <c r="F4569" i="3"/>
  <c r="D4569" i="3"/>
  <c r="C4569" i="3"/>
  <c r="H4568" i="3"/>
  <c r="G4568" i="3"/>
  <c r="F4568" i="3"/>
  <c r="D4568" i="3"/>
  <c r="C4568" i="3"/>
  <c r="H4567" i="3"/>
  <c r="G4567" i="3"/>
  <c r="F4567" i="3"/>
  <c r="D4567" i="3"/>
  <c r="C4567" i="3" s="1"/>
  <c r="H4566" i="3"/>
  <c r="G4566" i="3"/>
  <c r="F4566" i="3"/>
  <c r="D4566" i="3"/>
  <c r="C4566" i="3" s="1"/>
  <c r="H4565" i="3"/>
  <c r="G4565" i="3"/>
  <c r="F4565" i="3"/>
  <c r="D4565" i="3"/>
  <c r="C4565" i="3" s="1"/>
  <c r="H4564" i="3"/>
  <c r="G4564" i="3"/>
  <c r="F4564" i="3"/>
  <c r="D4564" i="3"/>
  <c r="C4564" i="3"/>
  <c r="H4563" i="3"/>
  <c r="G4563" i="3"/>
  <c r="F4563" i="3"/>
  <c r="D4563" i="3"/>
  <c r="C4563" i="3" s="1"/>
  <c r="H4562" i="3"/>
  <c r="G4562" i="3"/>
  <c r="F4562" i="3"/>
  <c r="D4562" i="3"/>
  <c r="C4562" i="3"/>
  <c r="H4561" i="3"/>
  <c r="G4561" i="3"/>
  <c r="F4561" i="3"/>
  <c r="D4561" i="3"/>
  <c r="C4561" i="3"/>
  <c r="H4560" i="3"/>
  <c r="G4560" i="3"/>
  <c r="F4560" i="3"/>
  <c r="D4560" i="3"/>
  <c r="C4560" i="3"/>
  <c r="H4559" i="3"/>
  <c r="G4559" i="3"/>
  <c r="F4559" i="3"/>
  <c r="D4559" i="3"/>
  <c r="C4559" i="3" s="1"/>
  <c r="H4558" i="3"/>
  <c r="G4558" i="3"/>
  <c r="F4558" i="3"/>
  <c r="D4558" i="3"/>
  <c r="C4558" i="3" s="1"/>
  <c r="H4557" i="3"/>
  <c r="G4557" i="3"/>
  <c r="F4557" i="3"/>
  <c r="D4557" i="3"/>
  <c r="C4557" i="3" s="1"/>
  <c r="H4556" i="3"/>
  <c r="G4556" i="3"/>
  <c r="F4556" i="3"/>
  <c r="D4556" i="3"/>
  <c r="C4556" i="3"/>
  <c r="H4555" i="3"/>
  <c r="G4555" i="3"/>
  <c r="F4555" i="3"/>
  <c r="D4555" i="3"/>
  <c r="C4555" i="3"/>
  <c r="H4554" i="3"/>
  <c r="G4554" i="3"/>
  <c r="F4554" i="3"/>
  <c r="D4554" i="3"/>
  <c r="C4554" i="3"/>
  <c r="H4553" i="3"/>
  <c r="G4553" i="3"/>
  <c r="F4553" i="3"/>
  <c r="D4553" i="3"/>
  <c r="C4553" i="3"/>
  <c r="H4552" i="3"/>
  <c r="G4552" i="3"/>
  <c r="F4552" i="3"/>
  <c r="D4552" i="3"/>
  <c r="C4552" i="3"/>
  <c r="H4551" i="3"/>
  <c r="G4551" i="3"/>
  <c r="F4551" i="3"/>
  <c r="D4551" i="3"/>
  <c r="C4551" i="3" s="1"/>
  <c r="H4550" i="3"/>
  <c r="G4550" i="3"/>
  <c r="F4550" i="3"/>
  <c r="D4550" i="3"/>
  <c r="C4550" i="3" s="1"/>
  <c r="H4549" i="3"/>
  <c r="G4549" i="3"/>
  <c r="F4549" i="3"/>
  <c r="D4549" i="3"/>
  <c r="C4549" i="3" s="1"/>
  <c r="H4548" i="3"/>
  <c r="G4548" i="3"/>
  <c r="F4548" i="3"/>
  <c r="D4548" i="3"/>
  <c r="C4548" i="3"/>
  <c r="H4547" i="3"/>
  <c r="G4547" i="3"/>
  <c r="F4547" i="3"/>
  <c r="D4547" i="3"/>
  <c r="C4547" i="3"/>
  <c r="H4546" i="3"/>
  <c r="G4546" i="3"/>
  <c r="F4546" i="3"/>
  <c r="D4546" i="3"/>
  <c r="C4546" i="3"/>
  <c r="H4545" i="3"/>
  <c r="G4545" i="3"/>
  <c r="F4545" i="3"/>
  <c r="D4545" i="3"/>
  <c r="C4545" i="3"/>
  <c r="H4544" i="3"/>
  <c r="G4544" i="3"/>
  <c r="F4544" i="3"/>
  <c r="D4544" i="3"/>
  <c r="C4544" i="3"/>
  <c r="H4543" i="3"/>
  <c r="G4543" i="3"/>
  <c r="F4543" i="3"/>
  <c r="D4543" i="3"/>
  <c r="C4543" i="3" s="1"/>
  <c r="H4542" i="3"/>
  <c r="G4542" i="3"/>
  <c r="F4542" i="3"/>
  <c r="D4542" i="3"/>
  <c r="C4542" i="3" s="1"/>
  <c r="H4541" i="3"/>
  <c r="G4541" i="3"/>
  <c r="F4541" i="3"/>
  <c r="D4541" i="3"/>
  <c r="C4541" i="3" s="1"/>
  <c r="H4540" i="3"/>
  <c r="G4540" i="3"/>
  <c r="F4540" i="3"/>
  <c r="D4540" i="3"/>
  <c r="C4540" i="3"/>
  <c r="H4539" i="3"/>
  <c r="G4539" i="3"/>
  <c r="F4539" i="3"/>
  <c r="D4539" i="3"/>
  <c r="C4539" i="3"/>
  <c r="H4538" i="3"/>
  <c r="G4538" i="3"/>
  <c r="F4538" i="3"/>
  <c r="D4538" i="3"/>
  <c r="C4538" i="3"/>
  <c r="H4537" i="3"/>
  <c r="G4537" i="3"/>
  <c r="F4537" i="3"/>
  <c r="D4537" i="3"/>
  <c r="C4537" i="3"/>
  <c r="H4536" i="3"/>
  <c r="G4536" i="3"/>
  <c r="F4536" i="3"/>
  <c r="D4536" i="3"/>
  <c r="C4536" i="3"/>
  <c r="H4535" i="3"/>
  <c r="G4535" i="3"/>
  <c r="F4535" i="3"/>
  <c r="D4535" i="3"/>
  <c r="C4535" i="3" s="1"/>
  <c r="H4534" i="3"/>
  <c r="G4534" i="3"/>
  <c r="F4534" i="3"/>
  <c r="D4534" i="3"/>
  <c r="C4534" i="3" s="1"/>
  <c r="H4533" i="3"/>
  <c r="G4533" i="3"/>
  <c r="F4533" i="3"/>
  <c r="D4533" i="3"/>
  <c r="C4533" i="3" s="1"/>
  <c r="H4532" i="3"/>
  <c r="G4532" i="3"/>
  <c r="F4532" i="3"/>
  <c r="D4532" i="3"/>
  <c r="C4532" i="3"/>
  <c r="H4531" i="3"/>
  <c r="G4531" i="3"/>
  <c r="F4531" i="3"/>
  <c r="D4531" i="3"/>
  <c r="C4531" i="3" s="1"/>
  <c r="H4530" i="3"/>
  <c r="G4530" i="3"/>
  <c r="F4530" i="3"/>
  <c r="D4530" i="3"/>
  <c r="C4530" i="3"/>
  <c r="H4529" i="3"/>
  <c r="G4529" i="3"/>
  <c r="F4529" i="3"/>
  <c r="D4529" i="3"/>
  <c r="C4529" i="3"/>
  <c r="H4528" i="3"/>
  <c r="G4528" i="3"/>
  <c r="F4528" i="3"/>
  <c r="D4528" i="3"/>
  <c r="C4528" i="3"/>
  <c r="H4527" i="3"/>
  <c r="G4527" i="3"/>
  <c r="F4527" i="3"/>
  <c r="D4527" i="3"/>
  <c r="C4527" i="3" s="1"/>
  <c r="H4526" i="3"/>
  <c r="G4526" i="3"/>
  <c r="F4526" i="3"/>
  <c r="D4526" i="3"/>
  <c r="C4526" i="3" s="1"/>
  <c r="H4525" i="3"/>
  <c r="G4525" i="3"/>
  <c r="F4525" i="3"/>
  <c r="D4525" i="3"/>
  <c r="C4525" i="3" s="1"/>
  <c r="H4524" i="3"/>
  <c r="G4524" i="3"/>
  <c r="F4524" i="3"/>
  <c r="D4524" i="3"/>
  <c r="C4524" i="3"/>
  <c r="H4523" i="3"/>
  <c r="G4523" i="3"/>
  <c r="F4523" i="3"/>
  <c r="D4523" i="3"/>
  <c r="C4523" i="3" s="1"/>
  <c r="H4522" i="3"/>
  <c r="G4522" i="3"/>
  <c r="F4522" i="3"/>
  <c r="D4522" i="3"/>
  <c r="C4522" i="3"/>
  <c r="H4521" i="3"/>
  <c r="G4521" i="3"/>
  <c r="F4521" i="3"/>
  <c r="D4521" i="3"/>
  <c r="C4521" i="3"/>
  <c r="H4520" i="3"/>
  <c r="G4520" i="3"/>
  <c r="F4520" i="3"/>
  <c r="D4520" i="3"/>
  <c r="C4520" i="3"/>
  <c r="H4519" i="3"/>
  <c r="G4519" i="3"/>
  <c r="F4519" i="3"/>
  <c r="D4519" i="3"/>
  <c r="C4519" i="3" s="1"/>
  <c r="H4518" i="3"/>
  <c r="G4518" i="3"/>
  <c r="F4518" i="3"/>
  <c r="D4518" i="3"/>
  <c r="C4518" i="3" s="1"/>
  <c r="H4517" i="3"/>
  <c r="G4517" i="3"/>
  <c r="F4517" i="3"/>
  <c r="D4517" i="3"/>
  <c r="C4517" i="3" s="1"/>
  <c r="H4516" i="3"/>
  <c r="G4516" i="3"/>
  <c r="F4516" i="3"/>
  <c r="D4516" i="3"/>
  <c r="C4516" i="3"/>
  <c r="H4515" i="3"/>
  <c r="G4515" i="3"/>
  <c r="F4515" i="3"/>
  <c r="D4515" i="3"/>
  <c r="C4515" i="3"/>
  <c r="H4514" i="3"/>
  <c r="G4514" i="3"/>
  <c r="F4514" i="3"/>
  <c r="D4514" i="3"/>
  <c r="C4514" i="3"/>
  <c r="H4513" i="3"/>
  <c r="G4513" i="3"/>
  <c r="F4513" i="3"/>
  <c r="D4513" i="3"/>
  <c r="C4513" i="3"/>
  <c r="H4512" i="3"/>
  <c r="G4512" i="3"/>
  <c r="F4512" i="3"/>
  <c r="D4512" i="3"/>
  <c r="C4512" i="3"/>
  <c r="H4511" i="3"/>
  <c r="G4511" i="3"/>
  <c r="F4511" i="3"/>
  <c r="D4511" i="3"/>
  <c r="C4511" i="3" s="1"/>
  <c r="H4510" i="3"/>
  <c r="G4510" i="3"/>
  <c r="F4510" i="3"/>
  <c r="D4510" i="3"/>
  <c r="C4510" i="3" s="1"/>
  <c r="H4509" i="3"/>
  <c r="G4509" i="3"/>
  <c r="F4509" i="3"/>
  <c r="D4509" i="3"/>
  <c r="C4509" i="3" s="1"/>
  <c r="H4508" i="3"/>
  <c r="G4508" i="3"/>
  <c r="F4508" i="3"/>
  <c r="D4508" i="3"/>
  <c r="C4508" i="3"/>
  <c r="H4507" i="3"/>
  <c r="G4507" i="3"/>
  <c r="F4507" i="3"/>
  <c r="D4507" i="3"/>
  <c r="C4507" i="3" s="1"/>
  <c r="H4506" i="3"/>
  <c r="G4506" i="3"/>
  <c r="F4506" i="3"/>
  <c r="D4506" i="3"/>
  <c r="C4506" i="3"/>
  <c r="H4505" i="3"/>
  <c r="G4505" i="3"/>
  <c r="F4505" i="3"/>
  <c r="D4505" i="3"/>
  <c r="C4505" i="3"/>
  <c r="H4504" i="3"/>
  <c r="G4504" i="3"/>
  <c r="F4504" i="3"/>
  <c r="D4504" i="3"/>
  <c r="C4504" i="3"/>
  <c r="H4503" i="3"/>
  <c r="G4503" i="3"/>
  <c r="F4503" i="3"/>
  <c r="D4503" i="3"/>
  <c r="C4503" i="3" s="1"/>
  <c r="H4502" i="3"/>
  <c r="G4502" i="3"/>
  <c r="F4502" i="3"/>
  <c r="D4502" i="3"/>
  <c r="C4502" i="3" s="1"/>
  <c r="H4501" i="3"/>
  <c r="G4501" i="3"/>
  <c r="F4501" i="3"/>
  <c r="D4501" i="3"/>
  <c r="C4501" i="3" s="1"/>
  <c r="H4500" i="3"/>
  <c r="G4500" i="3"/>
  <c r="F4500" i="3"/>
  <c r="D4500" i="3"/>
  <c r="C4500" i="3"/>
  <c r="H4499" i="3"/>
  <c r="G4499" i="3"/>
  <c r="F4499" i="3"/>
  <c r="D4499" i="3"/>
  <c r="C4499" i="3"/>
  <c r="H4498" i="3"/>
  <c r="G4498" i="3"/>
  <c r="F4498" i="3"/>
  <c r="D4498" i="3"/>
  <c r="C4498" i="3"/>
  <c r="H4497" i="3"/>
  <c r="G4497" i="3"/>
  <c r="F4497" i="3"/>
  <c r="D4497" i="3"/>
  <c r="C4497" i="3"/>
  <c r="H4496" i="3"/>
  <c r="G4496" i="3"/>
  <c r="F4496" i="3"/>
  <c r="D4496" i="3"/>
  <c r="C4496" i="3"/>
  <c r="H4495" i="3"/>
  <c r="G4495" i="3"/>
  <c r="F4495" i="3"/>
  <c r="D4495" i="3"/>
  <c r="C4495" i="3" s="1"/>
  <c r="H4494" i="3"/>
  <c r="G4494" i="3"/>
  <c r="F4494" i="3"/>
  <c r="D4494" i="3"/>
  <c r="C4494" i="3" s="1"/>
  <c r="H4493" i="3"/>
  <c r="G4493" i="3"/>
  <c r="F4493" i="3"/>
  <c r="D4493" i="3"/>
  <c r="C4493" i="3" s="1"/>
  <c r="H4492" i="3"/>
  <c r="G4492" i="3"/>
  <c r="F4492" i="3"/>
  <c r="D4492" i="3"/>
  <c r="C4492" i="3"/>
  <c r="H4491" i="3"/>
  <c r="G4491" i="3"/>
  <c r="F4491" i="3"/>
  <c r="D4491" i="3"/>
  <c r="C4491" i="3"/>
  <c r="H4490" i="3"/>
  <c r="G4490" i="3"/>
  <c r="F4490" i="3"/>
  <c r="D4490" i="3"/>
  <c r="C4490" i="3"/>
  <c r="H4489" i="3"/>
  <c r="G4489" i="3"/>
  <c r="F4489" i="3"/>
  <c r="D4489" i="3"/>
  <c r="C4489" i="3"/>
  <c r="H4488" i="3"/>
  <c r="G4488" i="3"/>
  <c r="F4488" i="3"/>
  <c r="D4488" i="3"/>
  <c r="C4488" i="3"/>
  <c r="H4487" i="3"/>
  <c r="G4487" i="3"/>
  <c r="F4487" i="3"/>
  <c r="D4487" i="3"/>
  <c r="C4487" i="3" s="1"/>
  <c r="H4486" i="3"/>
  <c r="G4486" i="3"/>
  <c r="F4486" i="3"/>
  <c r="D4486" i="3"/>
  <c r="C4486" i="3" s="1"/>
  <c r="H4485" i="3"/>
  <c r="G4485" i="3"/>
  <c r="F4485" i="3"/>
  <c r="D4485" i="3"/>
  <c r="C4485" i="3" s="1"/>
  <c r="H4484" i="3"/>
  <c r="G4484" i="3"/>
  <c r="F4484" i="3"/>
  <c r="D4484" i="3"/>
  <c r="C4484" i="3"/>
  <c r="H4483" i="3"/>
  <c r="G4483" i="3"/>
  <c r="F4483" i="3"/>
  <c r="D4483" i="3"/>
  <c r="C4483" i="3"/>
  <c r="H4482" i="3"/>
  <c r="G4482" i="3"/>
  <c r="F4482" i="3"/>
  <c r="D4482" i="3"/>
  <c r="C4482" i="3"/>
  <c r="H4481" i="3"/>
  <c r="G4481" i="3"/>
  <c r="F4481" i="3"/>
  <c r="D4481" i="3"/>
  <c r="C4481" i="3"/>
  <c r="H4480" i="3"/>
  <c r="G4480" i="3"/>
  <c r="F4480" i="3"/>
  <c r="D4480" i="3"/>
  <c r="C4480" i="3"/>
  <c r="H4479" i="3"/>
  <c r="G4479" i="3"/>
  <c r="F4479" i="3"/>
  <c r="D4479" i="3"/>
  <c r="C4479" i="3" s="1"/>
  <c r="H4478" i="3"/>
  <c r="G4478" i="3"/>
  <c r="F4478" i="3"/>
  <c r="D4478" i="3"/>
  <c r="C4478" i="3" s="1"/>
  <c r="H4477" i="3"/>
  <c r="G4477" i="3"/>
  <c r="F4477" i="3"/>
  <c r="D4477" i="3"/>
  <c r="C4477" i="3" s="1"/>
  <c r="H4476" i="3"/>
  <c r="G4476" i="3"/>
  <c r="F4476" i="3"/>
  <c r="D4476" i="3"/>
  <c r="C4476" i="3"/>
  <c r="H4475" i="3"/>
  <c r="G4475" i="3"/>
  <c r="F4475" i="3"/>
  <c r="D4475" i="3"/>
  <c r="C4475" i="3"/>
  <c r="H4474" i="3"/>
  <c r="G4474" i="3"/>
  <c r="F4474" i="3"/>
  <c r="D4474" i="3"/>
  <c r="C4474" i="3"/>
  <c r="H4473" i="3"/>
  <c r="G4473" i="3"/>
  <c r="F4473" i="3"/>
  <c r="D4473" i="3"/>
  <c r="C4473" i="3"/>
  <c r="H4472" i="3"/>
  <c r="G4472" i="3"/>
  <c r="F4472" i="3"/>
  <c r="D4472" i="3"/>
  <c r="C4472" i="3"/>
  <c r="H4471" i="3"/>
  <c r="G4471" i="3"/>
  <c r="F4471" i="3"/>
  <c r="D4471" i="3"/>
  <c r="C4471" i="3" s="1"/>
  <c r="H4470" i="3"/>
  <c r="G4470" i="3"/>
  <c r="F4470" i="3"/>
  <c r="D4470" i="3"/>
  <c r="C4470" i="3" s="1"/>
  <c r="H4469" i="3"/>
  <c r="G4469" i="3"/>
  <c r="F4469" i="3"/>
  <c r="D4469" i="3"/>
  <c r="C4469" i="3" s="1"/>
  <c r="H4468" i="3"/>
  <c r="G4468" i="3"/>
  <c r="F4468" i="3"/>
  <c r="D4468" i="3"/>
  <c r="C4468" i="3"/>
  <c r="H4467" i="3"/>
  <c r="G4467" i="3"/>
  <c r="F4467" i="3"/>
  <c r="D4467" i="3"/>
  <c r="C4467" i="3" s="1"/>
  <c r="H4466" i="3"/>
  <c r="G4466" i="3"/>
  <c r="F4466" i="3"/>
  <c r="D4466" i="3"/>
  <c r="C4466" i="3"/>
  <c r="H4465" i="3"/>
  <c r="G4465" i="3"/>
  <c r="F4465" i="3"/>
  <c r="D4465" i="3"/>
  <c r="C4465" i="3"/>
  <c r="H4464" i="3"/>
  <c r="G4464" i="3"/>
  <c r="F4464" i="3"/>
  <c r="D4464" i="3"/>
  <c r="C4464" i="3"/>
  <c r="H4463" i="3"/>
  <c r="G4463" i="3"/>
  <c r="F4463" i="3"/>
  <c r="D4463" i="3"/>
  <c r="C4463" i="3" s="1"/>
  <c r="H4462" i="3"/>
  <c r="G4462" i="3"/>
  <c r="F4462" i="3"/>
  <c r="D4462" i="3"/>
  <c r="C4462" i="3" s="1"/>
  <c r="H4461" i="3"/>
  <c r="G4461" i="3"/>
  <c r="F4461" i="3"/>
  <c r="D4461" i="3"/>
  <c r="C4461" i="3" s="1"/>
  <c r="H4460" i="3"/>
  <c r="G4460" i="3"/>
  <c r="F4460" i="3"/>
  <c r="D4460" i="3"/>
  <c r="C4460" i="3"/>
  <c r="H4459" i="3"/>
  <c r="G4459" i="3"/>
  <c r="F4459" i="3"/>
  <c r="D4459" i="3"/>
  <c r="C4459" i="3" s="1"/>
  <c r="H4458" i="3"/>
  <c r="G4458" i="3"/>
  <c r="F4458" i="3"/>
  <c r="D4458" i="3"/>
  <c r="C4458" i="3"/>
  <c r="H4457" i="3"/>
  <c r="G4457" i="3"/>
  <c r="F4457" i="3"/>
  <c r="D4457" i="3"/>
  <c r="C4457" i="3"/>
  <c r="H4456" i="3"/>
  <c r="G4456" i="3"/>
  <c r="F4456" i="3"/>
  <c r="D4456" i="3"/>
  <c r="C4456" i="3"/>
  <c r="H4455" i="3"/>
  <c r="G4455" i="3"/>
  <c r="F4455" i="3"/>
  <c r="D4455" i="3"/>
  <c r="C4455" i="3" s="1"/>
  <c r="H4454" i="3"/>
  <c r="G4454" i="3"/>
  <c r="F4454" i="3"/>
  <c r="D4454" i="3"/>
  <c r="C4454" i="3" s="1"/>
  <c r="H4453" i="3"/>
  <c r="G4453" i="3"/>
  <c r="F4453" i="3"/>
  <c r="D4453" i="3"/>
  <c r="C4453" i="3" s="1"/>
  <c r="H4452" i="3"/>
  <c r="G4452" i="3"/>
  <c r="F4452" i="3"/>
  <c r="D4452" i="3"/>
  <c r="C4452" i="3"/>
  <c r="H4451" i="3"/>
  <c r="G4451" i="3"/>
  <c r="F4451" i="3"/>
  <c r="D4451" i="3"/>
  <c r="C4451" i="3"/>
  <c r="H4450" i="3"/>
  <c r="G4450" i="3"/>
  <c r="F4450" i="3"/>
  <c r="D4450" i="3"/>
  <c r="C4450" i="3"/>
  <c r="H4449" i="3"/>
  <c r="G4449" i="3"/>
  <c r="F4449" i="3"/>
  <c r="D4449" i="3"/>
  <c r="C4449" i="3"/>
  <c r="H4448" i="3"/>
  <c r="G4448" i="3"/>
  <c r="F4448" i="3"/>
  <c r="D4448" i="3"/>
  <c r="C4448" i="3"/>
  <c r="H4447" i="3"/>
  <c r="G4447" i="3"/>
  <c r="F4447" i="3"/>
  <c r="D4447" i="3"/>
  <c r="C4447" i="3" s="1"/>
  <c r="H4446" i="3"/>
  <c r="G4446" i="3"/>
  <c r="F4446" i="3"/>
  <c r="D4446" i="3"/>
  <c r="C4446" i="3" s="1"/>
  <c r="H4445" i="3"/>
  <c r="G4445" i="3"/>
  <c r="F4445" i="3"/>
  <c r="D4445" i="3"/>
  <c r="C4445" i="3" s="1"/>
  <c r="H4444" i="3"/>
  <c r="G4444" i="3"/>
  <c r="F4444" i="3"/>
  <c r="D4444" i="3"/>
  <c r="C4444" i="3"/>
  <c r="H4443" i="3"/>
  <c r="G4443" i="3"/>
  <c r="F4443" i="3"/>
  <c r="D4443" i="3"/>
  <c r="C4443" i="3" s="1"/>
  <c r="H4442" i="3"/>
  <c r="G4442" i="3"/>
  <c r="F4442" i="3"/>
  <c r="D4442" i="3"/>
  <c r="C4442" i="3"/>
  <c r="H4441" i="3"/>
  <c r="G4441" i="3"/>
  <c r="F4441" i="3"/>
  <c r="D4441" i="3"/>
  <c r="C4441" i="3"/>
  <c r="H4440" i="3"/>
  <c r="G4440" i="3"/>
  <c r="F4440" i="3"/>
  <c r="D4440" i="3"/>
  <c r="C4440" i="3"/>
  <c r="H4439" i="3"/>
  <c r="G4439" i="3"/>
  <c r="F4439" i="3"/>
  <c r="D4439" i="3"/>
  <c r="C4439" i="3" s="1"/>
  <c r="H4438" i="3"/>
  <c r="G4438" i="3"/>
  <c r="F4438" i="3"/>
  <c r="D4438" i="3"/>
  <c r="C4438" i="3" s="1"/>
  <c r="H4437" i="3"/>
  <c r="G4437" i="3"/>
  <c r="F4437" i="3"/>
  <c r="D4437" i="3"/>
  <c r="C4437" i="3" s="1"/>
  <c r="H4436" i="3"/>
  <c r="G4436" i="3"/>
  <c r="F4436" i="3"/>
  <c r="D4436" i="3"/>
  <c r="C4436" i="3"/>
  <c r="H4435" i="3"/>
  <c r="G4435" i="3"/>
  <c r="F4435" i="3"/>
  <c r="D4435" i="3"/>
  <c r="C4435" i="3"/>
  <c r="H4434" i="3"/>
  <c r="G4434" i="3"/>
  <c r="F4434" i="3"/>
  <c r="D4434" i="3"/>
  <c r="C4434" i="3"/>
  <c r="H4433" i="3"/>
  <c r="G4433" i="3"/>
  <c r="F4433" i="3"/>
  <c r="D4433" i="3"/>
  <c r="C4433" i="3"/>
  <c r="H4432" i="3"/>
  <c r="G4432" i="3"/>
  <c r="F4432" i="3"/>
  <c r="D4432" i="3"/>
  <c r="C4432" i="3"/>
  <c r="H4431" i="3"/>
  <c r="G4431" i="3"/>
  <c r="F4431" i="3"/>
  <c r="D4431" i="3"/>
  <c r="C4431" i="3" s="1"/>
  <c r="H4430" i="3"/>
  <c r="G4430" i="3"/>
  <c r="F4430" i="3"/>
  <c r="D4430" i="3"/>
  <c r="C4430" i="3" s="1"/>
  <c r="H4429" i="3"/>
  <c r="G4429" i="3"/>
  <c r="F4429" i="3"/>
  <c r="D4429" i="3"/>
  <c r="C4429" i="3" s="1"/>
  <c r="H4428" i="3"/>
  <c r="G4428" i="3"/>
  <c r="F4428" i="3"/>
  <c r="D4428" i="3"/>
  <c r="C4428" i="3"/>
  <c r="H4427" i="3"/>
  <c r="G4427" i="3"/>
  <c r="F4427" i="3"/>
  <c r="D4427" i="3"/>
  <c r="C4427" i="3"/>
  <c r="H4426" i="3"/>
  <c r="G4426" i="3"/>
  <c r="F4426" i="3"/>
  <c r="D4426" i="3"/>
  <c r="C4426" i="3"/>
  <c r="H4425" i="3"/>
  <c r="G4425" i="3"/>
  <c r="F4425" i="3"/>
  <c r="D4425" i="3"/>
  <c r="C4425" i="3"/>
  <c r="H4424" i="3"/>
  <c r="G4424" i="3"/>
  <c r="F4424" i="3"/>
  <c r="D4424" i="3"/>
  <c r="C4424" i="3" s="1"/>
  <c r="H4423" i="3"/>
  <c r="G4423" i="3"/>
  <c r="F4423" i="3"/>
  <c r="D4423" i="3"/>
  <c r="C4423" i="3" s="1"/>
  <c r="H4422" i="3"/>
  <c r="G4422" i="3"/>
  <c r="F4422" i="3"/>
  <c r="D4422" i="3"/>
  <c r="C4422" i="3"/>
  <c r="H4421" i="3"/>
  <c r="G4421" i="3"/>
  <c r="F4421" i="3"/>
  <c r="D4421" i="3"/>
  <c r="C4421" i="3" s="1"/>
  <c r="H4420" i="3"/>
  <c r="G4420" i="3"/>
  <c r="F4420" i="3"/>
  <c r="D4420" i="3"/>
  <c r="C4420" i="3"/>
  <c r="H4419" i="3"/>
  <c r="G4419" i="3"/>
  <c r="F4419" i="3"/>
  <c r="D4419" i="3"/>
  <c r="C4419" i="3"/>
  <c r="H4418" i="3"/>
  <c r="G4418" i="3"/>
  <c r="F4418" i="3"/>
  <c r="D4418" i="3"/>
  <c r="C4418" i="3"/>
  <c r="H4417" i="3"/>
  <c r="G4417" i="3"/>
  <c r="F4417" i="3"/>
  <c r="D4417" i="3"/>
  <c r="C4417" i="3"/>
  <c r="H4416" i="3"/>
  <c r="G4416" i="3"/>
  <c r="F4416" i="3"/>
  <c r="D4416" i="3"/>
  <c r="C4416" i="3" s="1"/>
  <c r="H4415" i="3"/>
  <c r="G4415" i="3"/>
  <c r="F4415" i="3"/>
  <c r="D4415" i="3"/>
  <c r="C4415" i="3" s="1"/>
  <c r="H4414" i="3"/>
  <c r="G4414" i="3"/>
  <c r="F4414" i="3"/>
  <c r="D4414" i="3"/>
  <c r="C4414" i="3"/>
  <c r="H4413" i="3"/>
  <c r="G4413" i="3"/>
  <c r="F4413" i="3"/>
  <c r="D4413" i="3"/>
  <c r="C4413" i="3" s="1"/>
  <c r="H4412" i="3"/>
  <c r="G4412" i="3"/>
  <c r="F4412" i="3"/>
  <c r="D4412" i="3"/>
  <c r="C4412" i="3"/>
  <c r="H4411" i="3"/>
  <c r="G4411" i="3"/>
  <c r="F4411" i="3"/>
  <c r="D4411" i="3"/>
  <c r="C4411" i="3"/>
  <c r="H4410" i="3"/>
  <c r="G4410" i="3"/>
  <c r="F4410" i="3"/>
  <c r="D4410" i="3"/>
  <c r="C4410" i="3"/>
  <c r="H4409" i="3"/>
  <c r="G4409" i="3"/>
  <c r="F4409" i="3"/>
  <c r="D4409" i="3"/>
  <c r="C4409" i="3"/>
  <c r="H4408" i="3"/>
  <c r="G4408" i="3"/>
  <c r="F4408" i="3"/>
  <c r="D4408" i="3"/>
  <c r="C4408" i="3" s="1"/>
  <c r="H4407" i="3"/>
  <c r="G4407" i="3"/>
  <c r="F4407" i="3"/>
  <c r="D4407" i="3"/>
  <c r="C4407" i="3" s="1"/>
  <c r="H4406" i="3"/>
  <c r="G4406" i="3"/>
  <c r="F4406" i="3"/>
  <c r="D4406" i="3"/>
  <c r="C4406" i="3"/>
  <c r="H4405" i="3"/>
  <c r="G4405" i="3"/>
  <c r="F4405" i="3"/>
  <c r="D4405" i="3"/>
  <c r="C4405" i="3" s="1"/>
  <c r="H4404" i="3"/>
  <c r="G4404" i="3"/>
  <c r="F4404" i="3"/>
  <c r="D4404" i="3"/>
  <c r="C4404" i="3" s="1"/>
  <c r="H4403" i="3"/>
  <c r="G4403" i="3"/>
  <c r="F4403" i="3"/>
  <c r="D4403" i="3"/>
  <c r="C4403" i="3"/>
  <c r="H4402" i="3"/>
  <c r="G4402" i="3"/>
  <c r="F4402" i="3"/>
  <c r="D4402" i="3"/>
  <c r="C4402" i="3"/>
  <c r="H4401" i="3"/>
  <c r="G4401" i="3"/>
  <c r="F4401" i="3"/>
  <c r="D4401" i="3"/>
  <c r="C4401" i="3"/>
  <c r="H4400" i="3"/>
  <c r="G4400" i="3"/>
  <c r="F4400" i="3"/>
  <c r="D4400" i="3"/>
  <c r="C4400" i="3" s="1"/>
  <c r="H4399" i="3"/>
  <c r="G4399" i="3"/>
  <c r="F4399" i="3"/>
  <c r="D4399" i="3"/>
  <c r="C4399" i="3" s="1"/>
  <c r="H4398" i="3"/>
  <c r="G4398" i="3"/>
  <c r="F4398" i="3"/>
  <c r="D4398" i="3"/>
  <c r="C4398" i="3"/>
  <c r="H4397" i="3"/>
  <c r="G4397" i="3"/>
  <c r="F4397" i="3"/>
  <c r="D4397" i="3"/>
  <c r="C4397" i="3" s="1"/>
  <c r="H4396" i="3"/>
  <c r="G4396" i="3"/>
  <c r="F4396" i="3"/>
  <c r="D4396" i="3"/>
  <c r="C4396" i="3"/>
  <c r="H4395" i="3"/>
  <c r="G4395" i="3"/>
  <c r="F4395" i="3"/>
  <c r="D4395" i="3"/>
  <c r="C4395" i="3"/>
  <c r="H4394" i="3"/>
  <c r="G4394" i="3"/>
  <c r="F4394" i="3"/>
  <c r="D4394" i="3"/>
  <c r="C4394" i="3"/>
  <c r="H4393" i="3"/>
  <c r="G4393" i="3"/>
  <c r="F4393" i="3"/>
  <c r="D4393" i="3"/>
  <c r="C4393" i="3"/>
  <c r="H4392" i="3"/>
  <c r="G4392" i="3"/>
  <c r="F4392" i="3"/>
  <c r="D4392" i="3"/>
  <c r="C4392" i="3" s="1"/>
  <c r="H4391" i="3"/>
  <c r="G4391" i="3"/>
  <c r="F4391" i="3"/>
  <c r="D4391" i="3"/>
  <c r="C4391" i="3" s="1"/>
  <c r="H4390" i="3"/>
  <c r="G4390" i="3"/>
  <c r="F4390" i="3"/>
  <c r="D4390" i="3"/>
  <c r="C4390" i="3"/>
  <c r="H4389" i="3"/>
  <c r="G4389" i="3"/>
  <c r="F4389" i="3"/>
  <c r="D4389" i="3"/>
  <c r="C4389" i="3" s="1"/>
  <c r="H4388" i="3"/>
  <c r="G4388" i="3"/>
  <c r="F4388" i="3"/>
  <c r="D4388" i="3"/>
  <c r="C4388" i="3" s="1"/>
  <c r="H4387" i="3"/>
  <c r="G4387" i="3"/>
  <c r="F4387" i="3"/>
  <c r="D4387" i="3"/>
  <c r="C4387" i="3"/>
  <c r="H4386" i="3"/>
  <c r="G4386" i="3"/>
  <c r="F4386" i="3"/>
  <c r="D4386" i="3"/>
  <c r="C4386" i="3"/>
  <c r="H4385" i="3"/>
  <c r="G4385" i="3"/>
  <c r="F4385" i="3"/>
  <c r="D4385" i="3"/>
  <c r="C4385" i="3"/>
  <c r="H4384" i="3"/>
  <c r="G4384" i="3"/>
  <c r="F4384" i="3"/>
  <c r="D4384" i="3"/>
  <c r="C4384" i="3" s="1"/>
  <c r="H4383" i="3"/>
  <c r="G4383" i="3"/>
  <c r="F4383" i="3"/>
  <c r="D4383" i="3"/>
  <c r="C4383" i="3" s="1"/>
  <c r="H4382" i="3"/>
  <c r="G4382" i="3"/>
  <c r="F4382" i="3"/>
  <c r="D4382" i="3"/>
  <c r="C4382" i="3"/>
  <c r="H4381" i="3"/>
  <c r="G4381" i="3"/>
  <c r="F4381" i="3"/>
  <c r="D4381" i="3"/>
  <c r="C4381" i="3" s="1"/>
  <c r="H4380" i="3"/>
  <c r="G4380" i="3"/>
  <c r="F4380" i="3"/>
  <c r="D4380" i="3"/>
  <c r="C4380" i="3" s="1"/>
  <c r="H4379" i="3"/>
  <c r="G4379" i="3"/>
  <c r="F4379" i="3"/>
  <c r="D4379" i="3"/>
  <c r="C4379" i="3"/>
  <c r="H4378" i="3"/>
  <c r="G4378" i="3"/>
  <c r="F4378" i="3"/>
  <c r="D4378" i="3"/>
  <c r="C4378" i="3"/>
  <c r="H4377" i="3"/>
  <c r="G4377" i="3"/>
  <c r="F4377" i="3"/>
  <c r="D4377" i="3"/>
  <c r="C4377" i="3"/>
  <c r="H4376" i="3"/>
  <c r="G4376" i="3"/>
  <c r="F4376" i="3"/>
  <c r="D4376" i="3"/>
  <c r="C4376" i="3" s="1"/>
  <c r="H4375" i="3"/>
  <c r="G4375" i="3"/>
  <c r="F4375" i="3"/>
  <c r="D4375" i="3"/>
  <c r="C4375" i="3" s="1"/>
  <c r="H4374" i="3"/>
  <c r="G4374" i="3"/>
  <c r="F4374" i="3"/>
  <c r="D4374" i="3"/>
  <c r="C4374" i="3"/>
  <c r="H4373" i="3"/>
  <c r="G4373" i="3"/>
  <c r="F4373" i="3"/>
  <c r="D4373" i="3"/>
  <c r="C4373" i="3" s="1"/>
  <c r="H4372" i="3"/>
  <c r="G4372" i="3"/>
  <c r="F4372" i="3"/>
  <c r="D4372" i="3"/>
  <c r="C4372" i="3"/>
  <c r="H4371" i="3"/>
  <c r="G4371" i="3"/>
  <c r="F4371" i="3"/>
  <c r="D4371" i="3"/>
  <c r="C4371" i="3"/>
  <c r="H4370" i="3"/>
  <c r="G4370" i="3"/>
  <c r="F4370" i="3"/>
  <c r="D4370" i="3"/>
  <c r="C4370" i="3"/>
  <c r="H4369" i="3"/>
  <c r="G4369" i="3"/>
  <c r="F4369" i="3"/>
  <c r="D4369" i="3"/>
  <c r="C4369" i="3"/>
  <c r="H4368" i="3"/>
  <c r="G4368" i="3"/>
  <c r="F4368" i="3"/>
  <c r="D4368" i="3"/>
  <c r="C4368" i="3" s="1"/>
  <c r="H4367" i="3"/>
  <c r="G4367" i="3"/>
  <c r="F4367" i="3"/>
  <c r="D4367" i="3"/>
  <c r="C4367" i="3" s="1"/>
  <c r="H4366" i="3"/>
  <c r="G4366" i="3"/>
  <c r="F4366" i="3"/>
  <c r="D4366" i="3"/>
  <c r="C4366" i="3"/>
  <c r="H4365" i="3"/>
  <c r="G4365" i="3"/>
  <c r="F4365" i="3"/>
  <c r="D4365" i="3"/>
  <c r="C4365" i="3" s="1"/>
  <c r="H4364" i="3"/>
  <c r="G4364" i="3"/>
  <c r="F4364" i="3"/>
  <c r="D4364" i="3"/>
  <c r="C4364" i="3"/>
  <c r="H4363" i="3"/>
  <c r="G4363" i="3"/>
  <c r="F4363" i="3"/>
  <c r="D4363" i="3"/>
  <c r="C4363" i="3"/>
  <c r="H4362" i="3"/>
  <c r="G4362" i="3"/>
  <c r="F4362" i="3"/>
  <c r="D4362" i="3"/>
  <c r="C4362" i="3"/>
  <c r="H4361" i="3"/>
  <c r="G4361" i="3"/>
  <c r="F4361" i="3"/>
  <c r="D4361" i="3"/>
  <c r="C4361" i="3"/>
  <c r="H4360" i="3"/>
  <c r="G4360" i="3"/>
  <c r="F4360" i="3"/>
  <c r="D4360" i="3"/>
  <c r="C4360" i="3" s="1"/>
  <c r="H4359" i="3"/>
  <c r="G4359" i="3"/>
  <c r="F4359" i="3"/>
  <c r="D4359" i="3"/>
  <c r="C4359" i="3" s="1"/>
  <c r="H4358" i="3"/>
  <c r="G4358" i="3"/>
  <c r="F4358" i="3"/>
  <c r="D4358" i="3"/>
  <c r="C4358" i="3"/>
  <c r="H4357" i="3"/>
  <c r="G4357" i="3"/>
  <c r="F4357" i="3"/>
  <c r="D4357" i="3"/>
  <c r="C4357" i="3" s="1"/>
  <c r="H4356" i="3"/>
  <c r="G4356" i="3"/>
  <c r="F4356" i="3"/>
  <c r="D4356" i="3"/>
  <c r="C4356" i="3"/>
  <c r="H4355" i="3"/>
  <c r="G4355" i="3"/>
  <c r="F4355" i="3"/>
  <c r="D4355" i="3"/>
  <c r="C4355" i="3"/>
  <c r="H4354" i="3"/>
  <c r="G4354" i="3"/>
  <c r="F4354" i="3"/>
  <c r="D4354" i="3"/>
  <c r="C4354" i="3"/>
  <c r="H4353" i="3"/>
  <c r="G4353" i="3"/>
  <c r="F4353" i="3"/>
  <c r="D4353" i="3"/>
  <c r="C4353" i="3"/>
  <c r="H4352" i="3"/>
  <c r="G4352" i="3"/>
  <c r="F4352" i="3"/>
  <c r="D4352" i="3"/>
  <c r="C4352" i="3" s="1"/>
  <c r="H4351" i="3"/>
  <c r="G4351" i="3"/>
  <c r="F4351" i="3"/>
  <c r="D4351" i="3"/>
  <c r="C4351" i="3" s="1"/>
  <c r="H4350" i="3"/>
  <c r="G4350" i="3"/>
  <c r="F4350" i="3"/>
  <c r="D4350" i="3"/>
  <c r="C4350" i="3"/>
  <c r="H4349" i="3"/>
  <c r="G4349" i="3"/>
  <c r="F4349" i="3"/>
  <c r="D4349" i="3"/>
  <c r="C4349" i="3" s="1"/>
  <c r="H4348" i="3"/>
  <c r="G4348" i="3"/>
  <c r="F4348" i="3"/>
  <c r="D4348" i="3"/>
  <c r="C4348" i="3"/>
  <c r="H4347" i="3"/>
  <c r="G4347" i="3"/>
  <c r="F4347" i="3"/>
  <c r="D4347" i="3"/>
  <c r="C4347" i="3"/>
  <c r="H4346" i="3"/>
  <c r="G4346" i="3"/>
  <c r="F4346" i="3"/>
  <c r="D4346" i="3"/>
  <c r="C4346" i="3"/>
  <c r="H4345" i="3"/>
  <c r="G4345" i="3"/>
  <c r="F4345" i="3"/>
  <c r="D4345" i="3"/>
  <c r="C4345" i="3"/>
  <c r="H4344" i="3"/>
  <c r="G4344" i="3"/>
  <c r="F4344" i="3"/>
  <c r="D4344" i="3"/>
  <c r="C4344" i="3" s="1"/>
  <c r="H4343" i="3"/>
  <c r="G4343" i="3"/>
  <c r="F4343" i="3"/>
  <c r="D4343" i="3"/>
  <c r="C4343" i="3" s="1"/>
  <c r="H4342" i="3"/>
  <c r="G4342" i="3"/>
  <c r="F4342" i="3"/>
  <c r="D4342" i="3"/>
  <c r="C4342" i="3"/>
  <c r="H4341" i="3"/>
  <c r="G4341" i="3"/>
  <c r="F4341" i="3"/>
  <c r="D4341" i="3"/>
  <c r="C4341" i="3" s="1"/>
  <c r="H4340" i="3"/>
  <c r="G4340" i="3"/>
  <c r="F4340" i="3"/>
  <c r="D4340" i="3"/>
  <c r="C4340" i="3" s="1"/>
  <c r="H4339" i="3"/>
  <c r="G4339" i="3"/>
  <c r="F4339" i="3"/>
  <c r="D4339" i="3"/>
  <c r="C4339" i="3"/>
  <c r="H4338" i="3"/>
  <c r="G4338" i="3"/>
  <c r="F4338" i="3"/>
  <c r="D4338" i="3"/>
  <c r="C4338" i="3"/>
  <c r="H4337" i="3"/>
  <c r="G4337" i="3"/>
  <c r="F4337" i="3"/>
  <c r="D4337" i="3"/>
  <c r="C4337" i="3"/>
  <c r="H4336" i="3"/>
  <c r="G4336" i="3"/>
  <c r="F4336" i="3"/>
  <c r="D4336" i="3"/>
  <c r="C4336" i="3" s="1"/>
  <c r="H4335" i="3"/>
  <c r="G4335" i="3"/>
  <c r="F4335" i="3"/>
  <c r="D4335" i="3"/>
  <c r="C4335" i="3" s="1"/>
  <c r="H4334" i="3"/>
  <c r="G4334" i="3"/>
  <c r="F4334" i="3"/>
  <c r="D4334" i="3"/>
  <c r="C4334" i="3"/>
  <c r="H4333" i="3"/>
  <c r="G4333" i="3"/>
  <c r="F4333" i="3"/>
  <c r="D4333" i="3"/>
  <c r="C4333" i="3" s="1"/>
  <c r="H4332" i="3"/>
  <c r="G4332" i="3"/>
  <c r="F4332" i="3"/>
  <c r="D4332" i="3"/>
  <c r="C4332" i="3"/>
  <c r="H4331" i="3"/>
  <c r="G4331" i="3"/>
  <c r="F4331" i="3"/>
  <c r="D4331" i="3"/>
  <c r="C4331" i="3"/>
  <c r="H4330" i="3"/>
  <c r="G4330" i="3"/>
  <c r="F4330" i="3"/>
  <c r="D4330" i="3"/>
  <c r="C4330" i="3"/>
  <c r="H4329" i="3"/>
  <c r="G4329" i="3"/>
  <c r="F4329" i="3"/>
  <c r="D4329" i="3"/>
  <c r="C4329" i="3"/>
  <c r="H4328" i="3"/>
  <c r="G4328" i="3"/>
  <c r="F4328" i="3"/>
  <c r="D4328" i="3"/>
  <c r="C4328" i="3" s="1"/>
  <c r="H4327" i="3"/>
  <c r="G4327" i="3"/>
  <c r="F4327" i="3"/>
  <c r="D4327" i="3"/>
  <c r="C4327" i="3" s="1"/>
  <c r="H4326" i="3"/>
  <c r="G4326" i="3"/>
  <c r="F4326" i="3"/>
  <c r="D4326" i="3"/>
  <c r="C4326" i="3"/>
  <c r="H4325" i="3"/>
  <c r="G4325" i="3"/>
  <c r="F4325" i="3"/>
  <c r="D4325" i="3"/>
  <c r="C4325" i="3" s="1"/>
  <c r="H4324" i="3"/>
  <c r="G4324" i="3"/>
  <c r="F4324" i="3"/>
  <c r="D4324" i="3"/>
  <c r="C4324" i="3" s="1"/>
  <c r="H4323" i="3"/>
  <c r="G4323" i="3"/>
  <c r="F4323" i="3"/>
  <c r="D4323" i="3"/>
  <c r="C4323" i="3"/>
  <c r="H4322" i="3"/>
  <c r="G4322" i="3"/>
  <c r="F4322" i="3"/>
  <c r="D4322" i="3"/>
  <c r="C4322" i="3"/>
  <c r="H4321" i="3"/>
  <c r="G4321" i="3"/>
  <c r="F4321" i="3"/>
  <c r="D4321" i="3"/>
  <c r="C4321" i="3"/>
  <c r="H4320" i="3"/>
  <c r="G4320" i="3"/>
  <c r="F4320" i="3"/>
  <c r="D4320" i="3"/>
  <c r="C4320" i="3" s="1"/>
  <c r="H4319" i="3"/>
  <c r="G4319" i="3"/>
  <c r="F4319" i="3"/>
  <c r="D4319" i="3"/>
  <c r="C4319" i="3" s="1"/>
  <c r="H4318" i="3"/>
  <c r="G4318" i="3"/>
  <c r="F4318" i="3"/>
  <c r="D4318" i="3"/>
  <c r="C4318" i="3"/>
  <c r="H4317" i="3"/>
  <c r="G4317" i="3"/>
  <c r="F4317" i="3"/>
  <c r="D4317" i="3"/>
  <c r="C4317" i="3" s="1"/>
  <c r="H4316" i="3"/>
  <c r="G4316" i="3"/>
  <c r="F4316" i="3"/>
  <c r="D4316" i="3"/>
  <c r="C4316" i="3" s="1"/>
  <c r="H4315" i="3"/>
  <c r="G4315" i="3"/>
  <c r="F4315" i="3"/>
  <c r="D4315" i="3"/>
  <c r="C4315" i="3"/>
  <c r="H4314" i="3"/>
  <c r="G4314" i="3"/>
  <c r="F4314" i="3"/>
  <c r="D4314" i="3"/>
  <c r="C4314" i="3"/>
  <c r="H4313" i="3"/>
  <c r="G4313" i="3"/>
  <c r="F4313" i="3"/>
  <c r="D4313" i="3"/>
  <c r="C4313" i="3"/>
  <c r="H4312" i="3"/>
  <c r="G4312" i="3"/>
  <c r="F4312" i="3"/>
  <c r="D4312" i="3"/>
  <c r="C4312" i="3" s="1"/>
  <c r="H4311" i="3"/>
  <c r="G4311" i="3"/>
  <c r="F4311" i="3"/>
  <c r="D4311" i="3"/>
  <c r="C4311" i="3" s="1"/>
  <c r="H4310" i="3"/>
  <c r="G4310" i="3"/>
  <c r="F4310" i="3"/>
  <c r="D4310" i="3"/>
  <c r="C4310" i="3"/>
  <c r="H4309" i="3"/>
  <c r="G4309" i="3"/>
  <c r="F4309" i="3"/>
  <c r="D4309" i="3"/>
  <c r="C4309" i="3" s="1"/>
  <c r="H4308" i="3"/>
  <c r="G4308" i="3"/>
  <c r="F4308" i="3"/>
  <c r="D4308" i="3"/>
  <c r="C4308" i="3"/>
  <c r="H4307" i="3"/>
  <c r="G4307" i="3"/>
  <c r="F4307" i="3"/>
  <c r="D4307" i="3"/>
  <c r="C4307" i="3"/>
  <c r="H4306" i="3"/>
  <c r="G4306" i="3"/>
  <c r="F4306" i="3"/>
  <c r="D4306" i="3"/>
  <c r="C4306" i="3"/>
  <c r="H4305" i="3"/>
  <c r="G4305" i="3"/>
  <c r="F4305" i="3"/>
  <c r="D4305" i="3"/>
  <c r="C4305" i="3"/>
  <c r="H4304" i="3"/>
  <c r="G4304" i="3"/>
  <c r="F4304" i="3"/>
  <c r="D4304" i="3"/>
  <c r="C4304" i="3" s="1"/>
  <c r="H4303" i="3"/>
  <c r="G4303" i="3"/>
  <c r="F4303" i="3"/>
  <c r="D4303" i="3"/>
  <c r="C4303" i="3" s="1"/>
  <c r="H4302" i="3"/>
  <c r="G4302" i="3"/>
  <c r="F4302" i="3"/>
  <c r="D4302" i="3"/>
  <c r="C4302" i="3"/>
  <c r="H4301" i="3"/>
  <c r="G4301" i="3"/>
  <c r="F4301" i="3"/>
  <c r="D4301" i="3"/>
  <c r="C4301" i="3" s="1"/>
  <c r="H4300" i="3"/>
  <c r="G4300" i="3"/>
  <c r="F4300" i="3"/>
  <c r="D4300" i="3"/>
  <c r="C4300" i="3"/>
  <c r="H4299" i="3"/>
  <c r="G4299" i="3"/>
  <c r="F4299" i="3"/>
  <c r="D4299" i="3"/>
  <c r="C4299" i="3"/>
  <c r="H4298" i="3"/>
  <c r="G4298" i="3"/>
  <c r="F4298" i="3"/>
  <c r="D4298" i="3"/>
  <c r="C4298" i="3"/>
  <c r="H4297" i="3"/>
  <c r="G4297" i="3"/>
  <c r="F4297" i="3"/>
  <c r="D4297" i="3"/>
  <c r="C4297" i="3"/>
  <c r="H4296" i="3"/>
  <c r="G4296" i="3"/>
  <c r="F4296" i="3"/>
  <c r="D4296" i="3"/>
  <c r="C4296" i="3" s="1"/>
  <c r="H4295" i="3"/>
  <c r="G4295" i="3"/>
  <c r="F4295" i="3"/>
  <c r="D4295" i="3"/>
  <c r="C4295" i="3" s="1"/>
  <c r="H4294" i="3"/>
  <c r="G4294" i="3"/>
  <c r="F4294" i="3"/>
  <c r="D4294" i="3"/>
  <c r="C4294" i="3"/>
  <c r="H4293" i="3"/>
  <c r="G4293" i="3"/>
  <c r="F4293" i="3"/>
  <c r="D4293" i="3"/>
  <c r="C4293" i="3" s="1"/>
  <c r="H4292" i="3"/>
  <c r="G4292" i="3"/>
  <c r="F4292" i="3"/>
  <c r="D4292" i="3"/>
  <c r="C4292" i="3"/>
  <c r="H4291" i="3"/>
  <c r="G4291" i="3"/>
  <c r="F4291" i="3"/>
  <c r="D4291" i="3"/>
  <c r="C4291" i="3"/>
  <c r="H4290" i="3"/>
  <c r="G4290" i="3"/>
  <c r="F4290" i="3"/>
  <c r="D4290" i="3"/>
  <c r="C4290" i="3"/>
  <c r="H4289" i="3"/>
  <c r="G4289" i="3"/>
  <c r="F4289" i="3"/>
  <c r="D4289" i="3"/>
  <c r="C4289" i="3"/>
  <c r="H4288" i="3"/>
  <c r="G4288" i="3"/>
  <c r="F4288" i="3"/>
  <c r="D4288" i="3"/>
  <c r="C4288" i="3" s="1"/>
  <c r="H4287" i="3"/>
  <c r="G4287" i="3"/>
  <c r="F4287" i="3"/>
  <c r="D4287" i="3"/>
  <c r="C4287" i="3" s="1"/>
  <c r="H4286" i="3"/>
  <c r="G4286" i="3"/>
  <c r="F4286" i="3"/>
  <c r="D4286" i="3"/>
  <c r="C4286" i="3"/>
  <c r="H4285" i="3"/>
  <c r="G4285" i="3"/>
  <c r="F4285" i="3"/>
  <c r="D4285" i="3"/>
  <c r="C4285" i="3" s="1"/>
  <c r="H4284" i="3"/>
  <c r="G4284" i="3"/>
  <c r="F4284" i="3"/>
  <c r="D4284" i="3"/>
  <c r="C4284" i="3"/>
  <c r="H4283" i="3"/>
  <c r="G4283" i="3"/>
  <c r="F4283" i="3"/>
  <c r="D4283" i="3"/>
  <c r="C4283" i="3"/>
  <c r="H4282" i="3"/>
  <c r="G4282" i="3"/>
  <c r="F4282" i="3"/>
  <c r="D4282" i="3"/>
  <c r="C4282" i="3"/>
  <c r="H4281" i="3"/>
  <c r="G4281" i="3"/>
  <c r="F4281" i="3"/>
  <c r="D4281" i="3"/>
  <c r="C4281" i="3"/>
  <c r="H4280" i="3"/>
  <c r="G4280" i="3"/>
  <c r="F4280" i="3"/>
  <c r="D4280" i="3"/>
  <c r="C4280" i="3" s="1"/>
  <c r="H4279" i="3"/>
  <c r="G4279" i="3"/>
  <c r="F4279" i="3"/>
  <c r="D4279" i="3"/>
  <c r="C4279" i="3" s="1"/>
  <c r="H4278" i="3"/>
  <c r="G4278" i="3"/>
  <c r="F4278" i="3"/>
  <c r="D4278" i="3"/>
  <c r="C4278" i="3"/>
  <c r="H4277" i="3"/>
  <c r="G4277" i="3"/>
  <c r="F4277" i="3"/>
  <c r="D4277" i="3"/>
  <c r="C4277" i="3" s="1"/>
  <c r="H4276" i="3"/>
  <c r="G4276" i="3"/>
  <c r="F4276" i="3"/>
  <c r="D4276" i="3"/>
  <c r="C4276" i="3" s="1"/>
  <c r="H4275" i="3"/>
  <c r="G4275" i="3"/>
  <c r="F4275" i="3"/>
  <c r="D4275" i="3"/>
  <c r="C4275" i="3"/>
  <c r="H4274" i="3"/>
  <c r="G4274" i="3"/>
  <c r="F4274" i="3"/>
  <c r="D4274" i="3"/>
  <c r="C4274" i="3"/>
  <c r="H4273" i="3"/>
  <c r="G4273" i="3"/>
  <c r="F4273" i="3"/>
  <c r="D4273" i="3"/>
  <c r="C4273" i="3"/>
  <c r="H4272" i="3"/>
  <c r="G4272" i="3"/>
  <c r="F4272" i="3"/>
  <c r="D4272" i="3"/>
  <c r="C4272" i="3" s="1"/>
  <c r="H4271" i="3"/>
  <c r="G4271" i="3"/>
  <c r="F4271" i="3"/>
  <c r="D4271" i="3"/>
  <c r="C4271" i="3" s="1"/>
  <c r="H4270" i="3"/>
  <c r="G4270" i="3"/>
  <c r="F4270" i="3"/>
  <c r="D4270" i="3"/>
  <c r="C4270" i="3"/>
  <c r="H4269" i="3"/>
  <c r="G4269" i="3"/>
  <c r="F4269" i="3"/>
  <c r="D4269" i="3"/>
  <c r="C4269" i="3" s="1"/>
  <c r="H4268" i="3"/>
  <c r="G4268" i="3"/>
  <c r="F4268" i="3"/>
  <c r="D4268" i="3"/>
  <c r="C4268" i="3"/>
  <c r="H4267" i="3"/>
  <c r="G4267" i="3"/>
  <c r="F4267" i="3"/>
  <c r="D4267" i="3"/>
  <c r="C4267" i="3"/>
  <c r="H4266" i="3"/>
  <c r="G4266" i="3"/>
  <c r="F4266" i="3"/>
  <c r="D4266" i="3"/>
  <c r="C4266" i="3"/>
  <c r="H4265" i="3"/>
  <c r="G4265" i="3"/>
  <c r="F4265" i="3"/>
  <c r="D4265" i="3"/>
  <c r="C4265" i="3"/>
  <c r="H4264" i="3"/>
  <c r="G4264" i="3"/>
  <c r="F4264" i="3"/>
  <c r="D4264" i="3"/>
  <c r="C4264" i="3" s="1"/>
  <c r="H4263" i="3"/>
  <c r="G4263" i="3"/>
  <c r="F4263" i="3"/>
  <c r="D4263" i="3"/>
  <c r="C4263" i="3" s="1"/>
  <c r="H4262" i="3"/>
  <c r="G4262" i="3"/>
  <c r="F4262" i="3"/>
  <c r="D4262" i="3"/>
  <c r="C4262" i="3"/>
  <c r="H4261" i="3"/>
  <c r="G4261" i="3"/>
  <c r="F4261" i="3"/>
  <c r="D4261" i="3"/>
  <c r="C4261" i="3" s="1"/>
  <c r="H4260" i="3"/>
  <c r="G4260" i="3"/>
  <c r="F4260" i="3"/>
  <c r="D4260" i="3"/>
  <c r="C4260" i="3" s="1"/>
  <c r="H4259" i="3"/>
  <c r="G4259" i="3"/>
  <c r="F4259" i="3"/>
  <c r="D4259" i="3"/>
  <c r="C4259" i="3"/>
  <c r="H4258" i="3"/>
  <c r="G4258" i="3"/>
  <c r="F4258" i="3"/>
  <c r="D4258" i="3"/>
  <c r="C4258" i="3"/>
  <c r="H4257" i="3"/>
  <c r="G4257" i="3"/>
  <c r="F4257" i="3"/>
  <c r="D4257" i="3"/>
  <c r="C4257" i="3"/>
  <c r="H4256" i="3"/>
  <c r="G4256" i="3"/>
  <c r="F4256" i="3"/>
  <c r="D4256" i="3"/>
  <c r="C4256" i="3" s="1"/>
  <c r="H4255" i="3"/>
  <c r="G4255" i="3"/>
  <c r="F4255" i="3"/>
  <c r="D4255" i="3"/>
  <c r="C4255" i="3" s="1"/>
  <c r="H4254" i="3"/>
  <c r="G4254" i="3"/>
  <c r="F4254" i="3"/>
  <c r="D4254" i="3"/>
  <c r="C4254" i="3"/>
  <c r="H4253" i="3"/>
  <c r="G4253" i="3"/>
  <c r="F4253" i="3"/>
  <c r="D4253" i="3"/>
  <c r="C4253" i="3" s="1"/>
  <c r="H4252" i="3"/>
  <c r="G4252" i="3"/>
  <c r="F4252" i="3"/>
  <c r="D4252" i="3"/>
  <c r="C4252" i="3" s="1"/>
  <c r="H4251" i="3"/>
  <c r="G4251" i="3"/>
  <c r="F4251" i="3"/>
  <c r="D4251" i="3"/>
  <c r="C4251" i="3"/>
  <c r="H4250" i="3"/>
  <c r="G4250" i="3"/>
  <c r="F4250" i="3"/>
  <c r="D4250" i="3"/>
  <c r="C4250" i="3"/>
  <c r="H4249" i="3"/>
  <c r="G4249" i="3"/>
  <c r="F4249" i="3"/>
  <c r="D4249" i="3"/>
  <c r="C4249" i="3"/>
  <c r="H4248" i="3"/>
  <c r="G4248" i="3"/>
  <c r="F4248" i="3"/>
  <c r="D4248" i="3"/>
  <c r="C4248" i="3" s="1"/>
  <c r="H4247" i="3"/>
  <c r="G4247" i="3"/>
  <c r="F4247" i="3"/>
  <c r="D4247" i="3"/>
  <c r="C4247" i="3" s="1"/>
  <c r="H4246" i="3"/>
  <c r="G4246" i="3"/>
  <c r="F4246" i="3"/>
  <c r="D4246" i="3"/>
  <c r="C4246" i="3"/>
  <c r="H4245" i="3"/>
  <c r="G4245" i="3"/>
  <c r="F4245" i="3"/>
  <c r="D4245" i="3"/>
  <c r="C4245" i="3" s="1"/>
  <c r="H4244" i="3"/>
  <c r="G4244" i="3"/>
  <c r="F4244" i="3"/>
  <c r="D4244" i="3"/>
  <c r="C4244" i="3"/>
  <c r="H4243" i="3"/>
  <c r="G4243" i="3"/>
  <c r="F4243" i="3"/>
  <c r="D4243" i="3"/>
  <c r="C4243" i="3"/>
  <c r="H4242" i="3"/>
  <c r="G4242" i="3"/>
  <c r="F4242" i="3"/>
  <c r="D4242" i="3"/>
  <c r="C4242" i="3"/>
  <c r="H4241" i="3"/>
  <c r="G4241" i="3"/>
  <c r="F4241" i="3"/>
  <c r="D4241" i="3"/>
  <c r="C4241" i="3"/>
  <c r="H4240" i="3"/>
  <c r="G4240" i="3"/>
  <c r="F4240" i="3"/>
  <c r="D4240" i="3"/>
  <c r="C4240" i="3" s="1"/>
  <c r="H4239" i="3"/>
  <c r="G4239" i="3"/>
  <c r="F4239" i="3"/>
  <c r="D4239" i="3"/>
  <c r="C4239" i="3" s="1"/>
  <c r="H4238" i="3"/>
  <c r="G4238" i="3"/>
  <c r="F4238" i="3"/>
  <c r="D4238" i="3"/>
  <c r="C4238" i="3"/>
  <c r="H4237" i="3"/>
  <c r="G4237" i="3"/>
  <c r="F4237" i="3"/>
  <c r="D4237" i="3"/>
  <c r="C4237" i="3" s="1"/>
  <c r="H4236" i="3"/>
  <c r="G4236" i="3"/>
  <c r="F4236" i="3"/>
  <c r="D4236" i="3"/>
  <c r="C4236" i="3"/>
  <c r="H4235" i="3"/>
  <c r="G4235" i="3"/>
  <c r="F4235" i="3"/>
  <c r="D4235" i="3"/>
  <c r="C4235" i="3"/>
  <c r="H4234" i="3"/>
  <c r="G4234" i="3"/>
  <c r="F4234" i="3"/>
  <c r="D4234" i="3"/>
  <c r="C4234" i="3"/>
  <c r="H4233" i="3"/>
  <c r="G4233" i="3"/>
  <c r="F4233" i="3"/>
  <c r="D4233" i="3"/>
  <c r="C4233" i="3"/>
  <c r="H4232" i="3"/>
  <c r="G4232" i="3"/>
  <c r="F4232" i="3"/>
  <c r="D4232" i="3"/>
  <c r="C4232" i="3" s="1"/>
  <c r="H4231" i="3"/>
  <c r="G4231" i="3"/>
  <c r="F4231" i="3"/>
  <c r="D4231" i="3"/>
  <c r="C4231" i="3" s="1"/>
  <c r="H4230" i="3"/>
  <c r="G4230" i="3"/>
  <c r="F4230" i="3"/>
  <c r="D4230" i="3"/>
  <c r="C4230" i="3"/>
  <c r="H4229" i="3"/>
  <c r="G4229" i="3"/>
  <c r="F4229" i="3"/>
  <c r="D4229" i="3"/>
  <c r="C4229" i="3" s="1"/>
  <c r="H4228" i="3"/>
  <c r="G4228" i="3"/>
  <c r="F4228" i="3"/>
  <c r="D4228" i="3"/>
  <c r="C4228" i="3" s="1"/>
  <c r="H4227" i="3"/>
  <c r="G4227" i="3"/>
  <c r="F4227" i="3"/>
  <c r="D4227" i="3"/>
  <c r="C4227" i="3"/>
  <c r="H4226" i="3"/>
  <c r="G4226" i="3"/>
  <c r="F4226" i="3"/>
  <c r="D4226" i="3"/>
  <c r="C4226" i="3"/>
  <c r="H4225" i="3"/>
  <c r="G4225" i="3"/>
  <c r="F4225" i="3"/>
  <c r="D4225" i="3"/>
  <c r="C4225" i="3"/>
  <c r="H4224" i="3"/>
  <c r="G4224" i="3"/>
  <c r="F4224" i="3"/>
  <c r="D4224" i="3"/>
  <c r="C4224" i="3" s="1"/>
  <c r="H4223" i="3"/>
  <c r="G4223" i="3"/>
  <c r="F4223" i="3"/>
  <c r="D4223" i="3"/>
  <c r="C4223" i="3" s="1"/>
  <c r="H4222" i="3"/>
  <c r="G4222" i="3"/>
  <c r="F4222" i="3"/>
  <c r="D4222" i="3"/>
  <c r="C4222" i="3"/>
  <c r="H4221" i="3"/>
  <c r="G4221" i="3"/>
  <c r="F4221" i="3"/>
  <c r="D4221" i="3"/>
  <c r="C4221" i="3" s="1"/>
  <c r="H4220" i="3"/>
  <c r="G4220" i="3"/>
  <c r="F4220" i="3"/>
  <c r="D4220" i="3"/>
  <c r="C4220" i="3"/>
  <c r="H4219" i="3"/>
  <c r="G4219" i="3"/>
  <c r="F4219" i="3"/>
  <c r="D4219" i="3"/>
  <c r="C4219" i="3"/>
  <c r="H4218" i="3"/>
  <c r="G4218" i="3"/>
  <c r="F4218" i="3"/>
  <c r="D4218" i="3"/>
  <c r="C4218" i="3"/>
  <c r="H4217" i="3"/>
  <c r="G4217" i="3"/>
  <c r="F4217" i="3"/>
  <c r="D4217" i="3"/>
  <c r="C4217" i="3"/>
  <c r="H4216" i="3"/>
  <c r="G4216" i="3"/>
  <c r="F4216" i="3"/>
  <c r="D4216" i="3"/>
  <c r="C4216" i="3" s="1"/>
  <c r="H4215" i="3"/>
  <c r="G4215" i="3"/>
  <c r="F4215" i="3"/>
  <c r="D4215" i="3"/>
  <c r="C4215" i="3" s="1"/>
  <c r="H4214" i="3"/>
  <c r="G4214" i="3"/>
  <c r="F4214" i="3"/>
  <c r="D4214" i="3"/>
  <c r="C4214" i="3"/>
  <c r="H4213" i="3"/>
  <c r="G4213" i="3"/>
  <c r="F4213" i="3"/>
  <c r="D4213" i="3"/>
  <c r="C4213" i="3" s="1"/>
  <c r="H4212" i="3"/>
  <c r="G4212" i="3"/>
  <c r="F4212" i="3"/>
  <c r="D4212" i="3"/>
  <c r="C4212" i="3" s="1"/>
  <c r="H4211" i="3"/>
  <c r="G4211" i="3"/>
  <c r="F4211" i="3"/>
  <c r="D4211" i="3"/>
  <c r="C4211" i="3"/>
  <c r="H4210" i="3"/>
  <c r="G4210" i="3"/>
  <c r="F4210" i="3"/>
  <c r="D4210" i="3"/>
  <c r="C4210" i="3"/>
  <c r="H4209" i="3"/>
  <c r="G4209" i="3"/>
  <c r="F4209" i="3"/>
  <c r="D4209" i="3"/>
  <c r="C4209" i="3"/>
  <c r="H4208" i="3"/>
  <c r="G4208" i="3"/>
  <c r="F4208" i="3"/>
  <c r="D4208" i="3"/>
  <c r="C4208" i="3" s="1"/>
  <c r="H4207" i="3"/>
  <c r="G4207" i="3"/>
  <c r="F4207" i="3"/>
  <c r="D4207" i="3"/>
  <c r="C4207" i="3" s="1"/>
  <c r="H4206" i="3"/>
  <c r="G4206" i="3"/>
  <c r="F4206" i="3"/>
  <c r="D4206" i="3"/>
  <c r="C4206" i="3"/>
  <c r="H4205" i="3"/>
  <c r="G4205" i="3"/>
  <c r="F4205" i="3"/>
  <c r="D4205" i="3"/>
  <c r="C4205" i="3" s="1"/>
  <c r="H4204" i="3"/>
  <c r="G4204" i="3"/>
  <c r="F4204" i="3"/>
  <c r="D4204" i="3"/>
  <c r="C4204" i="3"/>
  <c r="H4203" i="3"/>
  <c r="G4203" i="3"/>
  <c r="F4203" i="3"/>
  <c r="D4203" i="3"/>
  <c r="C4203" i="3"/>
  <c r="H4202" i="3"/>
  <c r="G4202" i="3"/>
  <c r="F4202" i="3"/>
  <c r="D4202" i="3"/>
  <c r="C4202" i="3"/>
  <c r="H4201" i="3"/>
  <c r="G4201" i="3"/>
  <c r="F4201" i="3"/>
  <c r="D4201" i="3"/>
  <c r="C4201" i="3"/>
  <c r="H4200" i="3"/>
  <c r="G4200" i="3"/>
  <c r="F4200" i="3"/>
  <c r="D4200" i="3"/>
  <c r="C4200" i="3" s="1"/>
  <c r="H4199" i="3"/>
  <c r="G4199" i="3"/>
  <c r="F4199" i="3"/>
  <c r="D4199" i="3"/>
  <c r="C4199" i="3" s="1"/>
  <c r="H4198" i="3"/>
  <c r="G4198" i="3"/>
  <c r="F4198" i="3"/>
  <c r="D4198" i="3"/>
  <c r="C4198" i="3"/>
  <c r="H4197" i="3"/>
  <c r="G4197" i="3"/>
  <c r="F4197" i="3"/>
  <c r="D4197" i="3"/>
  <c r="C4197" i="3" s="1"/>
  <c r="H4196" i="3"/>
  <c r="G4196" i="3"/>
  <c r="F4196" i="3"/>
  <c r="D4196" i="3"/>
  <c r="C4196" i="3" s="1"/>
  <c r="H4195" i="3"/>
  <c r="G4195" i="3"/>
  <c r="F4195" i="3"/>
  <c r="D4195" i="3"/>
  <c r="C4195" i="3"/>
  <c r="H4194" i="3"/>
  <c r="G4194" i="3"/>
  <c r="F4194" i="3"/>
  <c r="D4194" i="3"/>
  <c r="C4194" i="3"/>
  <c r="H4193" i="3"/>
  <c r="G4193" i="3"/>
  <c r="F4193" i="3"/>
  <c r="D4193" i="3"/>
  <c r="C4193" i="3"/>
  <c r="H4192" i="3"/>
  <c r="G4192" i="3"/>
  <c r="F4192" i="3"/>
  <c r="D4192" i="3"/>
  <c r="C4192" i="3" s="1"/>
  <c r="H4191" i="3"/>
  <c r="G4191" i="3"/>
  <c r="F4191" i="3"/>
  <c r="D4191" i="3"/>
  <c r="C4191" i="3" s="1"/>
  <c r="H4190" i="3"/>
  <c r="G4190" i="3"/>
  <c r="F4190" i="3"/>
  <c r="D4190" i="3"/>
  <c r="C4190" i="3"/>
  <c r="H4189" i="3"/>
  <c r="G4189" i="3"/>
  <c r="F4189" i="3"/>
  <c r="D4189" i="3"/>
  <c r="C4189" i="3" s="1"/>
  <c r="H4188" i="3"/>
  <c r="G4188" i="3"/>
  <c r="F4188" i="3"/>
  <c r="D4188" i="3"/>
  <c r="C4188" i="3" s="1"/>
  <c r="H4187" i="3"/>
  <c r="G4187" i="3"/>
  <c r="F4187" i="3"/>
  <c r="D4187" i="3"/>
  <c r="C4187" i="3"/>
  <c r="H4186" i="3"/>
  <c r="G4186" i="3"/>
  <c r="F4186" i="3"/>
  <c r="D4186" i="3"/>
  <c r="C4186" i="3"/>
  <c r="H4185" i="3"/>
  <c r="G4185" i="3"/>
  <c r="F4185" i="3"/>
  <c r="D4185" i="3"/>
  <c r="C4185" i="3"/>
  <c r="H4184" i="3"/>
  <c r="G4184" i="3"/>
  <c r="F4184" i="3"/>
  <c r="D4184" i="3"/>
  <c r="C4184" i="3" s="1"/>
  <c r="H4183" i="3"/>
  <c r="G4183" i="3"/>
  <c r="F4183" i="3"/>
  <c r="D4183" i="3"/>
  <c r="C4183" i="3" s="1"/>
  <c r="H4182" i="3"/>
  <c r="G4182" i="3"/>
  <c r="F4182" i="3"/>
  <c r="D4182" i="3"/>
  <c r="C4182" i="3"/>
  <c r="H4181" i="3"/>
  <c r="G4181" i="3"/>
  <c r="F4181" i="3"/>
  <c r="D4181" i="3"/>
  <c r="C4181" i="3" s="1"/>
  <c r="H4180" i="3"/>
  <c r="G4180" i="3"/>
  <c r="F4180" i="3"/>
  <c r="D4180" i="3"/>
  <c r="C4180" i="3"/>
  <c r="H4179" i="3"/>
  <c r="G4179" i="3"/>
  <c r="F4179" i="3"/>
  <c r="D4179" i="3"/>
  <c r="C4179" i="3"/>
  <c r="H4178" i="3"/>
  <c r="G4178" i="3"/>
  <c r="F4178" i="3"/>
  <c r="D4178" i="3"/>
  <c r="C4178" i="3"/>
  <c r="H4177" i="3"/>
  <c r="G4177" i="3"/>
  <c r="F4177" i="3"/>
  <c r="D4177" i="3"/>
  <c r="C4177" i="3"/>
  <c r="H4176" i="3"/>
  <c r="G4176" i="3"/>
  <c r="F4176" i="3"/>
  <c r="D4176" i="3"/>
  <c r="C4176" i="3" s="1"/>
  <c r="H4175" i="3"/>
  <c r="G4175" i="3"/>
  <c r="F4175" i="3"/>
  <c r="D4175" i="3"/>
  <c r="C4175" i="3" s="1"/>
  <c r="H4174" i="3"/>
  <c r="G4174" i="3"/>
  <c r="F4174" i="3"/>
  <c r="D4174" i="3"/>
  <c r="C4174" i="3"/>
  <c r="H4173" i="3"/>
  <c r="G4173" i="3"/>
  <c r="F4173" i="3"/>
  <c r="D4173" i="3"/>
  <c r="C4173" i="3" s="1"/>
  <c r="H4172" i="3"/>
  <c r="G4172" i="3"/>
  <c r="F4172" i="3"/>
  <c r="D4172" i="3"/>
  <c r="C4172" i="3"/>
  <c r="H4171" i="3"/>
  <c r="G4171" i="3"/>
  <c r="F4171" i="3"/>
  <c r="D4171" i="3"/>
  <c r="C4171" i="3"/>
  <c r="H4170" i="3"/>
  <c r="G4170" i="3"/>
  <c r="F4170" i="3"/>
  <c r="D4170" i="3"/>
  <c r="C4170" i="3"/>
  <c r="H4169" i="3"/>
  <c r="G4169" i="3"/>
  <c r="F4169" i="3"/>
  <c r="D4169" i="3"/>
  <c r="C4169" i="3"/>
  <c r="H4168" i="3"/>
  <c r="G4168" i="3"/>
  <c r="F4168" i="3"/>
  <c r="D4168" i="3"/>
  <c r="C4168" i="3" s="1"/>
  <c r="H4167" i="3"/>
  <c r="G4167" i="3"/>
  <c r="F4167" i="3"/>
  <c r="D4167" i="3"/>
  <c r="C4167" i="3" s="1"/>
  <c r="H4166" i="3"/>
  <c r="G4166" i="3"/>
  <c r="F4166" i="3"/>
  <c r="D4166" i="3"/>
  <c r="C4166" i="3"/>
  <c r="H4165" i="3"/>
  <c r="G4165" i="3"/>
  <c r="F4165" i="3"/>
  <c r="D4165" i="3"/>
  <c r="C4165" i="3" s="1"/>
  <c r="H4164" i="3"/>
  <c r="G4164" i="3"/>
  <c r="F4164" i="3"/>
  <c r="D4164" i="3"/>
  <c r="C4164" i="3"/>
  <c r="H4163" i="3"/>
  <c r="G4163" i="3"/>
  <c r="F4163" i="3"/>
  <c r="D4163" i="3"/>
  <c r="C4163" i="3"/>
  <c r="H4162" i="3"/>
  <c r="G4162" i="3"/>
  <c r="F4162" i="3"/>
  <c r="D4162" i="3"/>
  <c r="C4162" i="3"/>
  <c r="H4161" i="3"/>
  <c r="G4161" i="3"/>
  <c r="F4161" i="3"/>
  <c r="D4161" i="3"/>
  <c r="C4161" i="3"/>
  <c r="H4160" i="3"/>
  <c r="G4160" i="3"/>
  <c r="F4160" i="3"/>
  <c r="D4160" i="3"/>
  <c r="C4160" i="3" s="1"/>
  <c r="H4159" i="3"/>
  <c r="G4159" i="3"/>
  <c r="F4159" i="3"/>
  <c r="D4159" i="3"/>
  <c r="C4159" i="3" s="1"/>
  <c r="H4158" i="3"/>
  <c r="G4158" i="3"/>
  <c r="F4158" i="3"/>
  <c r="D4158" i="3"/>
  <c r="C4158" i="3"/>
  <c r="H4157" i="3"/>
  <c r="G4157" i="3"/>
  <c r="F4157" i="3"/>
  <c r="D4157" i="3"/>
  <c r="C4157" i="3" s="1"/>
  <c r="H4156" i="3"/>
  <c r="G4156" i="3"/>
  <c r="F4156" i="3"/>
  <c r="D4156" i="3"/>
  <c r="C4156" i="3"/>
  <c r="H4155" i="3"/>
  <c r="G4155" i="3"/>
  <c r="F4155" i="3"/>
  <c r="D4155" i="3"/>
  <c r="C4155" i="3"/>
  <c r="H4154" i="3"/>
  <c r="G4154" i="3"/>
  <c r="F4154" i="3"/>
  <c r="D4154" i="3"/>
  <c r="C4154" i="3"/>
  <c r="H4153" i="3"/>
  <c r="G4153" i="3"/>
  <c r="F4153" i="3"/>
  <c r="D4153" i="3"/>
  <c r="C4153" i="3"/>
  <c r="H4152" i="3"/>
  <c r="G4152" i="3"/>
  <c r="F4152" i="3"/>
  <c r="D4152" i="3"/>
  <c r="C4152" i="3" s="1"/>
  <c r="H4151" i="3"/>
  <c r="G4151" i="3"/>
  <c r="F4151" i="3"/>
  <c r="D4151" i="3"/>
  <c r="C4151" i="3" s="1"/>
  <c r="H4150" i="3"/>
  <c r="G4150" i="3"/>
  <c r="F4150" i="3"/>
  <c r="D4150" i="3"/>
  <c r="C4150" i="3"/>
  <c r="H4149" i="3"/>
  <c r="G4149" i="3"/>
  <c r="F4149" i="3"/>
  <c r="D4149" i="3"/>
  <c r="C4149" i="3" s="1"/>
  <c r="H4148" i="3"/>
  <c r="G4148" i="3"/>
  <c r="F4148" i="3"/>
  <c r="D4148" i="3"/>
  <c r="C4148" i="3" s="1"/>
  <c r="H4147" i="3"/>
  <c r="G4147" i="3"/>
  <c r="F4147" i="3"/>
  <c r="D4147" i="3"/>
  <c r="C4147" i="3"/>
  <c r="H4146" i="3"/>
  <c r="G4146" i="3"/>
  <c r="F4146" i="3"/>
  <c r="D4146" i="3"/>
  <c r="C4146" i="3"/>
  <c r="H4145" i="3"/>
  <c r="G4145" i="3"/>
  <c r="F4145" i="3"/>
  <c r="D4145" i="3"/>
  <c r="C4145" i="3"/>
  <c r="H4144" i="3"/>
  <c r="G4144" i="3"/>
  <c r="F4144" i="3"/>
  <c r="D4144" i="3"/>
  <c r="C4144" i="3" s="1"/>
  <c r="H4143" i="3"/>
  <c r="G4143" i="3"/>
  <c r="F4143" i="3"/>
  <c r="D4143" i="3"/>
  <c r="C4143" i="3" s="1"/>
  <c r="H4142" i="3"/>
  <c r="G4142" i="3"/>
  <c r="F4142" i="3"/>
  <c r="D4142" i="3"/>
  <c r="C4142" i="3"/>
  <c r="H4141" i="3"/>
  <c r="G4141" i="3"/>
  <c r="F4141" i="3"/>
  <c r="D4141" i="3"/>
  <c r="C4141" i="3" s="1"/>
  <c r="H4140" i="3"/>
  <c r="G4140" i="3"/>
  <c r="F4140" i="3"/>
  <c r="D4140" i="3"/>
  <c r="C4140" i="3"/>
  <c r="H4139" i="3"/>
  <c r="G4139" i="3"/>
  <c r="F4139" i="3"/>
  <c r="D4139" i="3"/>
  <c r="C4139" i="3"/>
  <c r="H4138" i="3"/>
  <c r="G4138" i="3"/>
  <c r="F4138" i="3"/>
  <c r="D4138" i="3"/>
  <c r="C4138" i="3"/>
  <c r="H4137" i="3"/>
  <c r="G4137" i="3"/>
  <c r="F4137" i="3"/>
  <c r="D4137" i="3"/>
  <c r="C4137" i="3"/>
  <c r="H4136" i="3"/>
  <c r="G4136" i="3"/>
  <c r="F4136" i="3"/>
  <c r="D4136" i="3"/>
  <c r="C4136" i="3" s="1"/>
  <c r="H4135" i="3"/>
  <c r="G4135" i="3"/>
  <c r="F4135" i="3"/>
  <c r="D4135" i="3"/>
  <c r="C4135" i="3" s="1"/>
  <c r="H4134" i="3"/>
  <c r="G4134" i="3"/>
  <c r="F4134" i="3"/>
  <c r="D4134" i="3"/>
  <c r="C4134" i="3"/>
  <c r="H4133" i="3"/>
  <c r="G4133" i="3"/>
  <c r="F4133" i="3"/>
  <c r="D4133" i="3"/>
  <c r="C4133" i="3" s="1"/>
  <c r="H4132" i="3"/>
  <c r="G4132" i="3"/>
  <c r="F4132" i="3"/>
  <c r="D4132" i="3"/>
  <c r="C4132" i="3" s="1"/>
  <c r="H4131" i="3"/>
  <c r="G4131" i="3"/>
  <c r="F4131" i="3"/>
  <c r="D4131" i="3"/>
  <c r="C4131" i="3"/>
  <c r="H4130" i="3"/>
  <c r="G4130" i="3"/>
  <c r="F4130" i="3"/>
  <c r="D4130" i="3"/>
  <c r="C4130" i="3"/>
  <c r="H4129" i="3"/>
  <c r="G4129" i="3"/>
  <c r="F4129" i="3"/>
  <c r="D4129" i="3"/>
  <c r="C4129" i="3"/>
  <c r="H4128" i="3"/>
  <c r="G4128" i="3"/>
  <c r="F4128" i="3"/>
  <c r="D4128" i="3"/>
  <c r="C4128" i="3" s="1"/>
  <c r="H4127" i="3"/>
  <c r="G4127" i="3"/>
  <c r="F4127" i="3"/>
  <c r="D4127" i="3"/>
  <c r="C4127" i="3" s="1"/>
  <c r="H4126" i="3"/>
  <c r="G4126" i="3"/>
  <c r="F4126" i="3"/>
  <c r="D4126" i="3"/>
  <c r="C4126" i="3"/>
  <c r="H4125" i="3"/>
  <c r="G4125" i="3"/>
  <c r="F4125" i="3"/>
  <c r="D4125" i="3"/>
  <c r="C4125" i="3" s="1"/>
  <c r="H4124" i="3"/>
  <c r="G4124" i="3"/>
  <c r="F4124" i="3"/>
  <c r="D4124" i="3"/>
  <c r="C4124" i="3" s="1"/>
  <c r="H4123" i="3"/>
  <c r="G4123" i="3"/>
  <c r="F4123" i="3"/>
  <c r="D4123" i="3"/>
  <c r="C4123" i="3"/>
  <c r="H4122" i="3"/>
  <c r="G4122" i="3"/>
  <c r="F4122" i="3"/>
  <c r="D4122" i="3"/>
  <c r="C4122" i="3"/>
  <c r="H4121" i="3"/>
  <c r="G4121" i="3"/>
  <c r="F4121" i="3"/>
  <c r="D4121" i="3"/>
  <c r="C4121" i="3"/>
  <c r="H4120" i="3"/>
  <c r="G4120" i="3"/>
  <c r="F4120" i="3"/>
  <c r="D4120" i="3"/>
  <c r="C4120" i="3" s="1"/>
  <c r="H4119" i="3"/>
  <c r="G4119" i="3"/>
  <c r="F4119" i="3"/>
  <c r="D4119" i="3"/>
  <c r="C4119" i="3" s="1"/>
  <c r="H4118" i="3"/>
  <c r="G4118" i="3"/>
  <c r="F4118" i="3"/>
  <c r="D4118" i="3"/>
  <c r="C4118" i="3"/>
  <c r="H4117" i="3"/>
  <c r="G4117" i="3"/>
  <c r="F4117" i="3"/>
  <c r="D4117" i="3"/>
  <c r="C4117" i="3" s="1"/>
  <c r="H4116" i="3"/>
  <c r="G4116" i="3"/>
  <c r="F4116" i="3"/>
  <c r="D4116" i="3"/>
  <c r="C4116" i="3"/>
  <c r="H4115" i="3"/>
  <c r="G4115" i="3"/>
  <c r="F4115" i="3"/>
  <c r="D4115" i="3"/>
  <c r="C4115" i="3"/>
  <c r="H4114" i="3"/>
  <c r="G4114" i="3"/>
  <c r="F4114" i="3"/>
  <c r="D4114" i="3"/>
  <c r="C4114" i="3"/>
  <c r="H4113" i="3"/>
  <c r="G4113" i="3"/>
  <c r="F4113" i="3"/>
  <c r="D4113" i="3"/>
  <c r="C4113" i="3"/>
  <c r="H4112" i="3"/>
  <c r="G4112" i="3"/>
  <c r="F4112" i="3"/>
  <c r="D4112" i="3"/>
  <c r="C4112" i="3" s="1"/>
  <c r="H4111" i="3"/>
  <c r="G4111" i="3"/>
  <c r="F4111" i="3"/>
  <c r="D4111" i="3"/>
  <c r="C4111" i="3" s="1"/>
  <c r="H4110" i="3"/>
  <c r="G4110" i="3"/>
  <c r="F4110" i="3"/>
  <c r="D4110" i="3"/>
  <c r="C4110" i="3"/>
  <c r="H4109" i="3"/>
  <c r="G4109" i="3"/>
  <c r="F4109" i="3"/>
  <c r="D4109" i="3"/>
  <c r="C4109" i="3" s="1"/>
  <c r="H4108" i="3"/>
  <c r="G4108" i="3"/>
  <c r="F4108" i="3"/>
  <c r="D4108" i="3"/>
  <c r="C4108" i="3"/>
  <c r="H4107" i="3"/>
  <c r="G4107" i="3"/>
  <c r="F4107" i="3"/>
  <c r="D4107" i="3"/>
  <c r="C4107" i="3"/>
  <c r="H4106" i="3"/>
  <c r="G4106" i="3"/>
  <c r="F4106" i="3"/>
  <c r="D4106" i="3"/>
  <c r="C4106" i="3"/>
  <c r="H4105" i="3"/>
  <c r="G4105" i="3"/>
  <c r="F4105" i="3"/>
  <c r="D4105" i="3"/>
  <c r="C4105" i="3"/>
  <c r="H4104" i="3"/>
  <c r="G4104" i="3"/>
  <c r="F4104" i="3"/>
  <c r="D4104" i="3"/>
  <c r="C4104" i="3" s="1"/>
  <c r="H4103" i="3"/>
  <c r="G4103" i="3"/>
  <c r="F4103" i="3"/>
  <c r="D4103" i="3"/>
  <c r="C4103" i="3" s="1"/>
  <c r="H4102" i="3"/>
  <c r="G4102" i="3"/>
  <c r="F4102" i="3"/>
  <c r="D4102" i="3"/>
  <c r="C4102" i="3"/>
  <c r="H4101" i="3"/>
  <c r="G4101" i="3"/>
  <c r="F4101" i="3"/>
  <c r="D4101" i="3"/>
  <c r="C4101" i="3" s="1"/>
  <c r="H4100" i="3"/>
  <c r="G4100" i="3"/>
  <c r="F4100" i="3"/>
  <c r="D4100" i="3"/>
  <c r="C4100" i="3"/>
  <c r="H4099" i="3"/>
  <c r="G4099" i="3"/>
  <c r="F4099" i="3"/>
  <c r="D4099" i="3"/>
  <c r="C4099" i="3"/>
  <c r="H4098" i="3"/>
  <c r="G4098" i="3"/>
  <c r="F4098" i="3"/>
  <c r="D4098" i="3"/>
  <c r="C4098" i="3"/>
  <c r="H4097" i="3"/>
  <c r="G4097" i="3"/>
  <c r="F4097" i="3"/>
  <c r="D4097" i="3"/>
  <c r="C4097" i="3"/>
  <c r="H4096" i="3"/>
  <c r="G4096" i="3"/>
  <c r="F4096" i="3"/>
  <c r="D4096" i="3"/>
  <c r="C4096" i="3" s="1"/>
  <c r="H4095" i="3"/>
  <c r="G4095" i="3"/>
  <c r="F4095" i="3"/>
  <c r="D4095" i="3"/>
  <c r="C4095" i="3" s="1"/>
  <c r="H4094" i="3"/>
  <c r="G4094" i="3"/>
  <c r="F4094" i="3"/>
  <c r="D4094" i="3"/>
  <c r="C4094" i="3"/>
  <c r="H4093" i="3"/>
  <c r="G4093" i="3"/>
  <c r="F4093" i="3"/>
  <c r="D4093" i="3"/>
  <c r="C4093" i="3" s="1"/>
  <c r="H4092" i="3"/>
  <c r="G4092" i="3"/>
  <c r="F4092" i="3"/>
  <c r="D4092" i="3"/>
  <c r="C4092" i="3"/>
  <c r="H4091" i="3"/>
  <c r="G4091" i="3"/>
  <c r="F4091" i="3"/>
  <c r="D4091" i="3"/>
  <c r="C4091" i="3"/>
  <c r="H4090" i="3"/>
  <c r="G4090" i="3"/>
  <c r="F4090" i="3"/>
  <c r="D4090" i="3"/>
  <c r="C4090" i="3"/>
  <c r="H4089" i="3"/>
  <c r="G4089" i="3"/>
  <c r="F4089" i="3"/>
  <c r="D4089" i="3"/>
  <c r="C4089" i="3"/>
  <c r="H4088" i="3"/>
  <c r="G4088" i="3"/>
  <c r="F4088" i="3"/>
  <c r="D4088" i="3"/>
  <c r="C4088" i="3" s="1"/>
  <c r="H4087" i="3"/>
  <c r="G4087" i="3"/>
  <c r="F4087" i="3"/>
  <c r="D4087" i="3"/>
  <c r="C4087" i="3" s="1"/>
  <c r="H4086" i="3"/>
  <c r="G4086" i="3"/>
  <c r="F4086" i="3"/>
  <c r="D4086" i="3"/>
  <c r="C4086" i="3"/>
  <c r="H4085" i="3"/>
  <c r="G4085" i="3"/>
  <c r="F4085" i="3"/>
  <c r="D4085" i="3"/>
  <c r="C4085" i="3" s="1"/>
  <c r="H4084" i="3"/>
  <c r="G4084" i="3"/>
  <c r="F4084" i="3"/>
  <c r="D4084" i="3"/>
  <c r="C4084" i="3"/>
  <c r="H4083" i="3"/>
  <c r="G4083" i="3"/>
  <c r="F4083" i="3"/>
  <c r="D4083" i="3"/>
  <c r="C4083" i="3"/>
  <c r="H4082" i="3"/>
  <c r="G4082" i="3"/>
  <c r="F4082" i="3"/>
  <c r="D4082" i="3"/>
  <c r="C4082" i="3"/>
  <c r="H4081" i="3"/>
  <c r="G4081" i="3"/>
  <c r="F4081" i="3"/>
  <c r="D4081" i="3"/>
  <c r="C4081" i="3"/>
  <c r="H4080" i="3"/>
  <c r="G4080" i="3"/>
  <c r="F4080" i="3"/>
  <c r="D4080" i="3"/>
  <c r="C4080" i="3" s="1"/>
  <c r="H4079" i="3"/>
  <c r="G4079" i="3"/>
  <c r="F4079" i="3"/>
  <c r="D4079" i="3"/>
  <c r="C4079" i="3" s="1"/>
  <c r="H4078" i="3"/>
  <c r="G4078" i="3"/>
  <c r="F4078" i="3"/>
  <c r="D4078" i="3"/>
  <c r="C4078" i="3"/>
  <c r="H4077" i="3"/>
  <c r="G4077" i="3"/>
  <c r="F4077" i="3"/>
  <c r="D4077" i="3"/>
  <c r="C4077" i="3" s="1"/>
  <c r="H4076" i="3"/>
  <c r="G4076" i="3"/>
  <c r="F4076" i="3"/>
  <c r="D4076" i="3"/>
  <c r="C4076" i="3"/>
  <c r="H4075" i="3"/>
  <c r="G4075" i="3"/>
  <c r="F4075" i="3"/>
  <c r="D4075" i="3"/>
  <c r="C4075" i="3"/>
  <c r="H4074" i="3"/>
  <c r="G4074" i="3"/>
  <c r="F4074" i="3"/>
  <c r="D4074" i="3"/>
  <c r="C4074" i="3"/>
  <c r="H4073" i="3"/>
  <c r="G4073" i="3"/>
  <c r="F4073" i="3"/>
  <c r="D4073" i="3"/>
  <c r="C4073" i="3"/>
  <c r="H4072" i="3"/>
  <c r="G4072" i="3"/>
  <c r="F4072" i="3"/>
  <c r="D4072" i="3"/>
  <c r="C4072" i="3" s="1"/>
  <c r="H4071" i="3"/>
  <c r="G4071" i="3"/>
  <c r="F4071" i="3"/>
  <c r="D4071" i="3"/>
  <c r="C4071" i="3" s="1"/>
  <c r="H4070" i="3"/>
  <c r="G4070" i="3"/>
  <c r="F4070" i="3"/>
  <c r="D4070" i="3"/>
  <c r="C4070" i="3"/>
  <c r="H4069" i="3"/>
  <c r="G4069" i="3"/>
  <c r="F4069" i="3"/>
  <c r="D4069" i="3"/>
  <c r="C4069" i="3" s="1"/>
  <c r="H4068" i="3"/>
  <c r="G4068" i="3"/>
  <c r="F4068" i="3"/>
  <c r="D4068" i="3"/>
  <c r="C4068" i="3" s="1"/>
  <c r="H4067" i="3"/>
  <c r="G4067" i="3"/>
  <c r="F4067" i="3"/>
  <c r="D4067" i="3"/>
  <c r="C4067" i="3"/>
  <c r="H4066" i="3"/>
  <c r="G4066" i="3"/>
  <c r="F4066" i="3"/>
  <c r="D4066" i="3"/>
  <c r="C4066" i="3"/>
  <c r="H4065" i="3"/>
  <c r="G4065" i="3"/>
  <c r="F4065" i="3"/>
  <c r="D4065" i="3"/>
  <c r="C4065" i="3"/>
  <c r="H4064" i="3"/>
  <c r="G4064" i="3"/>
  <c r="F4064" i="3"/>
  <c r="D4064" i="3"/>
  <c r="C4064" i="3" s="1"/>
  <c r="H4063" i="3"/>
  <c r="G4063" i="3"/>
  <c r="F4063" i="3"/>
  <c r="D4063" i="3"/>
  <c r="C4063" i="3" s="1"/>
  <c r="H4062" i="3"/>
  <c r="G4062" i="3"/>
  <c r="F4062" i="3"/>
  <c r="D4062" i="3"/>
  <c r="C4062" i="3"/>
  <c r="H4061" i="3"/>
  <c r="G4061" i="3"/>
  <c r="F4061" i="3"/>
  <c r="D4061" i="3"/>
  <c r="C4061" i="3" s="1"/>
  <c r="H4060" i="3"/>
  <c r="G4060" i="3"/>
  <c r="F4060" i="3"/>
  <c r="D4060" i="3"/>
  <c r="C4060" i="3" s="1"/>
  <c r="H4059" i="3"/>
  <c r="G4059" i="3"/>
  <c r="F4059" i="3"/>
  <c r="D4059" i="3"/>
  <c r="C4059" i="3"/>
  <c r="H4058" i="3"/>
  <c r="G4058" i="3"/>
  <c r="F4058" i="3"/>
  <c r="D4058" i="3"/>
  <c r="C4058" i="3"/>
  <c r="H4057" i="3"/>
  <c r="G4057" i="3"/>
  <c r="F4057" i="3"/>
  <c r="D4057" i="3"/>
  <c r="C4057" i="3"/>
  <c r="H4056" i="3"/>
  <c r="G4056" i="3"/>
  <c r="F4056" i="3"/>
  <c r="D4056" i="3"/>
  <c r="C4056" i="3" s="1"/>
  <c r="H4055" i="3"/>
  <c r="G4055" i="3"/>
  <c r="F4055" i="3"/>
  <c r="D4055" i="3"/>
  <c r="C4055" i="3" s="1"/>
  <c r="H4054" i="3"/>
  <c r="G4054" i="3"/>
  <c r="F4054" i="3"/>
  <c r="D4054" i="3"/>
  <c r="C4054" i="3"/>
  <c r="H4053" i="3"/>
  <c r="G4053" i="3"/>
  <c r="F4053" i="3"/>
  <c r="D4053" i="3"/>
  <c r="C4053" i="3" s="1"/>
  <c r="H4052" i="3"/>
  <c r="G4052" i="3"/>
  <c r="F4052" i="3"/>
  <c r="D4052" i="3"/>
  <c r="C4052" i="3"/>
  <c r="H4051" i="3"/>
  <c r="G4051" i="3"/>
  <c r="F4051" i="3"/>
  <c r="D4051" i="3"/>
  <c r="C4051" i="3"/>
  <c r="H4050" i="3"/>
  <c r="G4050" i="3"/>
  <c r="F4050" i="3"/>
  <c r="D4050" i="3"/>
  <c r="C4050" i="3"/>
  <c r="H4049" i="3"/>
  <c r="G4049" i="3"/>
  <c r="F4049" i="3"/>
  <c r="D4049" i="3"/>
  <c r="C4049" i="3"/>
  <c r="H4048" i="3"/>
  <c r="G4048" i="3"/>
  <c r="F4048" i="3"/>
  <c r="D4048" i="3"/>
  <c r="C4048" i="3" s="1"/>
  <c r="H4047" i="3"/>
  <c r="G4047" i="3"/>
  <c r="F4047" i="3"/>
  <c r="D4047" i="3"/>
  <c r="C4047" i="3" s="1"/>
  <c r="H4046" i="3"/>
  <c r="G4046" i="3"/>
  <c r="F4046" i="3"/>
  <c r="D4046" i="3"/>
  <c r="C4046" i="3"/>
  <c r="H4045" i="3"/>
  <c r="G4045" i="3"/>
  <c r="F4045" i="3"/>
  <c r="D4045" i="3"/>
  <c r="C4045" i="3" s="1"/>
  <c r="H4044" i="3"/>
  <c r="G4044" i="3"/>
  <c r="F4044" i="3"/>
  <c r="D4044" i="3"/>
  <c r="C4044" i="3"/>
  <c r="H4043" i="3"/>
  <c r="G4043" i="3"/>
  <c r="F4043" i="3"/>
  <c r="D4043" i="3"/>
  <c r="C4043" i="3"/>
  <c r="H4042" i="3"/>
  <c r="G4042" i="3"/>
  <c r="F4042" i="3"/>
  <c r="D4042" i="3"/>
  <c r="C4042" i="3"/>
  <c r="H4041" i="3"/>
  <c r="G4041" i="3"/>
  <c r="F4041" i="3"/>
  <c r="D4041" i="3"/>
  <c r="C4041" i="3"/>
  <c r="H4040" i="3"/>
  <c r="G4040" i="3"/>
  <c r="F4040" i="3"/>
  <c r="D4040" i="3"/>
  <c r="C4040" i="3" s="1"/>
  <c r="H4039" i="3"/>
  <c r="G4039" i="3"/>
  <c r="F4039" i="3"/>
  <c r="D4039" i="3"/>
  <c r="C4039" i="3" s="1"/>
  <c r="H4038" i="3"/>
  <c r="G4038" i="3"/>
  <c r="F4038" i="3"/>
  <c r="D4038" i="3"/>
  <c r="C4038" i="3"/>
  <c r="H4037" i="3"/>
  <c r="G4037" i="3"/>
  <c r="F4037" i="3"/>
  <c r="D4037" i="3"/>
  <c r="C4037" i="3" s="1"/>
  <c r="H4036" i="3"/>
  <c r="G4036" i="3"/>
  <c r="F4036" i="3"/>
  <c r="D4036" i="3"/>
  <c r="C4036" i="3" s="1"/>
  <c r="H4035" i="3"/>
  <c r="G4035" i="3"/>
  <c r="F4035" i="3"/>
  <c r="D4035" i="3"/>
  <c r="C4035" i="3"/>
  <c r="H4034" i="3"/>
  <c r="G4034" i="3"/>
  <c r="F4034" i="3"/>
  <c r="D4034" i="3"/>
  <c r="C4034" i="3"/>
  <c r="H4033" i="3"/>
  <c r="G4033" i="3"/>
  <c r="F4033" i="3"/>
  <c r="D4033" i="3"/>
  <c r="C4033" i="3"/>
  <c r="H4032" i="3"/>
  <c r="G4032" i="3"/>
  <c r="F4032" i="3"/>
  <c r="D4032" i="3"/>
  <c r="C4032" i="3" s="1"/>
  <c r="H4031" i="3"/>
  <c r="G4031" i="3"/>
  <c r="F4031" i="3"/>
  <c r="D4031" i="3"/>
  <c r="C4031" i="3" s="1"/>
  <c r="H4030" i="3"/>
  <c r="G4030" i="3"/>
  <c r="F4030" i="3"/>
  <c r="D4030" i="3"/>
  <c r="C4030" i="3"/>
  <c r="H4029" i="3"/>
  <c r="G4029" i="3"/>
  <c r="F4029" i="3"/>
  <c r="D4029" i="3"/>
  <c r="C4029" i="3" s="1"/>
  <c r="H4028" i="3"/>
  <c r="G4028" i="3"/>
  <c r="F4028" i="3"/>
  <c r="D4028" i="3"/>
  <c r="C4028" i="3"/>
  <c r="H4027" i="3"/>
  <c r="G4027" i="3"/>
  <c r="F4027" i="3"/>
  <c r="D4027" i="3"/>
  <c r="C4027" i="3"/>
  <c r="H4026" i="3"/>
  <c r="G4026" i="3"/>
  <c r="F4026" i="3"/>
  <c r="D4026" i="3"/>
  <c r="C4026" i="3"/>
  <c r="H4025" i="3"/>
  <c r="G4025" i="3"/>
  <c r="F4025" i="3"/>
  <c r="D4025" i="3"/>
  <c r="C4025" i="3"/>
  <c r="H4024" i="3"/>
  <c r="G4024" i="3"/>
  <c r="F4024" i="3"/>
  <c r="D4024" i="3"/>
  <c r="C4024" i="3" s="1"/>
  <c r="H4023" i="3"/>
  <c r="G4023" i="3"/>
  <c r="F4023" i="3"/>
  <c r="D4023" i="3"/>
  <c r="C4023" i="3" s="1"/>
  <c r="H4022" i="3"/>
  <c r="G4022" i="3"/>
  <c r="F4022" i="3"/>
  <c r="D4022" i="3"/>
  <c r="C4022" i="3"/>
  <c r="H4021" i="3"/>
  <c r="G4021" i="3"/>
  <c r="F4021" i="3"/>
  <c r="D4021" i="3"/>
  <c r="C4021" i="3" s="1"/>
  <c r="H4020" i="3"/>
  <c r="G4020" i="3"/>
  <c r="F4020" i="3"/>
  <c r="D4020" i="3"/>
  <c r="C4020" i="3"/>
  <c r="H4019" i="3"/>
  <c r="G4019" i="3"/>
  <c r="F4019" i="3"/>
  <c r="D4019" i="3"/>
  <c r="C4019" i="3"/>
  <c r="H4018" i="3"/>
  <c r="G4018" i="3"/>
  <c r="F4018" i="3"/>
  <c r="D4018" i="3"/>
  <c r="C4018" i="3"/>
  <c r="H4017" i="3"/>
  <c r="G4017" i="3"/>
  <c r="F4017" i="3"/>
  <c r="D4017" i="3"/>
  <c r="C4017" i="3"/>
  <c r="H4016" i="3"/>
  <c r="G4016" i="3"/>
  <c r="F4016" i="3"/>
  <c r="D4016" i="3"/>
  <c r="C4016" i="3" s="1"/>
  <c r="H4015" i="3"/>
  <c r="G4015" i="3"/>
  <c r="F4015" i="3"/>
  <c r="D4015" i="3"/>
  <c r="C4015" i="3" s="1"/>
  <c r="H4014" i="3"/>
  <c r="G4014" i="3"/>
  <c r="F4014" i="3"/>
  <c r="D4014" i="3"/>
  <c r="C4014" i="3"/>
  <c r="H4013" i="3"/>
  <c r="G4013" i="3"/>
  <c r="F4013" i="3"/>
  <c r="D4013" i="3"/>
  <c r="C4013" i="3" s="1"/>
  <c r="H4012" i="3"/>
  <c r="G4012" i="3"/>
  <c r="F4012" i="3"/>
  <c r="D4012" i="3"/>
  <c r="C4012" i="3"/>
  <c r="H4011" i="3"/>
  <c r="G4011" i="3"/>
  <c r="F4011" i="3"/>
  <c r="D4011" i="3"/>
  <c r="C4011" i="3"/>
  <c r="H4010" i="3"/>
  <c r="G4010" i="3"/>
  <c r="F4010" i="3"/>
  <c r="D4010" i="3"/>
  <c r="C4010" i="3"/>
  <c r="H4009" i="3"/>
  <c r="G4009" i="3"/>
  <c r="F4009" i="3"/>
  <c r="D4009" i="3"/>
  <c r="C4009" i="3"/>
  <c r="H4008" i="3"/>
  <c r="G4008" i="3"/>
  <c r="F4008" i="3"/>
  <c r="D4008" i="3"/>
  <c r="C4008" i="3" s="1"/>
  <c r="H4007" i="3"/>
  <c r="G4007" i="3"/>
  <c r="F4007" i="3"/>
  <c r="D4007" i="3"/>
  <c r="C4007" i="3" s="1"/>
  <c r="H4006" i="3"/>
  <c r="G4006" i="3"/>
  <c r="F4006" i="3"/>
  <c r="D4006" i="3"/>
  <c r="C4006" i="3"/>
  <c r="H4005" i="3"/>
  <c r="G4005" i="3"/>
  <c r="F4005" i="3"/>
  <c r="D4005" i="3"/>
  <c r="C4005" i="3" s="1"/>
  <c r="H4004" i="3"/>
  <c r="G4004" i="3"/>
  <c r="F4004" i="3"/>
  <c r="D4004" i="3"/>
  <c r="C4004" i="3" s="1"/>
  <c r="H4003" i="3"/>
  <c r="G4003" i="3"/>
  <c r="F4003" i="3"/>
  <c r="D4003" i="3"/>
  <c r="C4003" i="3"/>
  <c r="H4002" i="3"/>
  <c r="G4002" i="3"/>
  <c r="F4002" i="3"/>
  <c r="D4002" i="3"/>
  <c r="C4002" i="3"/>
  <c r="H4001" i="3"/>
  <c r="G4001" i="3"/>
  <c r="F4001" i="3"/>
  <c r="D4001" i="3"/>
  <c r="C4001" i="3"/>
  <c r="H4000" i="3"/>
  <c r="G4000" i="3"/>
  <c r="F4000" i="3"/>
  <c r="D4000" i="3"/>
  <c r="C4000" i="3" s="1"/>
  <c r="H3999" i="3"/>
  <c r="G3999" i="3"/>
  <c r="F3999" i="3"/>
  <c r="D3999" i="3"/>
  <c r="C3999" i="3" s="1"/>
  <c r="H3998" i="3"/>
  <c r="G3998" i="3"/>
  <c r="F3998" i="3"/>
  <c r="D3998" i="3"/>
  <c r="C3998" i="3"/>
  <c r="H3997" i="3"/>
  <c r="G3997" i="3"/>
  <c r="F3997" i="3"/>
  <c r="D3997" i="3"/>
  <c r="C3997" i="3" s="1"/>
  <c r="H3996" i="3"/>
  <c r="G3996" i="3"/>
  <c r="F3996" i="3"/>
  <c r="D3996" i="3"/>
  <c r="C3996" i="3" s="1"/>
  <c r="H3995" i="3"/>
  <c r="G3995" i="3"/>
  <c r="F3995" i="3"/>
  <c r="D3995" i="3"/>
  <c r="C3995" i="3"/>
  <c r="H3994" i="3"/>
  <c r="G3994" i="3"/>
  <c r="F3994" i="3"/>
  <c r="D3994" i="3"/>
  <c r="C3994" i="3"/>
  <c r="H3993" i="3"/>
  <c r="G3993" i="3"/>
  <c r="F3993" i="3"/>
  <c r="D3993" i="3"/>
  <c r="C3993" i="3"/>
  <c r="H3992" i="3"/>
  <c r="G3992" i="3"/>
  <c r="F3992" i="3"/>
  <c r="D3992" i="3"/>
  <c r="C3992" i="3" s="1"/>
  <c r="H3991" i="3"/>
  <c r="G3991" i="3"/>
  <c r="F3991" i="3"/>
  <c r="D3991" i="3"/>
  <c r="C3991" i="3" s="1"/>
  <c r="H3990" i="3"/>
  <c r="G3990" i="3"/>
  <c r="F3990" i="3"/>
  <c r="D3990" i="3"/>
  <c r="C3990" i="3"/>
  <c r="H3989" i="3"/>
  <c r="G3989" i="3"/>
  <c r="F3989" i="3"/>
  <c r="D3989" i="3"/>
  <c r="C3989" i="3" s="1"/>
  <c r="H3988" i="3"/>
  <c r="G3988" i="3"/>
  <c r="F3988" i="3"/>
  <c r="D3988" i="3"/>
  <c r="C3988" i="3"/>
  <c r="H3987" i="3"/>
  <c r="G3987" i="3"/>
  <c r="F3987" i="3"/>
  <c r="D3987" i="3"/>
  <c r="C3987" i="3"/>
  <c r="H3986" i="3"/>
  <c r="G3986" i="3"/>
  <c r="F3986" i="3"/>
  <c r="D3986" i="3"/>
  <c r="C3986" i="3"/>
  <c r="H3985" i="3"/>
  <c r="G3985" i="3"/>
  <c r="F3985" i="3"/>
  <c r="D3985" i="3"/>
  <c r="C3985" i="3"/>
  <c r="H3984" i="3"/>
  <c r="G3984" i="3"/>
  <c r="F3984" i="3"/>
  <c r="D3984" i="3"/>
  <c r="C3984" i="3" s="1"/>
  <c r="H3983" i="3"/>
  <c r="G3983" i="3"/>
  <c r="F3983" i="3"/>
  <c r="D3983" i="3"/>
  <c r="C3983" i="3" s="1"/>
  <c r="H3982" i="3"/>
  <c r="G3982" i="3"/>
  <c r="F3982" i="3"/>
  <c r="D3982" i="3"/>
  <c r="C3982" i="3"/>
  <c r="H3981" i="3"/>
  <c r="G3981" i="3"/>
  <c r="F3981" i="3"/>
  <c r="D3981" i="3"/>
  <c r="C3981" i="3" s="1"/>
  <c r="H3980" i="3"/>
  <c r="G3980" i="3"/>
  <c r="F3980" i="3"/>
  <c r="D3980" i="3"/>
  <c r="C3980" i="3"/>
  <c r="H3979" i="3"/>
  <c r="G3979" i="3"/>
  <c r="F3979" i="3"/>
  <c r="D3979" i="3"/>
  <c r="C3979" i="3"/>
  <c r="H3978" i="3"/>
  <c r="G3978" i="3"/>
  <c r="F3978" i="3"/>
  <c r="D3978" i="3"/>
  <c r="C3978" i="3"/>
  <c r="H3977" i="3"/>
  <c r="G3977" i="3"/>
  <c r="F3977" i="3"/>
  <c r="D3977" i="3"/>
  <c r="C3977" i="3"/>
  <c r="H3976" i="3"/>
  <c r="G3976" i="3"/>
  <c r="F3976" i="3"/>
  <c r="D3976" i="3"/>
  <c r="C3976" i="3" s="1"/>
  <c r="H3975" i="3"/>
  <c r="G3975" i="3"/>
  <c r="F3975" i="3"/>
  <c r="D3975" i="3"/>
  <c r="C3975" i="3" s="1"/>
  <c r="H3974" i="3"/>
  <c r="G3974" i="3"/>
  <c r="F3974" i="3"/>
  <c r="D3974" i="3"/>
  <c r="C3974" i="3"/>
  <c r="H3973" i="3"/>
  <c r="G3973" i="3"/>
  <c r="F3973" i="3"/>
  <c r="D3973" i="3"/>
  <c r="C3973" i="3" s="1"/>
  <c r="H3972" i="3"/>
  <c r="G3972" i="3"/>
  <c r="F3972" i="3"/>
  <c r="D3972" i="3"/>
  <c r="C3972" i="3"/>
  <c r="H3971" i="3"/>
  <c r="G3971" i="3"/>
  <c r="F3971" i="3"/>
  <c r="D3971" i="3"/>
  <c r="C3971" i="3"/>
  <c r="H3970" i="3"/>
  <c r="G3970" i="3"/>
  <c r="F3970" i="3"/>
  <c r="D3970" i="3"/>
  <c r="C3970" i="3"/>
  <c r="H3969" i="3"/>
  <c r="G3969" i="3"/>
  <c r="F3969" i="3"/>
  <c r="D3969" i="3"/>
  <c r="C3969" i="3"/>
  <c r="H3968" i="3"/>
  <c r="G3968" i="3"/>
  <c r="F3968" i="3"/>
  <c r="D3968" i="3"/>
  <c r="C3968" i="3" s="1"/>
  <c r="H3967" i="3"/>
  <c r="G3967" i="3"/>
  <c r="F3967" i="3"/>
  <c r="D3967" i="3"/>
  <c r="C3967" i="3" s="1"/>
  <c r="H3966" i="3"/>
  <c r="G3966" i="3"/>
  <c r="F3966" i="3"/>
  <c r="D3966" i="3"/>
  <c r="C3966" i="3"/>
  <c r="H3965" i="3"/>
  <c r="G3965" i="3"/>
  <c r="F3965" i="3"/>
  <c r="D3965" i="3"/>
  <c r="C3965" i="3" s="1"/>
  <c r="H3964" i="3"/>
  <c r="G3964" i="3"/>
  <c r="F3964" i="3"/>
  <c r="D3964" i="3"/>
  <c r="C3964" i="3"/>
  <c r="H3963" i="3"/>
  <c r="G3963" i="3"/>
  <c r="F3963" i="3"/>
  <c r="D3963" i="3"/>
  <c r="C3963" i="3"/>
  <c r="H3962" i="3"/>
  <c r="G3962" i="3"/>
  <c r="F3962" i="3"/>
  <c r="D3962" i="3"/>
  <c r="C3962" i="3"/>
  <c r="H3961" i="3"/>
  <c r="G3961" i="3"/>
  <c r="F3961" i="3"/>
  <c r="D3961" i="3"/>
  <c r="C3961" i="3"/>
  <c r="H3960" i="3"/>
  <c r="G3960" i="3"/>
  <c r="F3960" i="3"/>
  <c r="D3960" i="3"/>
  <c r="C3960" i="3" s="1"/>
  <c r="H3959" i="3"/>
  <c r="G3959" i="3"/>
  <c r="F3959" i="3"/>
  <c r="D3959" i="3"/>
  <c r="C3959" i="3" s="1"/>
  <c r="H3958" i="3"/>
  <c r="G3958" i="3"/>
  <c r="F3958" i="3"/>
  <c r="D3958" i="3"/>
  <c r="C3958" i="3"/>
  <c r="H3957" i="3"/>
  <c r="G3957" i="3"/>
  <c r="F3957" i="3"/>
  <c r="D3957" i="3"/>
  <c r="C3957" i="3" s="1"/>
  <c r="H3956" i="3"/>
  <c r="G3956" i="3"/>
  <c r="F3956" i="3"/>
  <c r="D3956" i="3"/>
  <c r="C3956" i="3" s="1"/>
  <c r="H3955" i="3"/>
  <c r="G3955" i="3"/>
  <c r="F3955" i="3"/>
  <c r="D3955" i="3"/>
  <c r="C3955" i="3"/>
  <c r="H3954" i="3"/>
  <c r="G3954" i="3"/>
  <c r="F3954" i="3"/>
  <c r="D3954" i="3"/>
  <c r="C3954" i="3"/>
  <c r="H3953" i="3"/>
  <c r="G3953" i="3"/>
  <c r="F3953" i="3"/>
  <c r="D3953" i="3"/>
  <c r="C3953" i="3"/>
  <c r="H3952" i="3"/>
  <c r="G3952" i="3"/>
  <c r="F3952" i="3"/>
  <c r="D3952" i="3"/>
  <c r="C3952" i="3" s="1"/>
  <c r="H3951" i="3"/>
  <c r="G3951" i="3"/>
  <c r="F3951" i="3"/>
  <c r="D3951" i="3"/>
  <c r="C3951" i="3" s="1"/>
  <c r="H3950" i="3"/>
  <c r="G3950" i="3"/>
  <c r="F3950" i="3"/>
  <c r="D3950" i="3"/>
  <c r="C3950" i="3"/>
  <c r="H3949" i="3"/>
  <c r="G3949" i="3"/>
  <c r="F3949" i="3"/>
  <c r="D3949" i="3"/>
  <c r="C3949" i="3" s="1"/>
  <c r="H3948" i="3"/>
  <c r="G3948" i="3"/>
  <c r="F3948" i="3"/>
  <c r="D3948" i="3"/>
  <c r="C3948" i="3"/>
  <c r="H3947" i="3"/>
  <c r="G3947" i="3"/>
  <c r="F3947" i="3"/>
  <c r="D3947" i="3"/>
  <c r="C3947" i="3"/>
  <c r="H3946" i="3"/>
  <c r="G3946" i="3"/>
  <c r="F3946" i="3"/>
  <c r="D3946" i="3"/>
  <c r="C3946" i="3"/>
  <c r="H3945" i="3"/>
  <c r="G3945" i="3"/>
  <c r="F3945" i="3"/>
  <c r="D3945" i="3"/>
  <c r="C3945" i="3"/>
  <c r="H3944" i="3"/>
  <c r="G3944" i="3"/>
  <c r="F3944" i="3"/>
  <c r="D3944" i="3"/>
  <c r="C3944" i="3" s="1"/>
  <c r="H3943" i="3"/>
  <c r="G3943" i="3"/>
  <c r="F3943" i="3"/>
  <c r="D3943" i="3"/>
  <c r="C3943" i="3" s="1"/>
  <c r="H3942" i="3"/>
  <c r="G3942" i="3"/>
  <c r="F3942" i="3"/>
  <c r="D3942" i="3"/>
  <c r="C3942" i="3"/>
  <c r="H3941" i="3"/>
  <c r="G3941" i="3"/>
  <c r="F3941" i="3"/>
  <c r="D3941" i="3"/>
  <c r="C3941" i="3" s="1"/>
  <c r="H3940" i="3"/>
  <c r="G3940" i="3"/>
  <c r="F3940" i="3"/>
  <c r="D3940" i="3"/>
  <c r="C3940" i="3" s="1"/>
  <c r="H3939" i="3"/>
  <c r="G3939" i="3"/>
  <c r="F3939" i="3"/>
  <c r="D3939" i="3"/>
  <c r="C3939" i="3"/>
  <c r="H3938" i="3"/>
  <c r="G3938" i="3"/>
  <c r="F3938" i="3"/>
  <c r="D3938" i="3"/>
  <c r="C3938" i="3"/>
  <c r="H3937" i="3"/>
  <c r="G3937" i="3"/>
  <c r="F3937" i="3"/>
  <c r="D3937" i="3"/>
  <c r="C3937" i="3"/>
  <c r="H3936" i="3"/>
  <c r="G3936" i="3"/>
  <c r="F3936" i="3"/>
  <c r="D3936" i="3"/>
  <c r="C3936" i="3" s="1"/>
  <c r="H3935" i="3"/>
  <c r="G3935" i="3"/>
  <c r="F3935" i="3"/>
  <c r="D3935" i="3"/>
  <c r="C3935" i="3" s="1"/>
  <c r="H3934" i="3"/>
  <c r="G3934" i="3"/>
  <c r="F3934" i="3"/>
  <c r="D3934" i="3"/>
  <c r="C3934" i="3"/>
  <c r="H3933" i="3"/>
  <c r="G3933" i="3"/>
  <c r="F3933" i="3"/>
  <c r="D3933" i="3"/>
  <c r="C3933" i="3" s="1"/>
  <c r="H3932" i="3"/>
  <c r="G3932" i="3"/>
  <c r="F3932" i="3"/>
  <c r="D3932" i="3"/>
  <c r="C3932" i="3" s="1"/>
  <c r="H3931" i="3"/>
  <c r="G3931" i="3"/>
  <c r="F3931" i="3"/>
  <c r="D3931" i="3"/>
  <c r="C3931" i="3"/>
  <c r="H3930" i="3"/>
  <c r="G3930" i="3"/>
  <c r="F3930" i="3"/>
  <c r="D3930" i="3"/>
  <c r="C3930" i="3"/>
  <c r="H3929" i="3"/>
  <c r="G3929" i="3"/>
  <c r="F3929" i="3"/>
  <c r="D3929" i="3"/>
  <c r="C3929" i="3"/>
  <c r="H3928" i="3"/>
  <c r="G3928" i="3"/>
  <c r="F3928" i="3"/>
  <c r="D3928" i="3"/>
  <c r="C3928" i="3" s="1"/>
  <c r="H3927" i="3"/>
  <c r="G3927" i="3"/>
  <c r="F3927" i="3"/>
  <c r="D3927" i="3"/>
  <c r="C3927" i="3" s="1"/>
  <c r="H3926" i="3"/>
  <c r="G3926" i="3"/>
  <c r="F3926" i="3"/>
  <c r="D3926" i="3"/>
  <c r="C3926" i="3"/>
  <c r="H3925" i="3"/>
  <c r="G3925" i="3"/>
  <c r="F3925" i="3"/>
  <c r="D3925" i="3"/>
  <c r="C3925" i="3" s="1"/>
  <c r="H3924" i="3"/>
  <c r="G3924" i="3"/>
  <c r="F3924" i="3"/>
  <c r="D3924" i="3"/>
  <c r="C3924" i="3"/>
  <c r="H3923" i="3"/>
  <c r="G3923" i="3"/>
  <c r="F3923" i="3"/>
  <c r="D3923" i="3"/>
  <c r="C3923" i="3"/>
  <c r="H3922" i="3"/>
  <c r="G3922" i="3"/>
  <c r="F3922" i="3"/>
  <c r="D3922" i="3"/>
  <c r="C3922" i="3"/>
  <c r="H3921" i="3"/>
  <c r="G3921" i="3"/>
  <c r="F3921" i="3"/>
  <c r="D3921" i="3"/>
  <c r="C3921" i="3"/>
  <c r="H3920" i="3"/>
  <c r="G3920" i="3"/>
  <c r="F3920" i="3"/>
  <c r="D3920" i="3"/>
  <c r="C3920" i="3" s="1"/>
  <c r="H3919" i="3"/>
  <c r="G3919" i="3"/>
  <c r="F3919" i="3"/>
  <c r="D3919" i="3"/>
  <c r="C3919" i="3" s="1"/>
  <c r="H3918" i="3"/>
  <c r="G3918" i="3"/>
  <c r="F3918" i="3"/>
  <c r="D3918" i="3"/>
  <c r="C3918" i="3"/>
  <c r="H3917" i="3"/>
  <c r="G3917" i="3"/>
  <c r="F3917" i="3"/>
  <c r="D3917" i="3"/>
  <c r="C3917" i="3" s="1"/>
  <c r="H3916" i="3"/>
  <c r="G3916" i="3"/>
  <c r="F3916" i="3"/>
  <c r="D3916" i="3"/>
  <c r="C3916" i="3"/>
  <c r="H3915" i="3"/>
  <c r="G3915" i="3"/>
  <c r="F3915" i="3"/>
  <c r="D3915" i="3"/>
  <c r="C3915" i="3"/>
  <c r="H3914" i="3"/>
  <c r="G3914" i="3"/>
  <c r="F3914" i="3"/>
  <c r="D3914" i="3"/>
  <c r="C3914" i="3"/>
  <c r="H3913" i="3"/>
  <c r="G3913" i="3"/>
  <c r="F3913" i="3"/>
  <c r="D3913" i="3"/>
  <c r="C3913" i="3"/>
  <c r="H3912" i="3"/>
  <c r="G3912" i="3"/>
  <c r="F3912" i="3"/>
  <c r="D3912" i="3"/>
  <c r="C3912" i="3" s="1"/>
  <c r="H3911" i="3"/>
  <c r="G3911" i="3"/>
  <c r="F3911" i="3"/>
  <c r="D3911" i="3"/>
  <c r="C3911" i="3" s="1"/>
  <c r="H3910" i="3"/>
  <c r="G3910" i="3"/>
  <c r="F3910" i="3"/>
  <c r="D3910" i="3"/>
  <c r="C3910" i="3"/>
  <c r="H3909" i="3"/>
  <c r="G3909" i="3"/>
  <c r="F3909" i="3"/>
  <c r="D3909" i="3"/>
  <c r="C3909" i="3" s="1"/>
  <c r="H3908" i="3"/>
  <c r="G3908" i="3"/>
  <c r="F3908" i="3"/>
  <c r="D3908" i="3"/>
  <c r="C3908" i="3"/>
  <c r="H3907" i="3"/>
  <c r="G3907" i="3"/>
  <c r="F3907" i="3"/>
  <c r="D3907" i="3"/>
  <c r="C3907" i="3"/>
  <c r="H3906" i="3"/>
  <c r="G3906" i="3"/>
  <c r="F3906" i="3"/>
  <c r="D3906" i="3"/>
  <c r="C3906" i="3"/>
  <c r="H3905" i="3"/>
  <c r="G3905" i="3"/>
  <c r="F3905" i="3"/>
  <c r="D3905" i="3"/>
  <c r="C3905" i="3"/>
  <c r="H3904" i="3"/>
  <c r="G3904" i="3"/>
  <c r="F3904" i="3"/>
  <c r="D3904" i="3"/>
  <c r="C3904" i="3" s="1"/>
  <c r="H3903" i="3"/>
  <c r="G3903" i="3"/>
  <c r="F3903" i="3"/>
  <c r="D3903" i="3"/>
  <c r="C3903" i="3" s="1"/>
  <c r="H3902" i="3"/>
  <c r="G3902" i="3"/>
  <c r="F3902" i="3"/>
  <c r="D3902" i="3"/>
  <c r="C3902" i="3"/>
  <c r="H3901" i="3"/>
  <c r="G3901" i="3"/>
  <c r="F3901" i="3"/>
  <c r="D3901" i="3"/>
  <c r="C3901" i="3" s="1"/>
  <c r="H3900" i="3"/>
  <c r="G3900" i="3"/>
  <c r="F3900" i="3"/>
  <c r="D3900" i="3"/>
  <c r="C3900" i="3"/>
  <c r="H3899" i="3"/>
  <c r="G3899" i="3"/>
  <c r="F3899" i="3"/>
  <c r="D3899" i="3"/>
  <c r="C3899" i="3"/>
  <c r="H3898" i="3"/>
  <c r="G3898" i="3"/>
  <c r="F3898" i="3"/>
  <c r="D3898" i="3"/>
  <c r="C3898" i="3"/>
  <c r="H3897" i="3"/>
  <c r="G3897" i="3"/>
  <c r="F3897" i="3"/>
  <c r="D3897" i="3"/>
  <c r="C3897" i="3"/>
  <c r="H3896" i="3"/>
  <c r="G3896" i="3"/>
  <c r="F3896" i="3"/>
  <c r="D3896" i="3"/>
  <c r="C3896" i="3" s="1"/>
  <c r="H3895" i="3"/>
  <c r="G3895" i="3"/>
  <c r="F3895" i="3"/>
  <c r="D3895" i="3"/>
  <c r="C3895" i="3" s="1"/>
  <c r="H3894" i="3"/>
  <c r="G3894" i="3"/>
  <c r="F3894" i="3"/>
  <c r="D3894" i="3"/>
  <c r="C3894" i="3"/>
  <c r="H3893" i="3"/>
  <c r="G3893" i="3"/>
  <c r="F3893" i="3"/>
  <c r="D3893" i="3"/>
  <c r="C3893" i="3" s="1"/>
  <c r="H3892" i="3"/>
  <c r="G3892" i="3"/>
  <c r="F3892" i="3"/>
  <c r="D3892" i="3"/>
  <c r="C3892" i="3" s="1"/>
  <c r="H3891" i="3"/>
  <c r="G3891" i="3"/>
  <c r="F3891" i="3"/>
  <c r="D3891" i="3"/>
  <c r="C3891" i="3"/>
  <c r="H3890" i="3"/>
  <c r="G3890" i="3"/>
  <c r="F3890" i="3"/>
  <c r="D3890" i="3"/>
  <c r="C3890" i="3"/>
  <c r="H3889" i="3"/>
  <c r="G3889" i="3"/>
  <c r="F3889" i="3"/>
  <c r="D3889" i="3"/>
  <c r="C3889" i="3"/>
  <c r="H3888" i="3"/>
  <c r="G3888" i="3"/>
  <c r="F3888" i="3"/>
  <c r="D3888" i="3"/>
  <c r="C3888" i="3" s="1"/>
  <c r="H3887" i="3"/>
  <c r="G3887" i="3"/>
  <c r="F3887" i="3"/>
  <c r="D3887" i="3"/>
  <c r="C3887" i="3" s="1"/>
  <c r="H3886" i="3"/>
  <c r="G3886" i="3"/>
  <c r="F3886" i="3"/>
  <c r="D3886" i="3"/>
  <c r="C3886" i="3"/>
  <c r="H3885" i="3"/>
  <c r="G3885" i="3"/>
  <c r="F3885" i="3"/>
  <c r="D3885" i="3"/>
  <c r="C3885" i="3" s="1"/>
  <c r="H3884" i="3"/>
  <c r="G3884" i="3"/>
  <c r="F3884" i="3"/>
  <c r="D3884" i="3"/>
  <c r="C3884" i="3"/>
  <c r="H3883" i="3"/>
  <c r="G3883" i="3"/>
  <c r="F3883" i="3"/>
  <c r="D3883" i="3"/>
  <c r="C3883" i="3"/>
  <c r="H3882" i="3"/>
  <c r="G3882" i="3"/>
  <c r="F3882" i="3"/>
  <c r="D3882" i="3"/>
  <c r="C3882" i="3"/>
  <c r="H3881" i="3"/>
  <c r="G3881" i="3"/>
  <c r="F3881" i="3"/>
  <c r="D3881" i="3"/>
  <c r="C3881" i="3"/>
  <c r="H3880" i="3"/>
  <c r="G3880" i="3"/>
  <c r="F3880" i="3"/>
  <c r="D3880" i="3"/>
  <c r="C3880" i="3" s="1"/>
  <c r="H3879" i="3"/>
  <c r="G3879" i="3"/>
  <c r="F3879" i="3"/>
  <c r="D3879" i="3"/>
  <c r="C3879" i="3" s="1"/>
  <c r="H3878" i="3"/>
  <c r="G3878" i="3"/>
  <c r="F3878" i="3"/>
  <c r="D3878" i="3"/>
  <c r="C3878" i="3"/>
  <c r="H3877" i="3"/>
  <c r="G3877" i="3"/>
  <c r="F3877" i="3"/>
  <c r="D3877" i="3"/>
  <c r="C3877" i="3" s="1"/>
  <c r="H3876" i="3"/>
  <c r="G3876" i="3"/>
  <c r="F3876" i="3"/>
  <c r="D3876" i="3"/>
  <c r="C3876" i="3" s="1"/>
  <c r="H3875" i="3"/>
  <c r="G3875" i="3"/>
  <c r="F3875" i="3"/>
  <c r="D3875" i="3"/>
  <c r="C3875" i="3"/>
  <c r="H3874" i="3"/>
  <c r="G3874" i="3"/>
  <c r="F3874" i="3"/>
  <c r="D3874" i="3"/>
  <c r="C3874" i="3"/>
  <c r="H3873" i="3"/>
  <c r="G3873" i="3"/>
  <c r="F3873" i="3"/>
  <c r="D3873" i="3"/>
  <c r="C3873" i="3"/>
  <c r="H3872" i="3"/>
  <c r="G3872" i="3"/>
  <c r="F3872" i="3"/>
  <c r="D3872" i="3"/>
  <c r="C3872" i="3" s="1"/>
  <c r="H3871" i="3"/>
  <c r="G3871" i="3"/>
  <c r="F3871" i="3"/>
  <c r="D3871" i="3"/>
  <c r="C3871" i="3" s="1"/>
  <c r="H3870" i="3"/>
  <c r="G3870" i="3"/>
  <c r="F3870" i="3"/>
  <c r="D3870" i="3"/>
  <c r="C3870" i="3"/>
  <c r="H3869" i="3"/>
  <c r="G3869" i="3"/>
  <c r="F3869" i="3"/>
  <c r="D3869" i="3"/>
  <c r="C3869" i="3" s="1"/>
  <c r="H3868" i="3"/>
  <c r="G3868" i="3"/>
  <c r="F3868" i="3"/>
  <c r="D3868" i="3"/>
  <c r="C3868" i="3" s="1"/>
  <c r="H3867" i="3"/>
  <c r="G3867" i="3"/>
  <c r="F3867" i="3"/>
  <c r="D3867" i="3"/>
  <c r="C3867" i="3"/>
  <c r="H3866" i="3"/>
  <c r="G3866" i="3"/>
  <c r="F3866" i="3"/>
  <c r="D3866" i="3"/>
  <c r="C3866" i="3"/>
  <c r="H3865" i="3"/>
  <c r="G3865" i="3"/>
  <c r="F3865" i="3"/>
  <c r="D3865" i="3"/>
  <c r="C3865" i="3"/>
  <c r="H3864" i="3"/>
  <c r="G3864" i="3"/>
  <c r="F3864" i="3"/>
  <c r="D3864" i="3"/>
  <c r="C3864" i="3" s="1"/>
  <c r="H3863" i="3"/>
  <c r="G3863" i="3"/>
  <c r="F3863" i="3"/>
  <c r="D3863" i="3"/>
  <c r="C3863" i="3" s="1"/>
  <c r="H3862" i="3"/>
  <c r="G3862" i="3"/>
  <c r="F3862" i="3"/>
  <c r="D3862" i="3"/>
  <c r="C3862" i="3"/>
  <c r="H3861" i="3"/>
  <c r="G3861" i="3"/>
  <c r="F3861" i="3"/>
  <c r="D3861" i="3"/>
  <c r="C3861" i="3" s="1"/>
  <c r="H3860" i="3"/>
  <c r="G3860" i="3"/>
  <c r="F3860" i="3"/>
  <c r="D3860" i="3"/>
  <c r="C3860" i="3"/>
  <c r="H3859" i="3"/>
  <c r="G3859" i="3"/>
  <c r="F3859" i="3"/>
  <c r="D3859" i="3"/>
  <c r="C3859" i="3"/>
  <c r="H3858" i="3"/>
  <c r="G3858" i="3"/>
  <c r="F3858" i="3"/>
  <c r="D3858" i="3"/>
  <c r="C3858" i="3"/>
  <c r="H3857" i="3"/>
  <c r="G3857" i="3"/>
  <c r="F3857" i="3"/>
  <c r="D3857" i="3"/>
  <c r="C3857" i="3"/>
  <c r="H3856" i="3"/>
  <c r="G3856" i="3"/>
  <c r="F3856" i="3"/>
  <c r="D3856" i="3"/>
  <c r="C3856" i="3" s="1"/>
  <c r="H3855" i="3"/>
  <c r="G3855" i="3"/>
  <c r="F3855" i="3"/>
  <c r="D3855" i="3"/>
  <c r="C3855" i="3" s="1"/>
  <c r="H3854" i="3"/>
  <c r="G3854" i="3"/>
  <c r="F3854" i="3"/>
  <c r="D3854" i="3"/>
  <c r="C3854" i="3"/>
  <c r="H3853" i="3"/>
  <c r="G3853" i="3"/>
  <c r="F3853" i="3"/>
  <c r="D3853" i="3"/>
  <c r="C3853" i="3" s="1"/>
  <c r="H3852" i="3"/>
  <c r="G3852" i="3"/>
  <c r="F3852" i="3"/>
  <c r="D3852" i="3"/>
  <c r="C3852" i="3"/>
  <c r="H3851" i="3"/>
  <c r="G3851" i="3"/>
  <c r="F3851" i="3"/>
  <c r="D3851" i="3"/>
  <c r="C3851" i="3"/>
  <c r="H3850" i="3"/>
  <c r="G3850" i="3"/>
  <c r="F3850" i="3"/>
  <c r="D3850" i="3"/>
  <c r="C3850" i="3"/>
  <c r="H3849" i="3"/>
  <c r="G3849" i="3"/>
  <c r="F3849" i="3"/>
  <c r="D3849" i="3"/>
  <c r="C3849" i="3"/>
  <c r="H3848" i="3"/>
  <c r="G3848" i="3"/>
  <c r="F3848" i="3"/>
  <c r="D3848" i="3"/>
  <c r="C3848" i="3" s="1"/>
  <c r="H3847" i="3"/>
  <c r="G3847" i="3"/>
  <c r="F3847" i="3"/>
  <c r="D3847" i="3"/>
  <c r="C3847" i="3" s="1"/>
  <c r="H3846" i="3"/>
  <c r="G3846" i="3"/>
  <c r="F3846" i="3"/>
  <c r="D3846" i="3"/>
  <c r="C3846" i="3"/>
  <c r="H3845" i="3"/>
  <c r="G3845" i="3"/>
  <c r="F3845" i="3"/>
  <c r="D3845" i="3"/>
  <c r="C3845" i="3" s="1"/>
  <c r="H3844" i="3"/>
  <c r="G3844" i="3"/>
  <c r="F3844" i="3"/>
  <c r="D3844" i="3"/>
  <c r="C3844" i="3" s="1"/>
  <c r="H3843" i="3"/>
  <c r="G3843" i="3"/>
  <c r="F3843" i="3"/>
  <c r="D3843" i="3"/>
  <c r="C3843" i="3"/>
  <c r="H3842" i="3"/>
  <c r="G3842" i="3"/>
  <c r="F3842" i="3"/>
  <c r="D3842" i="3"/>
  <c r="C3842" i="3"/>
  <c r="H3841" i="3"/>
  <c r="G3841" i="3"/>
  <c r="F3841" i="3"/>
  <c r="D3841" i="3"/>
  <c r="C3841" i="3"/>
  <c r="H3840" i="3"/>
  <c r="G3840" i="3"/>
  <c r="F3840" i="3"/>
  <c r="D3840" i="3"/>
  <c r="C3840" i="3" s="1"/>
  <c r="H3839" i="3"/>
  <c r="G3839" i="3"/>
  <c r="F3839" i="3"/>
  <c r="D3839" i="3"/>
  <c r="C3839" i="3" s="1"/>
  <c r="H3838" i="3"/>
  <c r="G3838" i="3"/>
  <c r="F3838" i="3"/>
  <c r="D3838" i="3"/>
  <c r="C3838" i="3"/>
  <c r="H3837" i="3"/>
  <c r="G3837" i="3"/>
  <c r="F3837" i="3"/>
  <c r="D3837" i="3"/>
  <c r="C3837" i="3" s="1"/>
  <c r="H3836" i="3"/>
  <c r="G3836" i="3"/>
  <c r="F3836" i="3"/>
  <c r="D3836" i="3"/>
  <c r="C3836" i="3"/>
  <c r="H3835" i="3"/>
  <c r="G3835" i="3"/>
  <c r="F3835" i="3"/>
  <c r="D3835" i="3"/>
  <c r="C3835" i="3"/>
  <c r="H3834" i="3"/>
  <c r="G3834" i="3"/>
  <c r="F3834" i="3"/>
  <c r="D3834" i="3"/>
  <c r="C3834" i="3"/>
  <c r="H3833" i="3"/>
  <c r="G3833" i="3"/>
  <c r="F3833" i="3"/>
  <c r="D3833" i="3"/>
  <c r="C3833" i="3"/>
  <c r="H3832" i="3"/>
  <c r="G3832" i="3"/>
  <c r="F3832" i="3"/>
  <c r="D3832" i="3"/>
  <c r="C3832" i="3" s="1"/>
  <c r="H3831" i="3"/>
  <c r="G3831" i="3"/>
  <c r="F3831" i="3"/>
  <c r="D3831" i="3"/>
  <c r="C3831" i="3" s="1"/>
  <c r="H3830" i="3"/>
  <c r="G3830" i="3"/>
  <c r="F3830" i="3"/>
  <c r="D3830" i="3"/>
  <c r="C3830" i="3"/>
  <c r="H3829" i="3"/>
  <c r="G3829" i="3"/>
  <c r="F3829" i="3"/>
  <c r="D3829" i="3"/>
  <c r="C3829" i="3" s="1"/>
  <c r="H3828" i="3"/>
  <c r="G3828" i="3"/>
  <c r="F3828" i="3"/>
  <c r="D3828" i="3"/>
  <c r="C3828" i="3" s="1"/>
  <c r="H3827" i="3"/>
  <c r="G3827" i="3"/>
  <c r="F3827" i="3"/>
  <c r="D3827" i="3"/>
  <c r="C3827" i="3"/>
  <c r="H3826" i="3"/>
  <c r="G3826" i="3"/>
  <c r="F3826" i="3"/>
  <c r="D3826" i="3"/>
  <c r="C3826" i="3"/>
  <c r="H3825" i="3"/>
  <c r="G3825" i="3"/>
  <c r="F3825" i="3"/>
  <c r="D3825" i="3"/>
  <c r="C3825" i="3"/>
  <c r="H3824" i="3"/>
  <c r="G3824" i="3"/>
  <c r="F3824" i="3"/>
  <c r="D3824" i="3"/>
  <c r="C3824" i="3" s="1"/>
  <c r="H3823" i="3"/>
  <c r="G3823" i="3"/>
  <c r="F3823" i="3"/>
  <c r="D3823" i="3"/>
  <c r="C3823" i="3" s="1"/>
  <c r="H3822" i="3"/>
  <c r="G3822" i="3"/>
  <c r="F3822" i="3"/>
  <c r="D3822" i="3"/>
  <c r="C3822" i="3"/>
  <c r="H3821" i="3"/>
  <c r="G3821" i="3"/>
  <c r="F3821" i="3"/>
  <c r="D3821" i="3"/>
  <c r="C3821" i="3" s="1"/>
  <c r="H3820" i="3"/>
  <c r="G3820" i="3"/>
  <c r="F3820" i="3"/>
  <c r="D3820" i="3"/>
  <c r="C3820" i="3"/>
  <c r="H3819" i="3"/>
  <c r="G3819" i="3"/>
  <c r="F3819" i="3"/>
  <c r="D3819" i="3"/>
  <c r="C3819" i="3"/>
  <c r="H3818" i="3"/>
  <c r="G3818" i="3"/>
  <c r="F3818" i="3"/>
  <c r="D3818" i="3"/>
  <c r="C3818" i="3"/>
  <c r="H3817" i="3"/>
  <c r="G3817" i="3"/>
  <c r="F3817" i="3"/>
  <c r="D3817" i="3"/>
  <c r="C3817" i="3"/>
  <c r="H3816" i="3"/>
  <c r="G3816" i="3"/>
  <c r="F3816" i="3"/>
  <c r="D3816" i="3"/>
  <c r="C3816" i="3" s="1"/>
  <c r="H3815" i="3"/>
  <c r="G3815" i="3"/>
  <c r="F3815" i="3"/>
  <c r="D3815" i="3"/>
  <c r="C3815" i="3" s="1"/>
  <c r="H3814" i="3"/>
  <c r="G3814" i="3"/>
  <c r="F3814" i="3"/>
  <c r="D3814" i="3"/>
  <c r="C3814" i="3"/>
  <c r="H3813" i="3"/>
  <c r="G3813" i="3"/>
  <c r="F3813" i="3"/>
  <c r="D3813" i="3"/>
  <c r="C3813" i="3" s="1"/>
  <c r="H3812" i="3"/>
  <c r="G3812" i="3"/>
  <c r="F3812" i="3"/>
  <c r="D3812" i="3"/>
  <c r="C3812" i="3" s="1"/>
  <c r="H3811" i="3"/>
  <c r="G3811" i="3"/>
  <c r="F3811" i="3"/>
  <c r="D3811" i="3"/>
  <c r="C3811" i="3"/>
  <c r="H3810" i="3"/>
  <c r="G3810" i="3"/>
  <c r="F3810" i="3"/>
  <c r="D3810" i="3"/>
  <c r="C3810" i="3"/>
  <c r="H3809" i="3"/>
  <c r="G3809" i="3"/>
  <c r="F3809" i="3"/>
  <c r="D3809" i="3"/>
  <c r="C3809" i="3"/>
  <c r="H3808" i="3"/>
  <c r="G3808" i="3"/>
  <c r="F3808" i="3"/>
  <c r="D3808" i="3"/>
  <c r="C3808" i="3" s="1"/>
  <c r="H3807" i="3"/>
  <c r="G3807" i="3"/>
  <c r="F3807" i="3"/>
  <c r="D3807" i="3"/>
  <c r="C3807" i="3" s="1"/>
  <c r="H3806" i="3"/>
  <c r="G3806" i="3"/>
  <c r="F3806" i="3"/>
  <c r="D3806" i="3"/>
  <c r="C3806" i="3"/>
  <c r="H3805" i="3"/>
  <c r="G3805" i="3"/>
  <c r="F3805" i="3"/>
  <c r="D3805" i="3"/>
  <c r="C3805" i="3" s="1"/>
  <c r="H3804" i="3"/>
  <c r="G3804" i="3"/>
  <c r="F3804" i="3"/>
  <c r="D3804" i="3"/>
  <c r="C3804" i="3" s="1"/>
  <c r="H3803" i="3"/>
  <c r="G3803" i="3"/>
  <c r="F3803" i="3"/>
  <c r="D3803" i="3"/>
  <c r="C3803" i="3"/>
  <c r="H3802" i="3"/>
  <c r="G3802" i="3"/>
  <c r="F3802" i="3"/>
  <c r="D3802" i="3"/>
  <c r="C3802" i="3"/>
  <c r="H3801" i="3"/>
  <c r="G3801" i="3"/>
  <c r="F3801" i="3"/>
  <c r="D3801" i="3"/>
  <c r="C3801" i="3"/>
  <c r="H3800" i="3"/>
  <c r="G3800" i="3"/>
  <c r="F3800" i="3"/>
  <c r="D3800" i="3"/>
  <c r="C3800" i="3" s="1"/>
  <c r="H3799" i="3"/>
  <c r="G3799" i="3"/>
  <c r="F3799" i="3"/>
  <c r="D3799" i="3"/>
  <c r="C3799" i="3" s="1"/>
  <c r="H3798" i="3"/>
  <c r="G3798" i="3"/>
  <c r="F3798" i="3"/>
  <c r="D3798" i="3"/>
  <c r="C3798" i="3"/>
  <c r="H3797" i="3"/>
  <c r="G3797" i="3"/>
  <c r="F3797" i="3"/>
  <c r="D3797" i="3"/>
  <c r="C3797" i="3" s="1"/>
  <c r="H3796" i="3"/>
  <c r="G3796" i="3"/>
  <c r="F3796" i="3"/>
  <c r="D3796" i="3"/>
  <c r="C3796" i="3"/>
  <c r="H3795" i="3"/>
  <c r="G3795" i="3"/>
  <c r="F3795" i="3"/>
  <c r="D3795" i="3"/>
  <c r="C3795" i="3"/>
  <c r="H3794" i="3"/>
  <c r="G3794" i="3"/>
  <c r="F3794" i="3"/>
  <c r="D3794" i="3"/>
  <c r="C3794" i="3"/>
  <c r="H3793" i="3"/>
  <c r="G3793" i="3"/>
  <c r="F3793" i="3"/>
  <c r="D3793" i="3"/>
  <c r="C3793" i="3"/>
  <c r="H3792" i="3"/>
  <c r="G3792" i="3"/>
  <c r="F3792" i="3"/>
  <c r="D3792" i="3"/>
  <c r="C3792" i="3" s="1"/>
  <c r="H3791" i="3"/>
  <c r="G3791" i="3"/>
  <c r="F3791" i="3"/>
  <c r="D3791" i="3"/>
  <c r="C3791" i="3" s="1"/>
  <c r="H3790" i="3"/>
  <c r="G3790" i="3"/>
  <c r="F3790" i="3"/>
  <c r="D3790" i="3"/>
  <c r="C3790" i="3"/>
  <c r="H3789" i="3"/>
  <c r="G3789" i="3"/>
  <c r="F3789" i="3"/>
  <c r="D3789" i="3"/>
  <c r="C3789" i="3" s="1"/>
  <c r="H3788" i="3"/>
  <c r="G3788" i="3"/>
  <c r="F3788" i="3"/>
  <c r="D3788" i="3"/>
  <c r="C3788" i="3"/>
  <c r="H3787" i="3"/>
  <c r="G3787" i="3"/>
  <c r="F3787" i="3"/>
  <c r="D3787" i="3"/>
  <c r="C3787" i="3"/>
  <c r="H3786" i="3"/>
  <c r="G3786" i="3"/>
  <c r="F3786" i="3"/>
  <c r="D3786" i="3"/>
  <c r="C3786" i="3"/>
  <c r="H3785" i="3"/>
  <c r="G3785" i="3"/>
  <c r="F3785" i="3"/>
  <c r="D3785" i="3"/>
  <c r="C3785" i="3"/>
  <c r="H3784" i="3"/>
  <c r="G3784" i="3"/>
  <c r="F3784" i="3"/>
  <c r="D3784" i="3"/>
  <c r="C3784" i="3" s="1"/>
  <c r="H3783" i="3"/>
  <c r="G3783" i="3"/>
  <c r="F3783" i="3"/>
  <c r="D3783" i="3"/>
  <c r="C3783" i="3" s="1"/>
  <c r="H3782" i="3"/>
  <c r="G3782" i="3"/>
  <c r="F3782" i="3"/>
  <c r="D3782" i="3"/>
  <c r="C3782" i="3"/>
  <c r="H3781" i="3"/>
  <c r="G3781" i="3"/>
  <c r="F3781" i="3"/>
  <c r="D3781" i="3"/>
  <c r="C3781" i="3" s="1"/>
  <c r="H3780" i="3"/>
  <c r="G3780" i="3"/>
  <c r="F3780" i="3"/>
  <c r="D3780" i="3"/>
  <c r="C3780" i="3"/>
  <c r="H3779" i="3"/>
  <c r="G3779" i="3"/>
  <c r="F3779" i="3"/>
  <c r="D3779" i="3"/>
  <c r="C3779" i="3"/>
  <c r="H3778" i="3"/>
  <c r="G3778" i="3"/>
  <c r="F3778" i="3"/>
  <c r="D3778" i="3"/>
  <c r="C3778" i="3"/>
  <c r="H3777" i="3"/>
  <c r="G3777" i="3"/>
  <c r="F3777" i="3"/>
  <c r="D3777" i="3"/>
  <c r="C3777" i="3"/>
  <c r="H3776" i="3"/>
  <c r="G3776" i="3"/>
  <c r="F3776" i="3"/>
  <c r="D3776" i="3"/>
  <c r="C3776" i="3" s="1"/>
  <c r="H3775" i="3"/>
  <c r="G3775" i="3"/>
  <c r="F3775" i="3"/>
  <c r="D3775" i="3"/>
  <c r="C3775" i="3" s="1"/>
  <c r="H3774" i="3"/>
  <c r="G3774" i="3"/>
  <c r="F3774" i="3"/>
  <c r="D3774" i="3"/>
  <c r="C3774" i="3"/>
  <c r="H3773" i="3"/>
  <c r="G3773" i="3"/>
  <c r="F3773" i="3"/>
  <c r="D3773" i="3"/>
  <c r="C3773" i="3" s="1"/>
  <c r="H3772" i="3"/>
  <c r="G3772" i="3"/>
  <c r="F3772" i="3"/>
  <c r="D3772" i="3"/>
  <c r="C3772" i="3"/>
  <c r="H3771" i="3"/>
  <c r="G3771" i="3"/>
  <c r="F3771" i="3"/>
  <c r="D3771" i="3"/>
  <c r="C3771" i="3"/>
  <c r="H3770" i="3"/>
  <c r="G3770" i="3"/>
  <c r="F3770" i="3"/>
  <c r="D3770" i="3"/>
  <c r="C3770" i="3"/>
  <c r="H3769" i="3"/>
  <c r="G3769" i="3"/>
  <c r="F3769" i="3"/>
  <c r="D3769" i="3"/>
  <c r="C3769" i="3"/>
  <c r="H3768" i="3"/>
  <c r="G3768" i="3"/>
  <c r="F3768" i="3"/>
  <c r="D3768" i="3"/>
  <c r="C3768" i="3" s="1"/>
  <c r="H3767" i="3"/>
  <c r="G3767" i="3"/>
  <c r="F3767" i="3"/>
  <c r="D3767" i="3"/>
  <c r="C3767" i="3" s="1"/>
  <c r="H3766" i="3"/>
  <c r="G3766" i="3"/>
  <c r="F3766" i="3"/>
  <c r="D3766" i="3"/>
  <c r="C3766" i="3"/>
  <c r="H3765" i="3"/>
  <c r="G3765" i="3"/>
  <c r="F3765" i="3"/>
  <c r="D3765" i="3"/>
  <c r="C3765" i="3" s="1"/>
  <c r="H3764" i="3"/>
  <c r="G3764" i="3"/>
  <c r="F3764" i="3"/>
  <c r="D3764" i="3"/>
  <c r="C3764" i="3" s="1"/>
  <c r="H3763" i="3"/>
  <c r="G3763" i="3"/>
  <c r="F3763" i="3"/>
  <c r="D3763" i="3"/>
  <c r="C3763" i="3"/>
  <c r="H3762" i="3"/>
  <c r="G3762" i="3"/>
  <c r="F3762" i="3"/>
  <c r="D3762" i="3"/>
  <c r="C3762" i="3"/>
  <c r="H3761" i="3"/>
  <c r="G3761" i="3"/>
  <c r="F3761" i="3"/>
  <c r="D3761" i="3"/>
  <c r="C3761" i="3"/>
  <c r="H3760" i="3"/>
  <c r="G3760" i="3"/>
  <c r="F3760" i="3"/>
  <c r="D3760" i="3"/>
  <c r="C3760" i="3" s="1"/>
  <c r="H3759" i="3"/>
  <c r="G3759" i="3"/>
  <c r="F3759" i="3"/>
  <c r="D3759" i="3"/>
  <c r="C3759" i="3" s="1"/>
  <c r="H3758" i="3"/>
  <c r="G3758" i="3"/>
  <c r="F3758" i="3"/>
  <c r="D3758" i="3"/>
  <c r="C3758" i="3"/>
  <c r="H3757" i="3"/>
  <c r="G3757" i="3"/>
  <c r="F3757" i="3"/>
  <c r="D3757" i="3"/>
  <c r="C3757" i="3" s="1"/>
  <c r="H3756" i="3"/>
  <c r="G3756" i="3"/>
  <c r="F3756" i="3"/>
  <c r="D3756" i="3"/>
  <c r="C3756" i="3"/>
  <c r="H3755" i="3"/>
  <c r="G3755" i="3"/>
  <c r="F3755" i="3"/>
  <c r="D3755" i="3"/>
  <c r="C3755" i="3"/>
  <c r="H3754" i="3"/>
  <c r="G3754" i="3"/>
  <c r="F3754" i="3"/>
  <c r="D3754" i="3"/>
  <c r="C3754" i="3"/>
  <c r="H3753" i="3"/>
  <c r="G3753" i="3"/>
  <c r="F3753" i="3"/>
  <c r="D3753" i="3"/>
  <c r="C3753" i="3"/>
  <c r="H3752" i="3"/>
  <c r="G3752" i="3"/>
  <c r="F3752" i="3"/>
  <c r="D3752" i="3"/>
  <c r="C3752" i="3" s="1"/>
  <c r="H3751" i="3"/>
  <c r="G3751" i="3"/>
  <c r="F3751" i="3"/>
  <c r="D3751" i="3"/>
  <c r="C3751" i="3" s="1"/>
  <c r="H3750" i="3"/>
  <c r="G3750" i="3"/>
  <c r="F3750" i="3"/>
  <c r="D3750" i="3"/>
  <c r="C3750" i="3"/>
  <c r="H3749" i="3"/>
  <c r="G3749" i="3"/>
  <c r="F3749" i="3"/>
  <c r="D3749" i="3"/>
  <c r="C3749" i="3" s="1"/>
  <c r="H3748" i="3"/>
  <c r="G3748" i="3"/>
  <c r="F3748" i="3"/>
  <c r="D3748" i="3"/>
  <c r="C3748" i="3" s="1"/>
  <c r="H3747" i="3"/>
  <c r="G3747" i="3"/>
  <c r="F3747" i="3"/>
  <c r="D3747" i="3"/>
  <c r="C3747" i="3"/>
  <c r="H3746" i="3"/>
  <c r="G3746" i="3"/>
  <c r="F3746" i="3"/>
  <c r="D3746" i="3"/>
  <c r="C3746" i="3"/>
  <c r="H3745" i="3"/>
  <c r="G3745" i="3"/>
  <c r="F3745" i="3"/>
  <c r="D3745" i="3"/>
  <c r="C3745" i="3"/>
  <c r="H3744" i="3"/>
  <c r="G3744" i="3"/>
  <c r="F3744" i="3"/>
  <c r="D3744" i="3"/>
  <c r="C3744" i="3" s="1"/>
  <c r="H3743" i="3"/>
  <c r="G3743" i="3"/>
  <c r="F3743" i="3"/>
  <c r="D3743" i="3"/>
  <c r="C3743" i="3" s="1"/>
  <c r="H3742" i="3"/>
  <c r="G3742" i="3"/>
  <c r="F3742" i="3"/>
  <c r="D3742" i="3"/>
  <c r="C3742" i="3"/>
  <c r="H3741" i="3"/>
  <c r="G3741" i="3"/>
  <c r="F3741" i="3"/>
  <c r="D3741" i="3"/>
  <c r="C3741" i="3" s="1"/>
  <c r="H3740" i="3"/>
  <c r="G3740" i="3"/>
  <c r="F3740" i="3"/>
  <c r="D3740" i="3"/>
  <c r="C3740" i="3" s="1"/>
  <c r="H3739" i="3"/>
  <c r="G3739" i="3"/>
  <c r="F3739" i="3"/>
  <c r="D3739" i="3"/>
  <c r="C3739" i="3"/>
  <c r="H3738" i="3"/>
  <c r="G3738" i="3"/>
  <c r="F3738" i="3"/>
  <c r="D3738" i="3"/>
  <c r="C3738" i="3"/>
  <c r="H3737" i="3"/>
  <c r="G3737" i="3"/>
  <c r="F3737" i="3"/>
  <c r="D3737" i="3"/>
  <c r="C3737" i="3"/>
  <c r="H3736" i="3"/>
  <c r="G3736" i="3"/>
  <c r="F3736" i="3"/>
  <c r="D3736" i="3"/>
  <c r="C3736" i="3" s="1"/>
  <c r="H3735" i="3"/>
  <c r="G3735" i="3"/>
  <c r="F3735" i="3"/>
  <c r="D3735" i="3"/>
  <c r="C3735" i="3" s="1"/>
  <c r="H3734" i="3"/>
  <c r="G3734" i="3"/>
  <c r="F3734" i="3"/>
  <c r="D3734" i="3"/>
  <c r="C3734" i="3"/>
  <c r="H3733" i="3"/>
  <c r="G3733" i="3"/>
  <c r="F3733" i="3"/>
  <c r="D3733" i="3"/>
  <c r="C3733" i="3" s="1"/>
  <c r="H3732" i="3"/>
  <c r="G3732" i="3"/>
  <c r="F3732" i="3"/>
  <c r="D3732" i="3"/>
  <c r="C3732" i="3"/>
  <c r="H3731" i="3"/>
  <c r="G3731" i="3"/>
  <c r="F3731" i="3"/>
  <c r="D3731" i="3"/>
  <c r="C3731" i="3"/>
  <c r="H3730" i="3"/>
  <c r="G3730" i="3"/>
  <c r="F3730" i="3"/>
  <c r="D3730" i="3"/>
  <c r="C3730" i="3"/>
  <c r="H3729" i="3"/>
  <c r="G3729" i="3"/>
  <c r="F3729" i="3"/>
  <c r="D3729" i="3"/>
  <c r="C3729" i="3"/>
  <c r="H3728" i="3"/>
  <c r="G3728" i="3"/>
  <c r="F3728" i="3"/>
  <c r="D3728" i="3"/>
  <c r="C3728" i="3" s="1"/>
  <c r="H3727" i="3"/>
  <c r="G3727" i="3"/>
  <c r="F3727" i="3"/>
  <c r="D3727" i="3"/>
  <c r="C3727" i="3" s="1"/>
  <c r="H3726" i="3"/>
  <c r="G3726" i="3"/>
  <c r="F3726" i="3"/>
  <c r="D3726" i="3"/>
  <c r="C3726" i="3"/>
  <c r="H3725" i="3"/>
  <c r="G3725" i="3"/>
  <c r="F3725" i="3"/>
  <c r="D3725" i="3"/>
  <c r="C3725" i="3" s="1"/>
  <c r="H3724" i="3"/>
  <c r="G3724" i="3"/>
  <c r="F3724" i="3"/>
  <c r="D3724" i="3"/>
  <c r="C3724" i="3"/>
  <c r="H3723" i="3"/>
  <c r="G3723" i="3"/>
  <c r="F3723" i="3"/>
  <c r="D3723" i="3"/>
  <c r="C3723" i="3"/>
  <c r="H3722" i="3"/>
  <c r="G3722" i="3"/>
  <c r="F3722" i="3"/>
  <c r="D3722" i="3"/>
  <c r="C3722" i="3"/>
  <c r="H3721" i="3"/>
  <c r="G3721" i="3"/>
  <c r="F3721" i="3"/>
  <c r="D3721" i="3"/>
  <c r="C3721" i="3"/>
  <c r="H3720" i="3"/>
  <c r="G3720" i="3"/>
  <c r="F3720" i="3"/>
  <c r="D3720" i="3"/>
  <c r="C3720" i="3" s="1"/>
  <c r="H3719" i="3"/>
  <c r="G3719" i="3"/>
  <c r="F3719" i="3"/>
  <c r="D3719" i="3"/>
  <c r="C3719" i="3" s="1"/>
  <c r="H3718" i="3"/>
  <c r="G3718" i="3"/>
  <c r="F3718" i="3"/>
  <c r="D3718" i="3"/>
  <c r="C3718" i="3"/>
  <c r="H3717" i="3"/>
  <c r="G3717" i="3"/>
  <c r="F3717" i="3"/>
  <c r="D3717" i="3"/>
  <c r="C3717" i="3" s="1"/>
  <c r="H3716" i="3"/>
  <c r="G3716" i="3"/>
  <c r="F3716" i="3"/>
  <c r="D3716" i="3"/>
  <c r="C3716" i="3"/>
  <c r="H3715" i="3"/>
  <c r="G3715" i="3"/>
  <c r="F3715" i="3"/>
  <c r="D3715" i="3"/>
  <c r="C3715" i="3"/>
  <c r="H3714" i="3"/>
  <c r="G3714" i="3"/>
  <c r="F3714" i="3"/>
  <c r="D3714" i="3"/>
  <c r="C3714" i="3"/>
  <c r="H3713" i="3"/>
  <c r="G3713" i="3"/>
  <c r="F3713" i="3"/>
  <c r="D3713" i="3"/>
  <c r="C3713" i="3"/>
  <c r="H3712" i="3"/>
  <c r="G3712" i="3"/>
  <c r="F3712" i="3"/>
  <c r="D3712" i="3"/>
  <c r="C3712" i="3" s="1"/>
  <c r="H3711" i="3"/>
  <c r="G3711" i="3"/>
  <c r="F3711" i="3"/>
  <c r="D3711" i="3"/>
  <c r="C3711" i="3" s="1"/>
  <c r="H3710" i="3"/>
  <c r="G3710" i="3"/>
  <c r="F3710" i="3"/>
  <c r="D3710" i="3"/>
  <c r="C3710" i="3"/>
  <c r="H3709" i="3"/>
  <c r="G3709" i="3"/>
  <c r="F3709" i="3"/>
  <c r="D3709" i="3"/>
  <c r="C3709" i="3" s="1"/>
  <c r="H3708" i="3"/>
  <c r="G3708" i="3"/>
  <c r="F3708" i="3"/>
  <c r="D3708" i="3"/>
  <c r="C3708" i="3"/>
  <c r="H3707" i="3"/>
  <c r="G3707" i="3"/>
  <c r="F3707" i="3"/>
  <c r="D3707" i="3"/>
  <c r="C3707" i="3"/>
  <c r="H3706" i="3"/>
  <c r="G3706" i="3"/>
  <c r="F3706" i="3"/>
  <c r="D3706" i="3"/>
  <c r="C3706" i="3"/>
  <c r="H3705" i="3"/>
  <c r="G3705" i="3"/>
  <c r="F3705" i="3"/>
  <c r="D3705" i="3"/>
  <c r="C3705" i="3"/>
  <c r="H3704" i="3"/>
  <c r="G3704" i="3"/>
  <c r="F3704" i="3"/>
  <c r="D3704" i="3"/>
  <c r="C3704" i="3" s="1"/>
  <c r="H3703" i="3"/>
  <c r="G3703" i="3"/>
  <c r="F3703" i="3"/>
  <c r="D3703" i="3"/>
  <c r="C3703" i="3" s="1"/>
  <c r="H3702" i="3"/>
  <c r="G3702" i="3"/>
  <c r="F3702" i="3"/>
  <c r="D3702" i="3"/>
  <c r="C3702" i="3"/>
  <c r="H3701" i="3"/>
  <c r="G3701" i="3"/>
  <c r="F3701" i="3"/>
  <c r="D3701" i="3"/>
  <c r="C3701" i="3" s="1"/>
  <c r="H3700" i="3"/>
  <c r="G3700" i="3"/>
  <c r="F3700" i="3"/>
  <c r="D3700" i="3"/>
  <c r="C3700" i="3" s="1"/>
  <c r="H3699" i="3"/>
  <c r="G3699" i="3"/>
  <c r="F3699" i="3"/>
  <c r="D3699" i="3"/>
  <c r="C3699" i="3"/>
  <c r="H3698" i="3"/>
  <c r="G3698" i="3"/>
  <c r="F3698" i="3"/>
  <c r="D3698" i="3"/>
  <c r="C3698" i="3"/>
  <c r="H3697" i="3"/>
  <c r="G3697" i="3"/>
  <c r="F3697" i="3"/>
  <c r="D3697" i="3"/>
  <c r="C3697" i="3"/>
  <c r="H3696" i="3"/>
  <c r="G3696" i="3"/>
  <c r="F3696" i="3"/>
  <c r="D3696" i="3"/>
  <c r="C3696" i="3" s="1"/>
  <c r="H3695" i="3"/>
  <c r="G3695" i="3"/>
  <c r="F3695" i="3"/>
  <c r="D3695" i="3"/>
  <c r="C3695" i="3" s="1"/>
  <c r="H3694" i="3"/>
  <c r="G3694" i="3"/>
  <c r="F3694" i="3"/>
  <c r="D3694" i="3"/>
  <c r="C3694" i="3"/>
  <c r="H3693" i="3"/>
  <c r="G3693" i="3"/>
  <c r="F3693" i="3"/>
  <c r="D3693" i="3"/>
  <c r="C3693" i="3" s="1"/>
  <c r="H3692" i="3"/>
  <c r="G3692" i="3"/>
  <c r="F3692" i="3"/>
  <c r="D3692" i="3"/>
  <c r="C3692" i="3"/>
  <c r="H3691" i="3"/>
  <c r="G3691" i="3"/>
  <c r="F3691" i="3"/>
  <c r="D3691" i="3"/>
  <c r="C3691" i="3"/>
  <c r="H3690" i="3"/>
  <c r="G3690" i="3"/>
  <c r="F3690" i="3"/>
  <c r="D3690" i="3"/>
  <c r="C3690" i="3"/>
  <c r="H3689" i="3"/>
  <c r="G3689" i="3"/>
  <c r="F3689" i="3"/>
  <c r="D3689" i="3"/>
  <c r="C3689" i="3"/>
  <c r="H3688" i="3"/>
  <c r="G3688" i="3"/>
  <c r="F3688" i="3"/>
  <c r="D3688" i="3"/>
  <c r="C3688" i="3" s="1"/>
  <c r="H3687" i="3"/>
  <c r="G3687" i="3"/>
  <c r="F3687" i="3"/>
  <c r="D3687" i="3"/>
  <c r="C3687" i="3" s="1"/>
  <c r="H3686" i="3"/>
  <c r="G3686" i="3"/>
  <c r="F3686" i="3"/>
  <c r="D3686" i="3"/>
  <c r="C3686" i="3"/>
  <c r="H3685" i="3"/>
  <c r="G3685" i="3"/>
  <c r="F3685" i="3"/>
  <c r="D3685" i="3"/>
  <c r="C3685" i="3" s="1"/>
  <c r="H3684" i="3"/>
  <c r="G3684" i="3"/>
  <c r="F3684" i="3"/>
  <c r="D3684" i="3"/>
  <c r="C3684" i="3" s="1"/>
  <c r="H3683" i="3"/>
  <c r="G3683" i="3"/>
  <c r="F3683" i="3"/>
  <c r="D3683" i="3"/>
  <c r="C3683" i="3"/>
  <c r="H3682" i="3"/>
  <c r="G3682" i="3"/>
  <c r="F3682" i="3"/>
  <c r="D3682" i="3"/>
  <c r="C3682" i="3"/>
  <c r="H3681" i="3"/>
  <c r="G3681" i="3"/>
  <c r="F3681" i="3"/>
  <c r="D3681" i="3"/>
  <c r="C3681" i="3"/>
  <c r="H3680" i="3"/>
  <c r="G3680" i="3"/>
  <c r="F3680" i="3"/>
  <c r="D3680" i="3"/>
  <c r="C3680" i="3" s="1"/>
  <c r="H3679" i="3"/>
  <c r="G3679" i="3"/>
  <c r="F3679" i="3"/>
  <c r="D3679" i="3"/>
  <c r="C3679" i="3" s="1"/>
  <c r="H3678" i="3"/>
  <c r="G3678" i="3"/>
  <c r="F3678" i="3"/>
  <c r="D3678" i="3"/>
  <c r="C3678" i="3"/>
  <c r="H3677" i="3"/>
  <c r="G3677" i="3"/>
  <c r="F3677" i="3"/>
  <c r="D3677" i="3"/>
  <c r="C3677" i="3" s="1"/>
  <c r="H3676" i="3"/>
  <c r="G3676" i="3"/>
  <c r="F3676" i="3"/>
  <c r="D3676" i="3"/>
  <c r="C3676" i="3" s="1"/>
  <c r="H3675" i="3"/>
  <c r="G3675" i="3"/>
  <c r="F3675" i="3"/>
  <c r="D3675" i="3"/>
  <c r="C3675" i="3"/>
  <c r="H3674" i="3"/>
  <c r="G3674" i="3"/>
  <c r="F3674" i="3"/>
  <c r="D3674" i="3"/>
  <c r="C3674" i="3"/>
  <c r="H3673" i="3"/>
  <c r="G3673" i="3"/>
  <c r="F3673" i="3"/>
  <c r="D3673" i="3"/>
  <c r="C3673" i="3"/>
  <c r="H3672" i="3"/>
  <c r="G3672" i="3"/>
  <c r="F3672" i="3"/>
  <c r="D3672" i="3"/>
  <c r="C3672" i="3" s="1"/>
  <c r="H3671" i="3"/>
  <c r="G3671" i="3"/>
  <c r="F3671" i="3"/>
  <c r="D3671" i="3"/>
  <c r="C3671" i="3" s="1"/>
  <c r="H3670" i="3"/>
  <c r="G3670" i="3"/>
  <c r="F3670" i="3"/>
  <c r="D3670" i="3"/>
  <c r="C3670" i="3"/>
  <c r="H3669" i="3"/>
  <c r="G3669" i="3"/>
  <c r="F3669" i="3"/>
  <c r="D3669" i="3"/>
  <c r="C3669" i="3" s="1"/>
  <c r="H3668" i="3"/>
  <c r="G3668" i="3"/>
  <c r="F3668" i="3"/>
  <c r="D3668" i="3"/>
  <c r="C3668" i="3"/>
  <c r="H3667" i="3"/>
  <c r="G3667" i="3"/>
  <c r="F3667" i="3"/>
  <c r="D3667" i="3"/>
  <c r="C3667" i="3"/>
  <c r="H3666" i="3"/>
  <c r="G3666" i="3"/>
  <c r="F3666" i="3"/>
  <c r="D3666" i="3"/>
  <c r="C3666" i="3"/>
  <c r="H3665" i="3"/>
  <c r="G3665" i="3"/>
  <c r="F3665" i="3"/>
  <c r="D3665" i="3"/>
  <c r="C3665" i="3"/>
  <c r="H3664" i="3"/>
  <c r="G3664" i="3"/>
  <c r="F3664" i="3"/>
  <c r="D3664" i="3"/>
  <c r="C3664" i="3" s="1"/>
  <c r="H3663" i="3"/>
  <c r="G3663" i="3"/>
  <c r="F3663" i="3"/>
  <c r="D3663" i="3"/>
  <c r="C3663" i="3" s="1"/>
  <c r="H3662" i="3"/>
  <c r="G3662" i="3"/>
  <c r="F3662" i="3"/>
  <c r="D3662" i="3"/>
  <c r="C3662" i="3"/>
  <c r="H3661" i="3"/>
  <c r="G3661" i="3"/>
  <c r="F3661" i="3"/>
  <c r="D3661" i="3"/>
  <c r="C3661" i="3" s="1"/>
  <c r="H3660" i="3"/>
  <c r="G3660" i="3"/>
  <c r="F3660" i="3"/>
  <c r="D3660" i="3"/>
  <c r="C3660" i="3"/>
  <c r="H3659" i="3"/>
  <c r="G3659" i="3"/>
  <c r="F3659" i="3"/>
  <c r="D3659" i="3"/>
  <c r="C3659" i="3"/>
  <c r="H3658" i="3"/>
  <c r="G3658" i="3"/>
  <c r="F3658" i="3"/>
  <c r="D3658" i="3"/>
  <c r="C3658" i="3"/>
  <c r="H3657" i="3"/>
  <c r="G3657" i="3"/>
  <c r="F3657" i="3"/>
  <c r="D3657" i="3"/>
  <c r="C3657" i="3"/>
  <c r="H3656" i="3"/>
  <c r="G3656" i="3"/>
  <c r="F3656" i="3"/>
  <c r="D3656" i="3"/>
  <c r="C3656" i="3" s="1"/>
  <c r="H3655" i="3"/>
  <c r="G3655" i="3"/>
  <c r="F3655" i="3"/>
  <c r="D3655" i="3"/>
  <c r="C3655" i="3" s="1"/>
  <c r="H3654" i="3"/>
  <c r="G3654" i="3"/>
  <c r="F3654" i="3"/>
  <c r="D3654" i="3"/>
  <c r="C3654" i="3"/>
  <c r="H3653" i="3"/>
  <c r="G3653" i="3"/>
  <c r="F3653" i="3"/>
  <c r="D3653" i="3"/>
  <c r="C3653" i="3" s="1"/>
  <c r="H3652" i="3"/>
  <c r="G3652" i="3"/>
  <c r="F3652" i="3"/>
  <c r="D3652" i="3"/>
  <c r="C3652" i="3"/>
  <c r="H3651" i="3"/>
  <c r="G3651" i="3"/>
  <c r="F3651" i="3"/>
  <c r="D3651" i="3"/>
  <c r="C3651" i="3"/>
  <c r="H3650" i="3"/>
  <c r="G3650" i="3"/>
  <c r="F3650" i="3"/>
  <c r="D3650" i="3"/>
  <c r="C3650" i="3"/>
  <c r="H3649" i="3"/>
  <c r="G3649" i="3"/>
  <c r="F3649" i="3"/>
  <c r="D3649" i="3"/>
  <c r="C3649" i="3"/>
  <c r="H3648" i="3"/>
  <c r="G3648" i="3"/>
  <c r="F3648" i="3"/>
  <c r="D3648" i="3"/>
  <c r="C3648" i="3" s="1"/>
  <c r="H3647" i="3"/>
  <c r="G3647" i="3"/>
  <c r="F3647" i="3"/>
  <c r="D3647" i="3"/>
  <c r="C3647" i="3" s="1"/>
  <c r="H3646" i="3"/>
  <c r="G3646" i="3"/>
  <c r="F3646" i="3"/>
  <c r="D3646" i="3"/>
  <c r="C3646" i="3"/>
  <c r="H3645" i="3"/>
  <c r="G3645" i="3"/>
  <c r="F3645" i="3"/>
  <c r="D3645" i="3"/>
  <c r="C3645" i="3" s="1"/>
  <c r="H3644" i="3"/>
  <c r="G3644" i="3"/>
  <c r="F3644" i="3"/>
  <c r="D3644" i="3"/>
  <c r="C3644" i="3"/>
  <c r="H3643" i="3"/>
  <c r="G3643" i="3"/>
  <c r="F3643" i="3"/>
  <c r="D3643" i="3"/>
  <c r="C3643" i="3"/>
  <c r="H3642" i="3"/>
  <c r="G3642" i="3"/>
  <c r="F3642" i="3"/>
  <c r="D3642" i="3"/>
  <c r="C3642" i="3"/>
  <c r="H3641" i="3"/>
  <c r="G3641" i="3"/>
  <c r="F3641" i="3"/>
  <c r="D3641" i="3"/>
  <c r="C3641" i="3"/>
  <c r="H3640" i="3"/>
  <c r="G3640" i="3"/>
  <c r="F3640" i="3"/>
  <c r="D3640" i="3"/>
  <c r="C3640" i="3" s="1"/>
  <c r="H3639" i="3"/>
  <c r="G3639" i="3"/>
  <c r="F3639" i="3"/>
  <c r="D3639" i="3"/>
  <c r="C3639" i="3" s="1"/>
  <c r="H3638" i="3"/>
  <c r="G3638" i="3"/>
  <c r="F3638" i="3"/>
  <c r="D3638" i="3"/>
  <c r="C3638" i="3"/>
  <c r="H3637" i="3"/>
  <c r="G3637" i="3"/>
  <c r="F3637" i="3"/>
  <c r="D3637" i="3"/>
  <c r="C3637" i="3" s="1"/>
  <c r="H3636" i="3"/>
  <c r="G3636" i="3"/>
  <c r="F3636" i="3"/>
  <c r="D3636" i="3"/>
  <c r="C3636" i="3" s="1"/>
  <c r="H3635" i="3"/>
  <c r="G3635" i="3"/>
  <c r="F3635" i="3"/>
  <c r="D3635" i="3"/>
  <c r="C3635" i="3"/>
  <c r="H3634" i="3"/>
  <c r="G3634" i="3"/>
  <c r="F3634" i="3"/>
  <c r="D3634" i="3"/>
  <c r="C3634" i="3"/>
  <c r="H3633" i="3"/>
  <c r="G3633" i="3"/>
  <c r="F3633" i="3"/>
  <c r="D3633" i="3"/>
  <c r="C3633" i="3"/>
  <c r="H3632" i="3"/>
  <c r="G3632" i="3"/>
  <c r="F3632" i="3"/>
  <c r="D3632" i="3"/>
  <c r="C3632" i="3" s="1"/>
  <c r="H3631" i="3"/>
  <c r="G3631" i="3"/>
  <c r="F3631" i="3"/>
  <c r="D3631" i="3"/>
  <c r="C3631" i="3" s="1"/>
  <c r="H3630" i="3"/>
  <c r="G3630" i="3"/>
  <c r="F3630" i="3"/>
  <c r="D3630" i="3"/>
  <c r="C3630" i="3"/>
  <c r="H3629" i="3"/>
  <c r="G3629" i="3"/>
  <c r="F3629" i="3"/>
  <c r="D3629" i="3"/>
  <c r="C3629" i="3" s="1"/>
  <c r="H3628" i="3"/>
  <c r="G3628" i="3"/>
  <c r="F3628" i="3"/>
  <c r="D3628" i="3"/>
  <c r="C3628" i="3"/>
  <c r="H3627" i="3"/>
  <c r="G3627" i="3"/>
  <c r="F3627" i="3"/>
  <c r="D3627" i="3"/>
  <c r="C3627" i="3"/>
  <c r="H3626" i="3"/>
  <c r="G3626" i="3"/>
  <c r="F3626" i="3"/>
  <c r="D3626" i="3"/>
  <c r="C3626" i="3"/>
  <c r="H3625" i="3"/>
  <c r="G3625" i="3"/>
  <c r="F3625" i="3"/>
  <c r="D3625" i="3"/>
  <c r="C3625" i="3"/>
  <c r="H3624" i="3"/>
  <c r="G3624" i="3"/>
  <c r="F3624" i="3"/>
  <c r="D3624" i="3"/>
  <c r="C3624" i="3" s="1"/>
  <c r="H3623" i="3"/>
  <c r="G3623" i="3"/>
  <c r="F3623" i="3"/>
  <c r="D3623" i="3"/>
  <c r="C3623" i="3" s="1"/>
  <c r="H3622" i="3"/>
  <c r="G3622" i="3"/>
  <c r="F3622" i="3"/>
  <c r="D3622" i="3"/>
  <c r="C3622" i="3"/>
  <c r="H3621" i="3"/>
  <c r="G3621" i="3"/>
  <c r="F3621" i="3"/>
  <c r="D3621" i="3"/>
  <c r="C3621" i="3" s="1"/>
  <c r="H3620" i="3"/>
  <c r="G3620" i="3"/>
  <c r="F3620" i="3"/>
  <c r="D3620" i="3"/>
  <c r="C3620" i="3" s="1"/>
  <c r="H3619" i="3"/>
  <c r="G3619" i="3"/>
  <c r="F3619" i="3"/>
  <c r="D3619" i="3"/>
  <c r="C3619" i="3"/>
  <c r="H3618" i="3"/>
  <c r="G3618" i="3"/>
  <c r="F3618" i="3"/>
  <c r="D3618" i="3"/>
  <c r="C3618" i="3"/>
  <c r="H3617" i="3"/>
  <c r="G3617" i="3"/>
  <c r="F3617" i="3"/>
  <c r="D3617" i="3"/>
  <c r="C3617" i="3"/>
  <c r="H3616" i="3"/>
  <c r="G3616" i="3"/>
  <c r="F3616" i="3"/>
  <c r="D3616" i="3"/>
  <c r="C3616" i="3" s="1"/>
  <c r="H3615" i="3"/>
  <c r="G3615" i="3"/>
  <c r="F3615" i="3"/>
  <c r="D3615" i="3"/>
  <c r="C3615" i="3" s="1"/>
  <c r="H3614" i="3"/>
  <c r="G3614" i="3"/>
  <c r="F3614" i="3"/>
  <c r="D3614" i="3"/>
  <c r="C3614" i="3"/>
  <c r="H3613" i="3"/>
  <c r="G3613" i="3"/>
  <c r="F3613" i="3"/>
  <c r="D3613" i="3"/>
  <c r="C3613" i="3" s="1"/>
  <c r="H3612" i="3"/>
  <c r="G3612" i="3"/>
  <c r="F3612" i="3"/>
  <c r="D3612" i="3"/>
  <c r="C3612" i="3" s="1"/>
  <c r="H3611" i="3"/>
  <c r="G3611" i="3"/>
  <c r="F3611" i="3"/>
  <c r="D3611" i="3"/>
  <c r="C3611" i="3"/>
  <c r="H3610" i="3"/>
  <c r="G3610" i="3"/>
  <c r="F3610" i="3"/>
  <c r="D3610" i="3"/>
  <c r="C3610" i="3"/>
  <c r="H3609" i="3"/>
  <c r="G3609" i="3"/>
  <c r="F3609" i="3"/>
  <c r="D3609" i="3"/>
  <c r="C3609" i="3"/>
  <c r="H3608" i="3"/>
  <c r="G3608" i="3"/>
  <c r="F3608" i="3"/>
  <c r="D3608" i="3"/>
  <c r="C3608" i="3" s="1"/>
  <c r="H3607" i="3"/>
  <c r="G3607" i="3"/>
  <c r="F3607" i="3"/>
  <c r="D3607" i="3"/>
  <c r="C3607" i="3" s="1"/>
  <c r="H3606" i="3"/>
  <c r="G3606" i="3"/>
  <c r="F3606" i="3"/>
  <c r="D3606" i="3"/>
  <c r="C3606" i="3"/>
  <c r="H3605" i="3"/>
  <c r="G3605" i="3"/>
  <c r="F3605" i="3"/>
  <c r="D3605" i="3"/>
  <c r="C3605" i="3" s="1"/>
  <c r="H3604" i="3"/>
  <c r="G3604" i="3"/>
  <c r="F3604" i="3"/>
  <c r="D3604" i="3"/>
  <c r="C3604" i="3"/>
  <c r="H3603" i="3"/>
  <c r="G3603" i="3"/>
  <c r="F3603" i="3"/>
  <c r="D3603" i="3"/>
  <c r="C3603" i="3"/>
  <c r="H3602" i="3"/>
  <c r="G3602" i="3"/>
  <c r="F3602" i="3"/>
  <c r="D3602" i="3"/>
  <c r="C3602" i="3"/>
  <c r="H3601" i="3"/>
  <c r="G3601" i="3"/>
  <c r="F3601" i="3"/>
  <c r="D3601" i="3"/>
  <c r="C3601" i="3"/>
  <c r="H3600" i="3"/>
  <c r="G3600" i="3"/>
  <c r="F3600" i="3"/>
  <c r="D3600" i="3"/>
  <c r="C3600" i="3" s="1"/>
  <c r="H3599" i="3"/>
  <c r="G3599" i="3"/>
  <c r="F3599" i="3"/>
  <c r="D3599" i="3"/>
  <c r="C3599" i="3" s="1"/>
  <c r="H3598" i="3"/>
  <c r="G3598" i="3"/>
  <c r="F3598" i="3"/>
  <c r="D3598" i="3"/>
  <c r="C3598" i="3"/>
  <c r="H3597" i="3"/>
  <c r="G3597" i="3"/>
  <c r="F3597" i="3"/>
  <c r="D3597" i="3"/>
  <c r="C3597" i="3" s="1"/>
  <c r="H3596" i="3"/>
  <c r="G3596" i="3"/>
  <c r="F3596" i="3"/>
  <c r="D3596" i="3"/>
  <c r="C3596" i="3"/>
  <c r="H3595" i="3"/>
  <c r="G3595" i="3"/>
  <c r="F3595" i="3"/>
  <c r="D3595" i="3"/>
  <c r="C3595" i="3"/>
  <c r="H3594" i="3"/>
  <c r="G3594" i="3"/>
  <c r="F3594" i="3"/>
  <c r="D3594" i="3"/>
  <c r="C3594" i="3"/>
  <c r="H3593" i="3"/>
  <c r="G3593" i="3"/>
  <c r="F3593" i="3"/>
  <c r="D3593" i="3"/>
  <c r="C3593" i="3"/>
  <c r="H3592" i="3"/>
  <c r="G3592" i="3"/>
  <c r="F3592" i="3"/>
  <c r="D3592" i="3"/>
  <c r="C3592" i="3" s="1"/>
  <c r="H3591" i="3"/>
  <c r="G3591" i="3"/>
  <c r="F3591" i="3"/>
  <c r="D3591" i="3"/>
  <c r="C3591" i="3" s="1"/>
  <c r="H3590" i="3"/>
  <c r="G3590" i="3"/>
  <c r="F3590" i="3"/>
  <c r="D3590" i="3"/>
  <c r="C3590" i="3"/>
  <c r="H3589" i="3"/>
  <c r="G3589" i="3"/>
  <c r="F3589" i="3"/>
  <c r="D3589" i="3"/>
  <c r="C3589" i="3" s="1"/>
  <c r="H3588" i="3"/>
  <c r="G3588" i="3"/>
  <c r="F3588" i="3"/>
  <c r="D3588" i="3"/>
  <c r="C3588" i="3" s="1"/>
  <c r="H3587" i="3"/>
  <c r="G3587" i="3"/>
  <c r="F3587" i="3"/>
  <c r="D3587" i="3"/>
  <c r="C3587" i="3"/>
  <c r="H3586" i="3"/>
  <c r="G3586" i="3"/>
  <c r="F3586" i="3"/>
  <c r="D3586" i="3"/>
  <c r="C3586" i="3"/>
  <c r="H3585" i="3"/>
  <c r="G3585" i="3"/>
  <c r="F3585" i="3"/>
  <c r="D3585" i="3"/>
  <c r="C3585" i="3"/>
  <c r="H3584" i="3"/>
  <c r="G3584" i="3"/>
  <c r="F3584" i="3"/>
  <c r="D3584" i="3"/>
  <c r="C3584" i="3" s="1"/>
  <c r="H3583" i="3"/>
  <c r="G3583" i="3"/>
  <c r="F3583" i="3"/>
  <c r="D3583" i="3"/>
  <c r="C3583" i="3" s="1"/>
  <c r="H3582" i="3"/>
  <c r="G3582" i="3"/>
  <c r="F3582" i="3"/>
  <c r="D3582" i="3"/>
  <c r="C3582" i="3"/>
  <c r="H3581" i="3"/>
  <c r="G3581" i="3"/>
  <c r="F3581" i="3"/>
  <c r="D3581" i="3"/>
  <c r="C3581" i="3" s="1"/>
  <c r="H3580" i="3"/>
  <c r="G3580" i="3"/>
  <c r="F3580" i="3"/>
  <c r="D3580" i="3"/>
  <c r="C3580" i="3"/>
  <c r="H3579" i="3"/>
  <c r="G3579" i="3"/>
  <c r="F3579" i="3"/>
  <c r="D3579" i="3"/>
  <c r="C3579" i="3"/>
  <c r="H3578" i="3"/>
  <c r="G3578" i="3"/>
  <c r="F3578" i="3"/>
  <c r="D3578" i="3"/>
  <c r="C3578" i="3"/>
  <c r="H3577" i="3"/>
  <c r="G3577" i="3"/>
  <c r="F3577" i="3"/>
  <c r="D3577" i="3"/>
  <c r="C3577" i="3"/>
  <c r="H3576" i="3"/>
  <c r="G3576" i="3"/>
  <c r="F3576" i="3"/>
  <c r="D3576" i="3"/>
  <c r="C3576" i="3" s="1"/>
  <c r="H3575" i="3"/>
  <c r="G3575" i="3"/>
  <c r="F3575" i="3"/>
  <c r="D3575" i="3"/>
  <c r="C3575" i="3" s="1"/>
  <c r="H3574" i="3"/>
  <c r="G3574" i="3"/>
  <c r="F3574" i="3"/>
  <c r="D3574" i="3"/>
  <c r="C3574" i="3"/>
  <c r="H3573" i="3"/>
  <c r="G3573" i="3"/>
  <c r="F3573" i="3"/>
  <c r="D3573" i="3"/>
  <c r="C3573" i="3" s="1"/>
  <c r="H3572" i="3"/>
  <c r="G3572" i="3"/>
  <c r="F3572" i="3"/>
  <c r="D3572" i="3"/>
  <c r="C3572" i="3" s="1"/>
  <c r="H3571" i="3"/>
  <c r="G3571" i="3"/>
  <c r="F3571" i="3"/>
  <c r="D3571" i="3"/>
  <c r="C3571" i="3"/>
  <c r="H3570" i="3"/>
  <c r="G3570" i="3"/>
  <c r="F3570" i="3"/>
  <c r="D3570" i="3"/>
  <c r="C3570" i="3"/>
  <c r="H3569" i="3"/>
  <c r="G3569" i="3"/>
  <c r="F3569" i="3"/>
  <c r="D3569" i="3"/>
  <c r="C3569" i="3"/>
  <c r="H3568" i="3"/>
  <c r="G3568" i="3"/>
  <c r="F3568" i="3"/>
  <c r="D3568" i="3"/>
  <c r="C3568" i="3" s="1"/>
  <c r="H3567" i="3"/>
  <c r="G3567" i="3"/>
  <c r="F3567" i="3"/>
  <c r="D3567" i="3"/>
  <c r="C3567" i="3" s="1"/>
  <c r="H3566" i="3"/>
  <c r="G3566" i="3"/>
  <c r="F3566" i="3"/>
  <c r="D3566" i="3"/>
  <c r="C3566" i="3"/>
  <c r="H3565" i="3"/>
  <c r="G3565" i="3"/>
  <c r="F3565" i="3"/>
  <c r="D3565" i="3"/>
  <c r="C3565" i="3" s="1"/>
  <c r="H3564" i="3"/>
  <c r="G3564" i="3"/>
  <c r="F3564" i="3"/>
  <c r="D3564" i="3"/>
  <c r="C3564" i="3"/>
  <c r="H3563" i="3"/>
  <c r="G3563" i="3"/>
  <c r="F3563" i="3"/>
  <c r="D3563" i="3"/>
  <c r="C3563" i="3"/>
  <c r="H3562" i="3"/>
  <c r="G3562" i="3"/>
  <c r="F3562" i="3"/>
  <c r="D3562" i="3"/>
  <c r="C3562" i="3"/>
  <c r="H3561" i="3"/>
  <c r="G3561" i="3"/>
  <c r="F3561" i="3"/>
  <c r="D3561" i="3"/>
  <c r="C3561" i="3"/>
  <c r="H3560" i="3"/>
  <c r="G3560" i="3"/>
  <c r="F3560" i="3"/>
  <c r="D3560" i="3"/>
  <c r="C3560" i="3" s="1"/>
  <c r="H3559" i="3"/>
  <c r="G3559" i="3"/>
  <c r="F3559" i="3"/>
  <c r="D3559" i="3"/>
  <c r="C3559" i="3" s="1"/>
  <c r="H3558" i="3"/>
  <c r="G3558" i="3"/>
  <c r="F3558" i="3"/>
  <c r="D3558" i="3"/>
  <c r="C3558" i="3"/>
  <c r="H3557" i="3"/>
  <c r="G3557" i="3"/>
  <c r="F3557" i="3"/>
  <c r="D3557" i="3"/>
  <c r="C3557" i="3" s="1"/>
  <c r="H3556" i="3"/>
  <c r="G3556" i="3"/>
  <c r="F3556" i="3"/>
  <c r="D3556" i="3"/>
  <c r="C3556" i="3" s="1"/>
  <c r="H3555" i="3"/>
  <c r="G3555" i="3"/>
  <c r="F3555" i="3"/>
  <c r="D3555" i="3"/>
  <c r="C3555" i="3"/>
  <c r="H3554" i="3"/>
  <c r="G3554" i="3"/>
  <c r="F3554" i="3"/>
  <c r="D3554" i="3"/>
  <c r="C3554" i="3"/>
  <c r="H3553" i="3"/>
  <c r="G3553" i="3"/>
  <c r="F3553" i="3"/>
  <c r="D3553" i="3"/>
  <c r="C3553" i="3"/>
  <c r="H3552" i="3"/>
  <c r="G3552" i="3"/>
  <c r="F3552" i="3"/>
  <c r="D3552" i="3"/>
  <c r="C3552" i="3" s="1"/>
  <c r="H3551" i="3"/>
  <c r="G3551" i="3"/>
  <c r="F3551" i="3"/>
  <c r="D3551" i="3"/>
  <c r="C3551" i="3" s="1"/>
  <c r="H3550" i="3"/>
  <c r="G3550" i="3"/>
  <c r="F3550" i="3"/>
  <c r="D3550" i="3"/>
  <c r="C3550" i="3"/>
  <c r="H3549" i="3"/>
  <c r="G3549" i="3"/>
  <c r="F3549" i="3"/>
  <c r="D3549" i="3"/>
  <c r="C3549" i="3" s="1"/>
  <c r="H3548" i="3"/>
  <c r="G3548" i="3"/>
  <c r="F3548" i="3"/>
  <c r="D3548" i="3"/>
  <c r="C3548" i="3" s="1"/>
  <c r="H3547" i="3"/>
  <c r="G3547" i="3"/>
  <c r="F3547" i="3"/>
  <c r="D3547" i="3"/>
  <c r="C3547" i="3"/>
  <c r="H3546" i="3"/>
  <c r="G3546" i="3"/>
  <c r="F3546" i="3"/>
  <c r="D3546" i="3"/>
  <c r="C3546" i="3"/>
  <c r="H3545" i="3"/>
  <c r="G3545" i="3"/>
  <c r="F3545" i="3"/>
  <c r="D3545" i="3"/>
  <c r="C3545" i="3"/>
  <c r="H3544" i="3"/>
  <c r="G3544" i="3"/>
  <c r="F3544" i="3"/>
  <c r="D3544" i="3"/>
  <c r="C3544" i="3" s="1"/>
  <c r="H3543" i="3"/>
  <c r="G3543" i="3"/>
  <c r="F3543" i="3"/>
  <c r="D3543" i="3"/>
  <c r="C3543" i="3" s="1"/>
  <c r="H3542" i="3"/>
  <c r="G3542" i="3"/>
  <c r="F3542" i="3"/>
  <c r="D3542" i="3"/>
  <c r="C3542" i="3"/>
  <c r="H3541" i="3"/>
  <c r="G3541" i="3"/>
  <c r="F3541" i="3"/>
  <c r="D3541" i="3"/>
  <c r="C3541" i="3" s="1"/>
  <c r="H3540" i="3"/>
  <c r="G3540" i="3"/>
  <c r="F3540" i="3"/>
  <c r="D3540" i="3"/>
  <c r="C3540" i="3"/>
  <c r="H3539" i="3"/>
  <c r="G3539" i="3"/>
  <c r="F3539" i="3"/>
  <c r="D3539" i="3"/>
  <c r="C3539" i="3"/>
  <c r="H3538" i="3"/>
  <c r="G3538" i="3"/>
  <c r="F3538" i="3"/>
  <c r="D3538" i="3"/>
  <c r="C3538" i="3"/>
  <c r="H3537" i="3"/>
  <c r="G3537" i="3"/>
  <c r="F3537" i="3"/>
  <c r="D3537" i="3"/>
  <c r="C3537" i="3"/>
  <c r="H3536" i="3"/>
  <c r="G3536" i="3"/>
  <c r="F3536" i="3"/>
  <c r="D3536" i="3"/>
  <c r="C3536" i="3" s="1"/>
  <c r="H3535" i="3"/>
  <c r="G3535" i="3"/>
  <c r="F3535" i="3"/>
  <c r="D3535" i="3"/>
  <c r="C3535" i="3" s="1"/>
  <c r="H3534" i="3"/>
  <c r="G3534" i="3"/>
  <c r="F3534" i="3"/>
  <c r="D3534" i="3"/>
  <c r="C3534" i="3"/>
  <c r="H3533" i="3"/>
  <c r="G3533" i="3"/>
  <c r="F3533" i="3"/>
  <c r="D3533" i="3"/>
  <c r="C3533" i="3" s="1"/>
  <c r="H3532" i="3"/>
  <c r="G3532" i="3"/>
  <c r="F3532" i="3"/>
  <c r="D3532" i="3"/>
  <c r="C3532" i="3"/>
  <c r="H3531" i="3"/>
  <c r="G3531" i="3"/>
  <c r="F3531" i="3"/>
  <c r="D3531" i="3"/>
  <c r="C3531" i="3"/>
  <c r="H3530" i="3"/>
  <c r="G3530" i="3"/>
  <c r="F3530" i="3"/>
  <c r="D3530" i="3"/>
  <c r="C3530" i="3"/>
  <c r="H3529" i="3"/>
  <c r="G3529" i="3"/>
  <c r="F3529" i="3"/>
  <c r="D3529" i="3"/>
  <c r="C3529" i="3"/>
  <c r="H3528" i="3"/>
  <c r="G3528" i="3"/>
  <c r="F3528" i="3"/>
  <c r="D3528" i="3"/>
  <c r="C3528" i="3" s="1"/>
  <c r="H3527" i="3"/>
  <c r="G3527" i="3"/>
  <c r="F3527" i="3"/>
  <c r="D3527" i="3"/>
  <c r="C3527" i="3" s="1"/>
  <c r="H3526" i="3"/>
  <c r="G3526" i="3"/>
  <c r="F3526" i="3"/>
  <c r="D3526" i="3"/>
  <c r="C3526" i="3"/>
  <c r="H3525" i="3"/>
  <c r="G3525" i="3"/>
  <c r="F3525" i="3"/>
  <c r="D3525" i="3"/>
  <c r="C3525" i="3" s="1"/>
  <c r="H3524" i="3"/>
  <c r="G3524" i="3"/>
  <c r="F3524" i="3"/>
  <c r="D3524" i="3"/>
  <c r="C3524" i="3"/>
  <c r="H3523" i="3"/>
  <c r="G3523" i="3"/>
  <c r="F3523" i="3"/>
  <c r="D3523" i="3"/>
  <c r="C3523" i="3"/>
  <c r="H3522" i="3"/>
  <c r="G3522" i="3"/>
  <c r="F3522" i="3"/>
  <c r="D3522" i="3"/>
  <c r="C3522" i="3"/>
  <c r="H3521" i="3"/>
  <c r="G3521" i="3"/>
  <c r="F3521" i="3"/>
  <c r="D3521" i="3"/>
  <c r="C3521" i="3"/>
  <c r="H3520" i="3"/>
  <c r="G3520" i="3"/>
  <c r="F3520" i="3"/>
  <c r="D3520" i="3"/>
  <c r="C3520" i="3" s="1"/>
  <c r="H3519" i="3"/>
  <c r="G3519" i="3"/>
  <c r="F3519" i="3"/>
  <c r="D3519" i="3"/>
  <c r="C3519" i="3" s="1"/>
  <c r="H3518" i="3"/>
  <c r="G3518" i="3"/>
  <c r="F3518" i="3"/>
  <c r="D3518" i="3"/>
  <c r="C3518" i="3"/>
  <c r="H3517" i="3"/>
  <c r="G3517" i="3"/>
  <c r="F3517" i="3"/>
  <c r="D3517" i="3"/>
  <c r="C3517" i="3" s="1"/>
  <c r="H3516" i="3"/>
  <c r="G3516" i="3"/>
  <c r="F3516" i="3"/>
  <c r="D3516" i="3"/>
  <c r="C3516" i="3"/>
  <c r="H3515" i="3"/>
  <c r="G3515" i="3"/>
  <c r="F3515" i="3"/>
  <c r="D3515" i="3"/>
  <c r="C3515" i="3"/>
  <c r="H3514" i="3"/>
  <c r="G3514" i="3"/>
  <c r="F3514" i="3"/>
  <c r="D3514" i="3"/>
  <c r="C3514" i="3"/>
  <c r="H3513" i="3"/>
  <c r="G3513" i="3"/>
  <c r="F3513" i="3"/>
  <c r="D3513" i="3"/>
  <c r="C3513" i="3"/>
  <c r="H3512" i="3"/>
  <c r="G3512" i="3"/>
  <c r="F3512" i="3"/>
  <c r="D3512" i="3"/>
  <c r="C3512" i="3" s="1"/>
  <c r="H3511" i="3"/>
  <c r="G3511" i="3"/>
  <c r="F3511" i="3"/>
  <c r="D3511" i="3"/>
  <c r="C3511" i="3" s="1"/>
  <c r="H3510" i="3"/>
  <c r="G3510" i="3"/>
  <c r="F3510" i="3"/>
  <c r="D3510" i="3"/>
  <c r="C3510" i="3"/>
  <c r="H3509" i="3"/>
  <c r="G3509" i="3"/>
  <c r="F3509" i="3"/>
  <c r="D3509" i="3"/>
  <c r="C3509" i="3" s="1"/>
  <c r="H3508" i="3"/>
  <c r="G3508" i="3"/>
  <c r="F3508" i="3"/>
  <c r="D3508" i="3"/>
  <c r="C3508" i="3" s="1"/>
  <c r="H3507" i="3"/>
  <c r="G3507" i="3"/>
  <c r="F3507" i="3"/>
  <c r="D3507" i="3"/>
  <c r="C3507" i="3"/>
  <c r="H3506" i="3"/>
  <c r="G3506" i="3"/>
  <c r="F3506" i="3"/>
  <c r="D3506" i="3"/>
  <c r="C3506" i="3"/>
  <c r="H3505" i="3"/>
  <c r="G3505" i="3"/>
  <c r="F3505" i="3"/>
  <c r="D3505" i="3"/>
  <c r="C3505" i="3"/>
  <c r="H3504" i="3"/>
  <c r="G3504" i="3"/>
  <c r="F3504" i="3"/>
  <c r="D3504" i="3"/>
  <c r="C3504" i="3" s="1"/>
  <c r="H3503" i="3"/>
  <c r="G3503" i="3"/>
  <c r="F3503" i="3"/>
  <c r="D3503" i="3"/>
  <c r="C3503" i="3" s="1"/>
  <c r="H3502" i="3"/>
  <c r="G3502" i="3"/>
  <c r="F3502" i="3"/>
  <c r="D3502" i="3"/>
  <c r="C3502" i="3"/>
  <c r="H3501" i="3"/>
  <c r="G3501" i="3"/>
  <c r="F3501" i="3"/>
  <c r="D3501" i="3"/>
  <c r="C3501" i="3" s="1"/>
  <c r="H3500" i="3"/>
  <c r="G3500" i="3"/>
  <c r="F3500" i="3"/>
  <c r="D3500" i="3"/>
  <c r="C3500" i="3"/>
  <c r="H3499" i="3"/>
  <c r="G3499" i="3"/>
  <c r="F3499" i="3"/>
  <c r="D3499" i="3"/>
  <c r="C3499" i="3"/>
  <c r="H3498" i="3"/>
  <c r="G3498" i="3"/>
  <c r="F3498" i="3"/>
  <c r="D3498" i="3"/>
  <c r="C3498" i="3"/>
  <c r="H3497" i="3"/>
  <c r="G3497" i="3"/>
  <c r="F3497" i="3"/>
  <c r="D3497" i="3"/>
  <c r="C3497" i="3"/>
  <c r="H3496" i="3"/>
  <c r="G3496" i="3"/>
  <c r="F3496" i="3"/>
  <c r="D3496" i="3"/>
  <c r="C3496" i="3" s="1"/>
  <c r="H3495" i="3"/>
  <c r="G3495" i="3"/>
  <c r="F3495" i="3"/>
  <c r="D3495" i="3"/>
  <c r="C3495" i="3" s="1"/>
  <c r="H3494" i="3"/>
  <c r="G3494" i="3"/>
  <c r="F3494" i="3"/>
  <c r="D3494" i="3"/>
  <c r="C3494" i="3"/>
  <c r="H3493" i="3"/>
  <c r="G3493" i="3"/>
  <c r="F3493" i="3"/>
  <c r="D3493" i="3"/>
  <c r="C3493" i="3" s="1"/>
  <c r="H3492" i="3"/>
  <c r="G3492" i="3"/>
  <c r="F3492" i="3"/>
  <c r="D3492" i="3"/>
  <c r="C3492" i="3" s="1"/>
  <c r="H3491" i="3"/>
  <c r="G3491" i="3"/>
  <c r="F3491" i="3"/>
  <c r="D3491" i="3"/>
  <c r="C3491" i="3"/>
  <c r="H3490" i="3"/>
  <c r="G3490" i="3"/>
  <c r="F3490" i="3"/>
  <c r="D3490" i="3"/>
  <c r="C3490" i="3"/>
  <c r="H3489" i="3"/>
  <c r="G3489" i="3"/>
  <c r="F3489" i="3"/>
  <c r="D3489" i="3"/>
  <c r="C3489" i="3"/>
  <c r="H3488" i="3"/>
  <c r="G3488" i="3"/>
  <c r="F3488" i="3"/>
  <c r="D3488" i="3"/>
  <c r="C3488" i="3" s="1"/>
  <c r="H3487" i="3"/>
  <c r="G3487" i="3"/>
  <c r="F3487" i="3"/>
  <c r="D3487" i="3"/>
  <c r="C3487" i="3" s="1"/>
  <c r="H3486" i="3"/>
  <c r="G3486" i="3"/>
  <c r="F3486" i="3"/>
  <c r="D3486" i="3"/>
  <c r="C3486" i="3"/>
  <c r="H3485" i="3"/>
  <c r="G3485" i="3"/>
  <c r="F3485" i="3"/>
  <c r="D3485" i="3"/>
  <c r="C3485" i="3" s="1"/>
  <c r="H3484" i="3"/>
  <c r="G3484" i="3"/>
  <c r="F3484" i="3"/>
  <c r="D3484" i="3"/>
  <c r="C3484" i="3" s="1"/>
  <c r="H3483" i="3"/>
  <c r="G3483" i="3"/>
  <c r="F3483" i="3"/>
  <c r="D3483" i="3"/>
  <c r="C3483" i="3"/>
  <c r="H3482" i="3"/>
  <c r="G3482" i="3"/>
  <c r="F3482" i="3"/>
  <c r="D3482" i="3"/>
  <c r="C3482" i="3"/>
  <c r="H3481" i="3"/>
  <c r="G3481" i="3"/>
  <c r="F3481" i="3"/>
  <c r="D3481" i="3"/>
  <c r="C3481" i="3"/>
  <c r="H3480" i="3"/>
  <c r="G3480" i="3"/>
  <c r="F3480" i="3"/>
  <c r="D3480" i="3"/>
  <c r="C3480" i="3"/>
  <c r="H3479" i="3"/>
  <c r="G3479" i="3"/>
  <c r="F3479" i="3"/>
  <c r="D3479" i="3"/>
  <c r="C3479" i="3" s="1"/>
  <c r="H3478" i="3"/>
  <c r="G3478" i="3"/>
  <c r="F3478" i="3"/>
  <c r="D3478" i="3"/>
  <c r="C3478" i="3"/>
  <c r="H3477" i="3"/>
  <c r="G3477" i="3"/>
  <c r="F3477" i="3"/>
  <c r="D3477" i="3"/>
  <c r="C3477" i="3" s="1"/>
  <c r="H3476" i="3"/>
  <c r="G3476" i="3"/>
  <c r="F3476" i="3"/>
  <c r="D3476" i="3"/>
  <c r="C3476" i="3"/>
  <c r="H3475" i="3"/>
  <c r="G3475" i="3"/>
  <c r="F3475" i="3"/>
  <c r="D3475" i="3"/>
  <c r="C3475" i="3"/>
  <c r="H3474" i="3"/>
  <c r="G3474" i="3"/>
  <c r="F3474" i="3"/>
  <c r="D3474" i="3"/>
  <c r="C3474" i="3"/>
  <c r="H3473" i="3"/>
  <c r="G3473" i="3"/>
  <c r="F3473" i="3"/>
  <c r="D3473" i="3"/>
  <c r="C3473" i="3"/>
  <c r="H3472" i="3"/>
  <c r="G3472" i="3"/>
  <c r="F3472" i="3"/>
  <c r="D3472" i="3"/>
  <c r="C3472" i="3"/>
  <c r="H3471" i="3"/>
  <c r="G3471" i="3"/>
  <c r="F3471" i="3"/>
  <c r="D3471" i="3"/>
  <c r="C3471" i="3" s="1"/>
  <c r="H3470" i="3"/>
  <c r="G3470" i="3"/>
  <c r="F3470" i="3"/>
  <c r="D3470" i="3"/>
  <c r="C3470" i="3"/>
  <c r="H3469" i="3"/>
  <c r="G3469" i="3"/>
  <c r="F3469" i="3"/>
  <c r="D3469" i="3"/>
  <c r="C3469" i="3" s="1"/>
  <c r="H3468" i="3"/>
  <c r="G3468" i="3"/>
  <c r="F3468" i="3"/>
  <c r="D3468" i="3"/>
  <c r="C3468" i="3"/>
  <c r="H3467" i="3"/>
  <c r="G3467" i="3"/>
  <c r="F3467" i="3"/>
  <c r="D3467" i="3"/>
  <c r="C3467" i="3"/>
  <c r="H3466" i="3"/>
  <c r="G3466" i="3"/>
  <c r="F3466" i="3"/>
  <c r="D3466" i="3"/>
  <c r="C3466" i="3"/>
  <c r="H3465" i="3"/>
  <c r="G3465" i="3"/>
  <c r="F3465" i="3"/>
  <c r="D3465" i="3"/>
  <c r="C3465" i="3"/>
  <c r="H3464" i="3"/>
  <c r="G3464" i="3"/>
  <c r="F3464" i="3"/>
  <c r="D3464" i="3"/>
  <c r="C3464" i="3"/>
  <c r="H3463" i="3"/>
  <c r="G3463" i="3"/>
  <c r="F3463" i="3"/>
  <c r="D3463" i="3"/>
  <c r="C3463" i="3" s="1"/>
  <c r="H3462" i="3"/>
  <c r="G3462" i="3"/>
  <c r="F3462" i="3"/>
  <c r="D3462" i="3"/>
  <c r="C3462" i="3"/>
  <c r="H3461" i="3"/>
  <c r="G3461" i="3"/>
  <c r="F3461" i="3"/>
  <c r="D3461" i="3"/>
  <c r="C3461" i="3" s="1"/>
  <c r="H3460" i="3"/>
  <c r="G3460" i="3"/>
  <c r="F3460" i="3"/>
  <c r="D3460" i="3"/>
  <c r="C3460" i="3"/>
  <c r="H3459" i="3"/>
  <c r="G3459" i="3"/>
  <c r="F3459" i="3"/>
  <c r="D3459" i="3"/>
  <c r="C3459" i="3"/>
  <c r="H3458" i="3"/>
  <c r="G3458" i="3"/>
  <c r="F3458" i="3"/>
  <c r="D3458" i="3"/>
  <c r="C3458" i="3"/>
  <c r="H3457" i="3"/>
  <c r="G3457" i="3"/>
  <c r="F3457" i="3"/>
  <c r="D3457" i="3"/>
  <c r="C3457" i="3"/>
  <c r="H3456" i="3"/>
  <c r="G3456" i="3"/>
  <c r="F3456" i="3"/>
  <c r="D3456" i="3"/>
  <c r="C3456" i="3"/>
  <c r="H3455" i="3"/>
  <c r="G3455" i="3"/>
  <c r="F3455" i="3"/>
  <c r="D3455" i="3"/>
  <c r="C3455" i="3" s="1"/>
  <c r="H3454" i="3"/>
  <c r="G3454" i="3"/>
  <c r="F3454" i="3"/>
  <c r="D3454" i="3"/>
  <c r="C3454" i="3"/>
  <c r="H3453" i="3"/>
  <c r="G3453" i="3"/>
  <c r="F3453" i="3"/>
  <c r="D3453" i="3"/>
  <c r="C3453" i="3" s="1"/>
  <c r="H3452" i="3"/>
  <c r="G3452" i="3"/>
  <c r="F3452" i="3"/>
  <c r="D3452" i="3"/>
  <c r="C3452" i="3" s="1"/>
  <c r="H3451" i="3"/>
  <c r="G3451" i="3"/>
  <c r="F3451" i="3"/>
  <c r="D3451" i="3"/>
  <c r="C3451" i="3"/>
  <c r="H3450" i="3"/>
  <c r="G3450" i="3"/>
  <c r="F3450" i="3"/>
  <c r="D3450" i="3"/>
  <c r="C3450" i="3"/>
  <c r="H3449" i="3"/>
  <c r="G3449" i="3"/>
  <c r="F3449" i="3"/>
  <c r="D3449" i="3"/>
  <c r="C3449" i="3"/>
  <c r="H3448" i="3"/>
  <c r="G3448" i="3"/>
  <c r="F3448" i="3"/>
  <c r="D3448" i="3"/>
  <c r="C3448" i="3"/>
  <c r="H3447" i="3"/>
  <c r="G3447" i="3"/>
  <c r="F3447" i="3"/>
  <c r="D3447" i="3"/>
  <c r="C3447" i="3" s="1"/>
  <c r="H3446" i="3"/>
  <c r="G3446" i="3"/>
  <c r="F3446" i="3"/>
  <c r="D3446" i="3"/>
  <c r="C3446" i="3"/>
  <c r="H3445" i="3"/>
  <c r="G3445" i="3"/>
  <c r="F3445" i="3"/>
  <c r="D3445" i="3"/>
  <c r="C3445" i="3" s="1"/>
  <c r="H3444" i="3"/>
  <c r="G3444" i="3"/>
  <c r="F3444" i="3"/>
  <c r="D3444" i="3"/>
  <c r="C3444" i="3"/>
  <c r="H3443" i="3"/>
  <c r="G3443" i="3"/>
  <c r="F3443" i="3"/>
  <c r="D3443" i="3"/>
  <c r="C3443" i="3"/>
  <c r="H3442" i="3"/>
  <c r="G3442" i="3"/>
  <c r="F3442" i="3"/>
  <c r="D3442" i="3"/>
  <c r="C3442" i="3"/>
  <c r="H3441" i="3"/>
  <c r="G3441" i="3"/>
  <c r="F3441" i="3"/>
  <c r="D3441" i="3"/>
  <c r="C3441" i="3"/>
  <c r="H3440" i="3"/>
  <c r="G3440" i="3"/>
  <c r="F3440" i="3"/>
  <c r="D3440" i="3"/>
  <c r="C3440" i="3"/>
  <c r="H3439" i="3"/>
  <c r="G3439" i="3"/>
  <c r="F3439" i="3"/>
  <c r="D3439" i="3"/>
  <c r="C3439" i="3" s="1"/>
  <c r="H3438" i="3"/>
  <c r="G3438" i="3"/>
  <c r="F3438" i="3"/>
  <c r="D3438" i="3"/>
  <c r="C3438" i="3"/>
  <c r="H3437" i="3"/>
  <c r="G3437" i="3"/>
  <c r="F3437" i="3"/>
  <c r="D3437" i="3"/>
  <c r="C3437" i="3" s="1"/>
  <c r="H3436" i="3"/>
  <c r="G3436" i="3"/>
  <c r="F3436" i="3"/>
  <c r="D3436" i="3"/>
  <c r="C3436" i="3"/>
  <c r="H3435" i="3"/>
  <c r="G3435" i="3"/>
  <c r="F3435" i="3"/>
  <c r="D3435" i="3"/>
  <c r="C3435" i="3"/>
  <c r="H3434" i="3"/>
  <c r="G3434" i="3"/>
  <c r="F3434" i="3"/>
  <c r="D3434" i="3"/>
  <c r="C3434" i="3"/>
  <c r="H3433" i="3"/>
  <c r="G3433" i="3"/>
  <c r="F3433" i="3"/>
  <c r="D3433" i="3"/>
  <c r="C3433" i="3"/>
  <c r="H3432" i="3"/>
  <c r="G3432" i="3"/>
  <c r="F3432" i="3"/>
  <c r="D3432" i="3"/>
  <c r="C3432" i="3"/>
  <c r="H3431" i="3"/>
  <c r="G3431" i="3"/>
  <c r="F3431" i="3"/>
  <c r="D3431" i="3"/>
  <c r="C3431" i="3" s="1"/>
  <c r="H3430" i="3"/>
  <c r="G3430" i="3"/>
  <c r="F3430" i="3"/>
  <c r="D3430" i="3"/>
  <c r="C3430" i="3"/>
  <c r="H3429" i="3"/>
  <c r="G3429" i="3"/>
  <c r="F3429" i="3"/>
  <c r="D3429" i="3"/>
  <c r="C3429" i="3" s="1"/>
  <c r="H3428" i="3"/>
  <c r="G3428" i="3"/>
  <c r="F3428" i="3"/>
  <c r="D3428" i="3"/>
  <c r="C3428" i="3"/>
  <c r="H3427" i="3"/>
  <c r="G3427" i="3"/>
  <c r="F3427" i="3"/>
  <c r="D3427" i="3"/>
  <c r="C3427" i="3"/>
  <c r="H3426" i="3"/>
  <c r="G3426" i="3"/>
  <c r="F3426" i="3"/>
  <c r="D3426" i="3"/>
  <c r="C3426" i="3"/>
  <c r="H3425" i="3"/>
  <c r="G3425" i="3"/>
  <c r="F3425" i="3"/>
  <c r="D3425" i="3"/>
  <c r="C3425" i="3"/>
  <c r="H3424" i="3"/>
  <c r="G3424" i="3"/>
  <c r="F3424" i="3"/>
  <c r="D3424" i="3"/>
  <c r="C3424" i="3"/>
  <c r="H3423" i="3"/>
  <c r="G3423" i="3"/>
  <c r="F3423" i="3"/>
  <c r="D3423" i="3"/>
  <c r="C3423" i="3" s="1"/>
  <c r="H3422" i="3"/>
  <c r="G3422" i="3"/>
  <c r="F3422" i="3"/>
  <c r="D3422" i="3"/>
  <c r="C3422" i="3"/>
  <c r="H3421" i="3"/>
  <c r="G3421" i="3"/>
  <c r="F3421" i="3"/>
  <c r="D3421" i="3"/>
  <c r="C3421" i="3" s="1"/>
  <c r="H3420" i="3"/>
  <c r="G3420" i="3"/>
  <c r="F3420" i="3"/>
  <c r="D3420" i="3"/>
  <c r="C3420" i="3" s="1"/>
  <c r="H3419" i="3"/>
  <c r="G3419" i="3"/>
  <c r="F3419" i="3"/>
  <c r="D3419" i="3"/>
  <c r="C3419" i="3"/>
  <c r="H3418" i="3"/>
  <c r="G3418" i="3"/>
  <c r="F3418" i="3"/>
  <c r="D3418" i="3"/>
  <c r="C3418" i="3"/>
  <c r="H3417" i="3"/>
  <c r="G3417" i="3"/>
  <c r="F3417" i="3"/>
  <c r="D3417" i="3"/>
  <c r="C3417" i="3"/>
  <c r="H3416" i="3"/>
  <c r="G3416" i="3"/>
  <c r="F3416" i="3"/>
  <c r="D3416" i="3"/>
  <c r="C3416" i="3"/>
  <c r="H3415" i="3"/>
  <c r="G3415" i="3"/>
  <c r="F3415" i="3"/>
  <c r="D3415" i="3"/>
  <c r="C3415" i="3" s="1"/>
  <c r="H3414" i="3"/>
  <c r="G3414" i="3"/>
  <c r="F3414" i="3"/>
  <c r="D3414" i="3"/>
  <c r="C3414" i="3"/>
  <c r="H3413" i="3"/>
  <c r="G3413" i="3"/>
  <c r="F3413" i="3"/>
  <c r="D3413" i="3"/>
  <c r="C3413" i="3" s="1"/>
  <c r="H3412" i="3"/>
  <c r="G3412" i="3"/>
  <c r="F3412" i="3"/>
  <c r="D3412" i="3"/>
  <c r="C3412" i="3"/>
  <c r="H3411" i="3"/>
  <c r="G3411" i="3"/>
  <c r="F3411" i="3"/>
  <c r="D3411" i="3"/>
  <c r="C3411" i="3"/>
  <c r="H3410" i="3"/>
  <c r="G3410" i="3"/>
  <c r="F3410" i="3"/>
  <c r="D3410" i="3"/>
  <c r="C3410" i="3"/>
  <c r="H3409" i="3"/>
  <c r="G3409" i="3"/>
  <c r="F3409" i="3"/>
  <c r="D3409" i="3"/>
  <c r="C3409" i="3"/>
  <c r="H3408" i="3"/>
  <c r="G3408" i="3"/>
  <c r="F3408" i="3"/>
  <c r="D3408" i="3"/>
  <c r="C3408" i="3"/>
  <c r="H3407" i="3"/>
  <c r="G3407" i="3"/>
  <c r="F3407" i="3"/>
  <c r="D3407" i="3"/>
  <c r="C3407" i="3" s="1"/>
  <c r="H3406" i="3"/>
  <c r="G3406" i="3"/>
  <c r="F3406" i="3"/>
  <c r="D3406" i="3"/>
  <c r="C3406" i="3"/>
  <c r="H3405" i="3"/>
  <c r="G3405" i="3"/>
  <c r="F3405" i="3"/>
  <c r="D3405" i="3"/>
  <c r="C3405" i="3" s="1"/>
  <c r="H3404" i="3"/>
  <c r="G3404" i="3"/>
  <c r="F3404" i="3"/>
  <c r="D3404" i="3"/>
  <c r="C3404" i="3"/>
  <c r="H3403" i="3"/>
  <c r="G3403" i="3"/>
  <c r="F3403" i="3"/>
  <c r="D3403" i="3"/>
  <c r="C3403" i="3"/>
  <c r="H3402" i="3"/>
  <c r="G3402" i="3"/>
  <c r="F3402" i="3"/>
  <c r="D3402" i="3"/>
  <c r="C3402" i="3"/>
  <c r="H3401" i="3"/>
  <c r="G3401" i="3"/>
  <c r="F3401" i="3"/>
  <c r="D3401" i="3"/>
  <c r="C3401" i="3"/>
  <c r="H3400" i="3"/>
  <c r="G3400" i="3"/>
  <c r="F3400" i="3"/>
  <c r="D3400" i="3"/>
  <c r="C3400" i="3"/>
  <c r="H3399" i="3"/>
  <c r="G3399" i="3"/>
  <c r="F3399" i="3"/>
  <c r="D3399" i="3"/>
  <c r="C3399" i="3" s="1"/>
  <c r="H3398" i="3"/>
  <c r="G3398" i="3"/>
  <c r="F3398" i="3"/>
  <c r="D3398" i="3"/>
  <c r="C3398" i="3"/>
  <c r="H3397" i="3"/>
  <c r="G3397" i="3"/>
  <c r="F3397" i="3"/>
  <c r="D3397" i="3"/>
  <c r="C3397" i="3" s="1"/>
  <c r="H3396" i="3"/>
  <c r="G3396" i="3"/>
  <c r="F3396" i="3"/>
  <c r="D3396" i="3"/>
  <c r="C3396" i="3"/>
  <c r="H3395" i="3"/>
  <c r="G3395" i="3"/>
  <c r="F3395" i="3"/>
  <c r="D3395" i="3"/>
  <c r="C3395" i="3"/>
  <c r="H3394" i="3"/>
  <c r="G3394" i="3"/>
  <c r="F3394" i="3"/>
  <c r="D3394" i="3"/>
  <c r="C3394" i="3"/>
  <c r="H3393" i="3"/>
  <c r="G3393" i="3"/>
  <c r="F3393" i="3"/>
  <c r="D3393" i="3"/>
  <c r="C3393" i="3"/>
  <c r="H3392" i="3"/>
  <c r="G3392" i="3"/>
  <c r="F3392" i="3"/>
  <c r="D3392" i="3"/>
  <c r="C3392" i="3" s="1"/>
  <c r="H3391" i="3"/>
  <c r="G3391" i="3"/>
  <c r="F3391" i="3"/>
  <c r="D3391" i="3"/>
  <c r="C3391" i="3" s="1"/>
  <c r="H3390" i="3"/>
  <c r="G3390" i="3"/>
  <c r="F3390" i="3"/>
  <c r="D3390" i="3"/>
  <c r="C3390" i="3"/>
  <c r="H3389" i="3"/>
  <c r="G3389" i="3"/>
  <c r="F3389" i="3"/>
  <c r="D3389" i="3"/>
  <c r="C3389" i="3" s="1"/>
  <c r="H3388" i="3"/>
  <c r="G3388" i="3"/>
  <c r="F3388" i="3"/>
  <c r="D3388" i="3"/>
  <c r="C3388" i="3" s="1"/>
  <c r="H3387" i="3"/>
  <c r="G3387" i="3"/>
  <c r="F3387" i="3"/>
  <c r="D3387" i="3"/>
  <c r="C3387" i="3"/>
  <c r="H3386" i="3"/>
  <c r="G3386" i="3"/>
  <c r="F3386" i="3"/>
  <c r="D3386" i="3"/>
  <c r="C3386" i="3"/>
  <c r="H3385" i="3"/>
  <c r="G3385" i="3"/>
  <c r="F3385" i="3"/>
  <c r="D3385" i="3"/>
  <c r="C3385" i="3"/>
  <c r="H3384" i="3"/>
  <c r="G3384" i="3"/>
  <c r="F3384" i="3"/>
  <c r="D3384" i="3"/>
  <c r="C3384" i="3" s="1"/>
  <c r="H3383" i="3"/>
  <c r="G3383" i="3"/>
  <c r="F3383" i="3"/>
  <c r="D3383" i="3"/>
  <c r="C3383" i="3" s="1"/>
  <c r="H3382" i="3"/>
  <c r="G3382" i="3"/>
  <c r="F3382" i="3"/>
  <c r="D3382" i="3"/>
  <c r="C3382" i="3"/>
  <c r="H3381" i="3"/>
  <c r="G3381" i="3"/>
  <c r="F3381" i="3"/>
  <c r="D3381" i="3"/>
  <c r="C3381" i="3" s="1"/>
  <c r="H3380" i="3"/>
  <c r="G3380" i="3"/>
  <c r="F3380" i="3"/>
  <c r="D3380" i="3"/>
  <c r="C3380" i="3"/>
  <c r="H3379" i="3"/>
  <c r="G3379" i="3"/>
  <c r="F3379" i="3"/>
  <c r="D3379" i="3"/>
  <c r="C3379" i="3"/>
  <c r="H3378" i="3"/>
  <c r="G3378" i="3"/>
  <c r="F3378" i="3"/>
  <c r="D3378" i="3"/>
  <c r="C3378" i="3"/>
  <c r="H3377" i="3"/>
  <c r="G3377" i="3"/>
  <c r="F3377" i="3"/>
  <c r="D3377" i="3"/>
  <c r="C3377" i="3"/>
  <c r="H3376" i="3"/>
  <c r="G3376" i="3"/>
  <c r="F3376" i="3"/>
  <c r="D3376" i="3"/>
  <c r="C3376" i="3"/>
  <c r="H3375" i="3"/>
  <c r="G3375" i="3"/>
  <c r="F3375" i="3"/>
  <c r="D3375" i="3"/>
  <c r="C3375" i="3" s="1"/>
  <c r="H3374" i="3"/>
  <c r="G3374" i="3"/>
  <c r="F3374" i="3"/>
  <c r="D3374" i="3"/>
  <c r="C3374" i="3"/>
  <c r="H3373" i="3"/>
  <c r="G3373" i="3"/>
  <c r="F3373" i="3"/>
  <c r="D3373" i="3"/>
  <c r="C3373" i="3" s="1"/>
  <c r="H3372" i="3"/>
  <c r="G3372" i="3"/>
  <c r="F3372" i="3"/>
  <c r="D3372" i="3"/>
  <c r="C3372" i="3"/>
  <c r="H3371" i="3"/>
  <c r="G3371" i="3"/>
  <c r="F3371" i="3"/>
  <c r="D3371" i="3"/>
  <c r="C3371" i="3"/>
  <c r="H3370" i="3"/>
  <c r="G3370" i="3"/>
  <c r="F3370" i="3"/>
  <c r="D3370" i="3"/>
  <c r="C3370" i="3"/>
  <c r="H3369" i="3"/>
  <c r="G3369" i="3"/>
  <c r="F3369" i="3"/>
  <c r="D3369" i="3"/>
  <c r="C3369" i="3"/>
  <c r="H3368" i="3"/>
  <c r="G3368" i="3"/>
  <c r="F3368" i="3"/>
  <c r="D3368" i="3"/>
  <c r="C3368" i="3"/>
  <c r="H3367" i="3"/>
  <c r="G3367" i="3"/>
  <c r="F3367" i="3"/>
  <c r="D3367" i="3"/>
  <c r="C3367" i="3" s="1"/>
  <c r="H3366" i="3"/>
  <c r="G3366" i="3"/>
  <c r="F3366" i="3"/>
  <c r="D3366" i="3"/>
  <c r="C3366" i="3"/>
  <c r="H3365" i="3"/>
  <c r="G3365" i="3"/>
  <c r="F3365" i="3"/>
  <c r="D3365" i="3"/>
  <c r="C3365" i="3" s="1"/>
  <c r="H3364" i="3"/>
  <c r="G3364" i="3"/>
  <c r="F3364" i="3"/>
  <c r="D3364" i="3"/>
  <c r="C3364" i="3" s="1"/>
  <c r="H3363" i="3"/>
  <c r="G3363" i="3"/>
  <c r="F3363" i="3"/>
  <c r="D3363" i="3"/>
  <c r="C3363" i="3"/>
  <c r="H3362" i="3"/>
  <c r="G3362" i="3"/>
  <c r="F3362" i="3"/>
  <c r="D3362" i="3"/>
  <c r="C3362" i="3"/>
  <c r="H3361" i="3"/>
  <c r="G3361" i="3"/>
  <c r="F3361" i="3"/>
  <c r="D3361" i="3"/>
  <c r="C3361" i="3"/>
  <c r="H3360" i="3"/>
  <c r="G3360" i="3"/>
  <c r="F3360" i="3"/>
  <c r="D3360" i="3"/>
  <c r="C3360" i="3" s="1"/>
  <c r="H3359" i="3"/>
  <c r="G3359" i="3"/>
  <c r="F3359" i="3"/>
  <c r="D3359" i="3"/>
  <c r="C3359" i="3" s="1"/>
  <c r="H3358" i="3"/>
  <c r="G3358" i="3"/>
  <c r="F3358" i="3"/>
  <c r="D3358" i="3"/>
  <c r="C3358" i="3"/>
  <c r="H3357" i="3"/>
  <c r="G3357" i="3"/>
  <c r="F3357" i="3"/>
  <c r="D3357" i="3"/>
  <c r="C3357" i="3" s="1"/>
  <c r="H3356" i="3"/>
  <c r="G3356" i="3"/>
  <c r="F3356" i="3"/>
  <c r="D3356" i="3"/>
  <c r="C3356" i="3"/>
  <c r="H3355" i="3"/>
  <c r="G3355" i="3"/>
  <c r="F3355" i="3"/>
  <c r="D3355" i="3"/>
  <c r="C3355" i="3"/>
  <c r="H3354" i="3"/>
  <c r="G3354" i="3"/>
  <c r="F3354" i="3"/>
  <c r="D3354" i="3"/>
  <c r="C3354" i="3"/>
  <c r="H3353" i="3"/>
  <c r="G3353" i="3"/>
  <c r="F3353" i="3"/>
  <c r="D3353" i="3"/>
  <c r="C3353" i="3"/>
  <c r="H3352" i="3"/>
  <c r="G3352" i="3"/>
  <c r="F3352" i="3"/>
  <c r="D3352" i="3"/>
  <c r="C3352" i="3"/>
  <c r="H3351" i="3"/>
  <c r="G3351" i="3"/>
  <c r="F3351" i="3"/>
  <c r="D3351" i="3"/>
  <c r="C3351" i="3" s="1"/>
  <c r="H3350" i="3"/>
  <c r="G3350" i="3"/>
  <c r="F3350" i="3"/>
  <c r="D3350" i="3"/>
  <c r="C3350" i="3"/>
  <c r="H3349" i="3"/>
  <c r="G3349" i="3"/>
  <c r="F3349" i="3"/>
  <c r="D3349" i="3"/>
  <c r="C3349" i="3" s="1"/>
  <c r="H3348" i="3"/>
  <c r="G3348" i="3"/>
  <c r="F3348" i="3"/>
  <c r="D3348" i="3"/>
  <c r="C3348" i="3" s="1"/>
  <c r="H3347" i="3"/>
  <c r="G3347" i="3"/>
  <c r="F3347" i="3"/>
  <c r="D3347" i="3"/>
  <c r="C3347" i="3"/>
  <c r="H3346" i="3"/>
  <c r="G3346" i="3"/>
  <c r="F3346" i="3"/>
  <c r="D3346" i="3"/>
  <c r="C3346" i="3"/>
  <c r="H3345" i="3"/>
  <c r="G3345" i="3"/>
  <c r="F3345" i="3"/>
  <c r="D3345" i="3"/>
  <c r="C3345" i="3"/>
  <c r="H3344" i="3"/>
  <c r="G3344" i="3"/>
  <c r="F3344" i="3"/>
  <c r="D3344" i="3"/>
  <c r="C3344" i="3"/>
  <c r="H3343" i="3"/>
  <c r="G3343" i="3"/>
  <c r="F3343" i="3"/>
  <c r="D3343" i="3"/>
  <c r="C3343" i="3" s="1"/>
  <c r="H3342" i="3"/>
  <c r="G3342" i="3"/>
  <c r="F3342" i="3"/>
  <c r="D3342" i="3"/>
  <c r="C3342" i="3"/>
  <c r="H3341" i="3"/>
  <c r="G3341" i="3"/>
  <c r="F3341" i="3"/>
  <c r="D3341" i="3"/>
  <c r="C3341" i="3" s="1"/>
  <c r="H3340" i="3"/>
  <c r="G3340" i="3"/>
  <c r="F3340" i="3"/>
  <c r="D3340" i="3"/>
  <c r="C3340" i="3" s="1"/>
  <c r="H3339" i="3"/>
  <c r="G3339" i="3"/>
  <c r="F3339" i="3"/>
  <c r="D3339" i="3"/>
  <c r="C3339" i="3"/>
  <c r="H3338" i="3"/>
  <c r="G3338" i="3"/>
  <c r="F3338" i="3"/>
  <c r="D3338" i="3"/>
  <c r="C3338" i="3"/>
  <c r="H3337" i="3"/>
  <c r="G3337" i="3"/>
  <c r="F3337" i="3"/>
  <c r="D3337" i="3"/>
  <c r="C3337" i="3" s="1"/>
  <c r="H3336" i="3"/>
  <c r="G3336" i="3"/>
  <c r="F3336" i="3"/>
  <c r="D3336" i="3"/>
  <c r="C3336" i="3"/>
  <c r="H3335" i="3"/>
  <c r="G3335" i="3"/>
  <c r="F3335" i="3"/>
  <c r="D3335" i="3"/>
  <c r="C3335" i="3" s="1"/>
  <c r="H3334" i="3"/>
  <c r="G3334" i="3"/>
  <c r="F3334" i="3"/>
  <c r="D3334" i="3"/>
  <c r="C3334" i="3"/>
  <c r="H3333" i="3"/>
  <c r="G3333" i="3"/>
  <c r="F3333" i="3"/>
  <c r="D3333" i="3"/>
  <c r="C3333" i="3" s="1"/>
  <c r="H3332" i="3"/>
  <c r="G3332" i="3"/>
  <c r="F3332" i="3"/>
  <c r="D3332" i="3"/>
  <c r="C3332" i="3" s="1"/>
  <c r="H3331" i="3"/>
  <c r="G3331" i="3"/>
  <c r="F3331" i="3"/>
  <c r="D3331" i="3"/>
  <c r="C3331" i="3"/>
  <c r="H3330" i="3"/>
  <c r="G3330" i="3"/>
  <c r="F3330" i="3"/>
  <c r="D3330" i="3"/>
  <c r="C3330" i="3"/>
  <c r="H3329" i="3"/>
  <c r="G3329" i="3"/>
  <c r="F3329" i="3"/>
  <c r="D3329" i="3"/>
  <c r="C3329" i="3"/>
  <c r="H3328" i="3"/>
  <c r="G3328" i="3"/>
  <c r="F3328" i="3"/>
  <c r="D3328" i="3"/>
  <c r="C3328" i="3"/>
  <c r="H3327" i="3"/>
  <c r="G3327" i="3"/>
  <c r="F3327" i="3"/>
  <c r="D3327" i="3"/>
  <c r="C3327" i="3" s="1"/>
  <c r="H3326" i="3"/>
  <c r="G3326" i="3"/>
  <c r="F3326" i="3"/>
  <c r="D3326" i="3"/>
  <c r="C3326" i="3"/>
  <c r="H3325" i="3"/>
  <c r="G3325" i="3"/>
  <c r="F3325" i="3"/>
  <c r="D3325" i="3"/>
  <c r="C3325" i="3" s="1"/>
  <c r="H3324" i="3"/>
  <c r="G3324" i="3"/>
  <c r="F3324" i="3"/>
  <c r="D3324" i="3"/>
  <c r="C3324" i="3"/>
  <c r="H3323" i="3"/>
  <c r="G3323" i="3"/>
  <c r="F3323" i="3"/>
  <c r="D3323" i="3"/>
  <c r="C3323" i="3"/>
  <c r="H3322" i="3"/>
  <c r="G3322" i="3"/>
  <c r="F3322" i="3"/>
  <c r="D3322" i="3"/>
  <c r="C3322" i="3"/>
  <c r="H3321" i="3"/>
  <c r="G3321" i="3"/>
  <c r="F3321" i="3"/>
  <c r="D3321" i="3"/>
  <c r="C3321" i="3"/>
  <c r="H3320" i="3"/>
  <c r="G3320" i="3"/>
  <c r="F3320" i="3"/>
  <c r="D3320" i="3"/>
  <c r="C3320" i="3"/>
  <c r="H3319" i="3"/>
  <c r="G3319" i="3"/>
  <c r="F3319" i="3"/>
  <c r="D3319" i="3"/>
  <c r="C3319" i="3" s="1"/>
  <c r="H3318" i="3"/>
  <c r="G3318" i="3"/>
  <c r="F3318" i="3"/>
  <c r="D3318" i="3"/>
  <c r="C3318" i="3"/>
  <c r="H3317" i="3"/>
  <c r="G3317" i="3"/>
  <c r="F3317" i="3"/>
  <c r="D3317" i="3"/>
  <c r="C3317" i="3" s="1"/>
  <c r="H3316" i="3"/>
  <c r="G3316" i="3"/>
  <c r="F3316" i="3"/>
  <c r="D3316" i="3"/>
  <c r="C3316" i="3" s="1"/>
  <c r="H3315" i="3"/>
  <c r="G3315" i="3"/>
  <c r="F3315" i="3"/>
  <c r="D3315" i="3"/>
  <c r="C3315" i="3"/>
  <c r="H3314" i="3"/>
  <c r="G3314" i="3"/>
  <c r="F3314" i="3"/>
  <c r="D3314" i="3"/>
  <c r="C3314" i="3"/>
  <c r="H3313" i="3"/>
  <c r="G3313" i="3"/>
  <c r="F3313" i="3"/>
  <c r="D3313" i="3"/>
  <c r="C3313" i="3"/>
  <c r="H3312" i="3"/>
  <c r="G3312" i="3"/>
  <c r="F3312" i="3"/>
  <c r="D3312" i="3"/>
  <c r="C3312" i="3"/>
  <c r="H3311" i="3"/>
  <c r="G3311" i="3"/>
  <c r="F3311" i="3"/>
  <c r="D3311" i="3"/>
  <c r="C3311" i="3" s="1"/>
  <c r="H3310" i="3"/>
  <c r="G3310" i="3"/>
  <c r="F3310" i="3"/>
  <c r="D3310" i="3"/>
  <c r="C3310" i="3"/>
  <c r="H3309" i="3"/>
  <c r="G3309" i="3"/>
  <c r="F3309" i="3"/>
  <c r="D3309" i="3"/>
  <c r="C3309" i="3" s="1"/>
  <c r="H3308" i="3"/>
  <c r="G3308" i="3"/>
  <c r="F3308" i="3"/>
  <c r="D3308" i="3"/>
  <c r="C3308" i="3"/>
  <c r="H3307" i="3"/>
  <c r="G3307" i="3"/>
  <c r="F3307" i="3"/>
  <c r="D3307" i="3"/>
  <c r="C3307" i="3"/>
  <c r="H3306" i="3"/>
  <c r="G3306" i="3"/>
  <c r="F3306" i="3"/>
  <c r="D3306" i="3"/>
  <c r="C3306" i="3"/>
  <c r="H3305" i="3"/>
  <c r="G3305" i="3"/>
  <c r="F3305" i="3"/>
  <c r="D3305" i="3"/>
  <c r="C3305" i="3" s="1"/>
  <c r="H3304" i="3"/>
  <c r="G3304" i="3"/>
  <c r="F3304" i="3"/>
  <c r="D3304" i="3"/>
  <c r="C3304" i="3"/>
  <c r="H3303" i="3"/>
  <c r="G3303" i="3"/>
  <c r="F3303" i="3"/>
  <c r="D3303" i="3"/>
  <c r="C3303" i="3" s="1"/>
  <c r="H3302" i="3"/>
  <c r="G3302" i="3"/>
  <c r="F3302" i="3"/>
  <c r="D3302" i="3"/>
  <c r="C3302" i="3"/>
  <c r="H3301" i="3"/>
  <c r="G3301" i="3"/>
  <c r="F3301" i="3"/>
  <c r="D3301" i="3"/>
  <c r="C3301" i="3" s="1"/>
  <c r="H3300" i="3"/>
  <c r="G3300" i="3"/>
  <c r="F3300" i="3"/>
  <c r="D3300" i="3"/>
  <c r="C3300" i="3" s="1"/>
  <c r="H3299" i="3"/>
  <c r="G3299" i="3"/>
  <c r="F3299" i="3"/>
  <c r="D3299" i="3"/>
  <c r="C3299" i="3"/>
  <c r="H3298" i="3"/>
  <c r="G3298" i="3"/>
  <c r="F3298" i="3"/>
  <c r="D3298" i="3"/>
  <c r="C3298" i="3"/>
  <c r="H3297" i="3"/>
  <c r="G3297" i="3"/>
  <c r="F3297" i="3"/>
  <c r="D3297" i="3"/>
  <c r="C3297" i="3"/>
  <c r="H3296" i="3"/>
  <c r="G3296" i="3"/>
  <c r="F3296" i="3"/>
  <c r="D3296" i="3"/>
  <c r="C3296" i="3"/>
  <c r="H3295" i="3"/>
  <c r="G3295" i="3"/>
  <c r="F3295" i="3"/>
  <c r="D3295" i="3"/>
  <c r="C3295" i="3" s="1"/>
  <c r="H3294" i="3"/>
  <c r="G3294" i="3"/>
  <c r="F3294" i="3"/>
  <c r="D3294" i="3"/>
  <c r="C3294" i="3"/>
  <c r="H3293" i="3"/>
  <c r="G3293" i="3"/>
  <c r="F3293" i="3"/>
  <c r="D3293" i="3"/>
  <c r="C3293" i="3" s="1"/>
  <c r="H3292" i="3"/>
  <c r="G3292" i="3"/>
  <c r="F3292" i="3"/>
  <c r="D3292" i="3"/>
  <c r="C3292" i="3"/>
  <c r="H3291" i="3"/>
  <c r="G3291" i="3"/>
  <c r="F3291" i="3"/>
  <c r="D3291" i="3"/>
  <c r="C3291" i="3"/>
  <c r="H3290" i="3"/>
  <c r="G3290" i="3"/>
  <c r="F3290" i="3"/>
  <c r="D3290" i="3"/>
  <c r="C3290" i="3"/>
  <c r="H3289" i="3"/>
  <c r="G3289" i="3"/>
  <c r="F3289" i="3"/>
  <c r="D3289" i="3"/>
  <c r="C3289" i="3"/>
  <c r="H3288" i="3"/>
  <c r="G3288" i="3"/>
  <c r="F3288" i="3"/>
  <c r="D3288" i="3"/>
  <c r="C3288" i="3"/>
  <c r="H3287" i="3"/>
  <c r="G3287" i="3"/>
  <c r="F3287" i="3"/>
  <c r="D3287" i="3"/>
  <c r="C3287" i="3" s="1"/>
  <c r="H3286" i="3"/>
  <c r="G3286" i="3"/>
  <c r="F3286" i="3"/>
  <c r="D3286" i="3"/>
  <c r="C3286" i="3"/>
  <c r="H3285" i="3"/>
  <c r="G3285" i="3"/>
  <c r="F3285" i="3"/>
  <c r="D3285" i="3"/>
  <c r="C3285" i="3" s="1"/>
  <c r="H3284" i="3"/>
  <c r="G3284" i="3"/>
  <c r="F3284" i="3"/>
  <c r="D3284" i="3"/>
  <c r="C3284" i="3" s="1"/>
  <c r="H3283" i="3"/>
  <c r="G3283" i="3"/>
  <c r="F3283" i="3"/>
  <c r="D3283" i="3"/>
  <c r="C3283" i="3"/>
  <c r="H3282" i="3"/>
  <c r="G3282" i="3"/>
  <c r="F3282" i="3"/>
  <c r="D3282" i="3"/>
  <c r="C3282" i="3"/>
  <c r="H3281" i="3"/>
  <c r="G3281" i="3"/>
  <c r="F3281" i="3"/>
  <c r="D3281" i="3"/>
  <c r="C3281" i="3"/>
  <c r="H3280" i="3"/>
  <c r="G3280" i="3"/>
  <c r="F3280" i="3"/>
  <c r="D3280" i="3"/>
  <c r="C3280" i="3"/>
  <c r="H3279" i="3"/>
  <c r="G3279" i="3"/>
  <c r="F3279" i="3"/>
  <c r="D3279" i="3"/>
  <c r="C3279" i="3" s="1"/>
  <c r="H3278" i="3"/>
  <c r="G3278" i="3"/>
  <c r="F3278" i="3"/>
  <c r="D3278" i="3"/>
  <c r="C3278" i="3"/>
  <c r="H3277" i="3"/>
  <c r="G3277" i="3"/>
  <c r="F3277" i="3"/>
  <c r="D3277" i="3"/>
  <c r="C3277" i="3" s="1"/>
  <c r="H3276" i="3"/>
  <c r="G3276" i="3"/>
  <c r="F3276" i="3"/>
  <c r="D3276" i="3"/>
  <c r="C3276" i="3"/>
  <c r="H3275" i="3"/>
  <c r="G3275" i="3"/>
  <c r="F3275" i="3"/>
  <c r="D3275" i="3"/>
  <c r="C3275" i="3"/>
  <c r="H3274" i="3"/>
  <c r="G3274" i="3"/>
  <c r="F3274" i="3"/>
  <c r="D3274" i="3"/>
  <c r="C3274" i="3"/>
  <c r="H3273" i="3"/>
  <c r="G3273" i="3"/>
  <c r="F3273" i="3"/>
  <c r="D3273" i="3"/>
  <c r="C3273" i="3" s="1"/>
  <c r="H3272" i="3"/>
  <c r="G3272" i="3"/>
  <c r="F3272" i="3"/>
  <c r="D3272" i="3"/>
  <c r="C3272" i="3"/>
  <c r="H3271" i="3"/>
  <c r="G3271" i="3"/>
  <c r="F3271" i="3"/>
  <c r="D3271" i="3"/>
  <c r="C3271" i="3" s="1"/>
  <c r="H3270" i="3"/>
  <c r="G3270" i="3"/>
  <c r="F3270" i="3"/>
  <c r="D3270" i="3"/>
  <c r="C3270" i="3"/>
  <c r="H3269" i="3"/>
  <c r="G3269" i="3"/>
  <c r="F3269" i="3"/>
  <c r="D3269" i="3"/>
  <c r="C3269" i="3" s="1"/>
  <c r="H3268" i="3"/>
  <c r="G3268" i="3"/>
  <c r="F3268" i="3"/>
  <c r="D3268" i="3"/>
  <c r="C3268" i="3" s="1"/>
  <c r="H3267" i="3"/>
  <c r="G3267" i="3"/>
  <c r="F3267" i="3"/>
  <c r="D3267" i="3"/>
  <c r="C3267" i="3"/>
  <c r="H3266" i="3"/>
  <c r="G3266" i="3"/>
  <c r="F3266" i="3"/>
  <c r="D3266" i="3"/>
  <c r="C3266" i="3"/>
  <c r="H3265" i="3"/>
  <c r="G3265" i="3"/>
  <c r="F3265" i="3"/>
  <c r="D3265" i="3"/>
  <c r="C3265" i="3"/>
  <c r="H3264" i="3"/>
  <c r="G3264" i="3"/>
  <c r="F3264" i="3"/>
  <c r="D3264" i="3"/>
  <c r="C3264" i="3"/>
  <c r="H3263" i="3"/>
  <c r="G3263" i="3"/>
  <c r="F3263" i="3"/>
  <c r="D3263" i="3"/>
  <c r="C3263" i="3" s="1"/>
  <c r="H3262" i="3"/>
  <c r="G3262" i="3"/>
  <c r="F3262" i="3"/>
  <c r="D3262" i="3"/>
  <c r="C3262" i="3"/>
  <c r="H3261" i="3"/>
  <c r="G3261" i="3"/>
  <c r="F3261" i="3"/>
  <c r="D3261" i="3"/>
  <c r="C3261" i="3" s="1"/>
  <c r="H3260" i="3"/>
  <c r="G3260" i="3"/>
  <c r="F3260" i="3"/>
  <c r="D3260" i="3"/>
  <c r="C3260" i="3"/>
  <c r="H3259" i="3"/>
  <c r="G3259" i="3"/>
  <c r="F3259" i="3"/>
  <c r="D3259" i="3"/>
  <c r="C3259" i="3"/>
  <c r="H3258" i="3"/>
  <c r="G3258" i="3"/>
  <c r="F3258" i="3"/>
  <c r="D3258" i="3"/>
  <c r="C3258" i="3"/>
  <c r="H3257" i="3"/>
  <c r="G3257" i="3"/>
  <c r="F3257" i="3"/>
  <c r="D3257" i="3"/>
  <c r="C3257" i="3"/>
  <c r="H3256" i="3"/>
  <c r="G3256" i="3"/>
  <c r="F3256" i="3"/>
  <c r="D3256" i="3"/>
  <c r="C3256" i="3" s="1"/>
  <c r="H3255" i="3"/>
  <c r="G3255" i="3"/>
  <c r="F3255" i="3"/>
  <c r="D3255" i="3"/>
  <c r="C3255" i="3" s="1"/>
  <c r="H3254" i="3"/>
  <c r="G3254" i="3"/>
  <c r="F3254" i="3"/>
  <c r="D3254" i="3"/>
  <c r="C3254" i="3"/>
  <c r="H3253" i="3"/>
  <c r="G3253" i="3"/>
  <c r="F3253" i="3"/>
  <c r="D3253" i="3"/>
  <c r="C3253" i="3" s="1"/>
  <c r="H3252" i="3"/>
  <c r="G3252" i="3"/>
  <c r="F3252" i="3"/>
  <c r="D3252" i="3"/>
  <c r="C3252" i="3"/>
  <c r="H3251" i="3"/>
  <c r="G3251" i="3"/>
  <c r="F3251" i="3"/>
  <c r="D3251" i="3"/>
  <c r="C3251" i="3"/>
  <c r="H3250" i="3"/>
  <c r="G3250" i="3"/>
  <c r="F3250" i="3"/>
  <c r="D3250" i="3"/>
  <c r="C3250" i="3"/>
  <c r="H3249" i="3"/>
  <c r="G3249" i="3"/>
  <c r="F3249" i="3"/>
  <c r="D3249" i="3"/>
  <c r="C3249" i="3"/>
  <c r="H3248" i="3"/>
  <c r="G3248" i="3"/>
  <c r="F3248" i="3"/>
  <c r="D3248" i="3"/>
  <c r="C3248" i="3" s="1"/>
  <c r="H3247" i="3"/>
  <c r="G3247" i="3"/>
  <c r="F3247" i="3"/>
  <c r="D3247" i="3"/>
  <c r="C3247" i="3" s="1"/>
  <c r="H3246" i="3"/>
  <c r="G3246" i="3"/>
  <c r="F3246" i="3"/>
  <c r="D3246" i="3"/>
  <c r="C3246" i="3"/>
  <c r="H3245" i="3"/>
  <c r="G3245" i="3"/>
  <c r="F3245" i="3"/>
  <c r="D3245" i="3"/>
  <c r="C3245" i="3" s="1"/>
  <c r="H3244" i="3"/>
  <c r="G3244" i="3"/>
  <c r="F3244" i="3"/>
  <c r="D3244" i="3"/>
  <c r="C3244" i="3" s="1"/>
  <c r="H3243" i="3"/>
  <c r="G3243" i="3"/>
  <c r="F3243" i="3"/>
  <c r="D3243" i="3"/>
  <c r="C3243" i="3"/>
  <c r="H3242" i="3"/>
  <c r="G3242" i="3"/>
  <c r="F3242" i="3"/>
  <c r="D3242" i="3"/>
  <c r="C3242" i="3"/>
  <c r="H3241" i="3"/>
  <c r="G3241" i="3"/>
  <c r="F3241" i="3"/>
  <c r="D3241" i="3"/>
  <c r="C3241" i="3"/>
  <c r="H3240" i="3"/>
  <c r="G3240" i="3"/>
  <c r="F3240" i="3"/>
  <c r="D3240" i="3"/>
  <c r="C3240" i="3" s="1"/>
  <c r="H3239" i="3"/>
  <c r="G3239" i="3"/>
  <c r="F3239" i="3"/>
  <c r="D3239" i="3"/>
  <c r="C3239" i="3" s="1"/>
  <c r="H3238" i="3"/>
  <c r="G3238" i="3"/>
  <c r="F3238" i="3"/>
  <c r="D3238" i="3"/>
  <c r="C3238" i="3"/>
  <c r="H3237" i="3"/>
  <c r="G3237" i="3"/>
  <c r="F3237" i="3"/>
  <c r="D3237" i="3"/>
  <c r="C3237" i="3" s="1"/>
  <c r="H3236" i="3"/>
  <c r="G3236" i="3"/>
  <c r="F3236" i="3"/>
  <c r="D3236" i="3"/>
  <c r="C3236" i="3"/>
  <c r="H3235" i="3"/>
  <c r="G3235" i="3"/>
  <c r="F3235" i="3"/>
  <c r="D3235" i="3"/>
  <c r="C3235" i="3"/>
  <c r="H3234" i="3"/>
  <c r="G3234" i="3"/>
  <c r="F3234" i="3"/>
  <c r="D3234" i="3"/>
  <c r="C3234" i="3"/>
  <c r="H3233" i="3"/>
  <c r="G3233" i="3"/>
  <c r="F3233" i="3"/>
  <c r="D3233" i="3"/>
  <c r="C3233" i="3" s="1"/>
  <c r="H3232" i="3"/>
  <c r="G3232" i="3"/>
  <c r="F3232" i="3"/>
  <c r="D3232" i="3"/>
  <c r="C3232" i="3" s="1"/>
  <c r="H3231" i="3"/>
  <c r="G3231" i="3"/>
  <c r="F3231" i="3"/>
  <c r="D3231" i="3"/>
  <c r="C3231" i="3" s="1"/>
  <c r="H3230" i="3"/>
  <c r="G3230" i="3"/>
  <c r="F3230" i="3"/>
  <c r="D3230" i="3"/>
  <c r="C3230" i="3"/>
  <c r="H3229" i="3"/>
  <c r="G3229" i="3"/>
  <c r="F3229" i="3"/>
  <c r="D3229" i="3"/>
  <c r="C3229" i="3"/>
  <c r="H3228" i="3"/>
  <c r="G3228" i="3"/>
  <c r="F3228" i="3"/>
  <c r="D3228" i="3"/>
  <c r="C3228" i="3"/>
  <c r="H3227" i="3"/>
  <c r="G3227" i="3"/>
  <c r="F3227" i="3"/>
  <c r="D3227" i="3"/>
  <c r="C3227" i="3"/>
  <c r="H3226" i="3"/>
  <c r="G3226" i="3"/>
  <c r="F3226" i="3"/>
  <c r="D3226" i="3"/>
  <c r="C3226" i="3"/>
  <c r="H3225" i="3"/>
  <c r="G3225" i="3"/>
  <c r="F3225" i="3"/>
  <c r="D3225" i="3"/>
  <c r="C3225" i="3"/>
  <c r="H3224" i="3"/>
  <c r="G3224" i="3"/>
  <c r="F3224" i="3"/>
  <c r="D3224" i="3"/>
  <c r="C3224" i="3" s="1"/>
  <c r="H3223" i="3"/>
  <c r="G3223" i="3"/>
  <c r="F3223" i="3"/>
  <c r="D3223" i="3"/>
  <c r="C3223" i="3" s="1"/>
  <c r="H3222" i="3"/>
  <c r="G3222" i="3"/>
  <c r="F3222" i="3"/>
  <c r="D3222" i="3"/>
  <c r="C3222" i="3"/>
  <c r="H3221" i="3"/>
  <c r="G3221" i="3"/>
  <c r="F3221" i="3"/>
  <c r="D3221" i="3"/>
  <c r="C3221" i="3" s="1"/>
  <c r="H3220" i="3"/>
  <c r="G3220" i="3"/>
  <c r="F3220" i="3"/>
  <c r="D3220" i="3"/>
  <c r="C3220" i="3" s="1"/>
  <c r="H3219" i="3"/>
  <c r="G3219" i="3"/>
  <c r="F3219" i="3"/>
  <c r="D3219" i="3"/>
  <c r="C3219" i="3"/>
  <c r="H3218" i="3"/>
  <c r="G3218" i="3"/>
  <c r="F3218" i="3"/>
  <c r="D3218" i="3"/>
  <c r="C3218" i="3"/>
  <c r="H3217" i="3"/>
  <c r="G3217" i="3"/>
  <c r="F3217" i="3"/>
  <c r="D3217" i="3"/>
  <c r="C3217" i="3" s="1"/>
  <c r="H3216" i="3"/>
  <c r="G3216" i="3"/>
  <c r="F3216" i="3"/>
  <c r="D3216" i="3"/>
  <c r="C3216" i="3" s="1"/>
  <c r="H3215" i="3"/>
  <c r="G3215" i="3"/>
  <c r="F3215" i="3"/>
  <c r="D3215" i="3"/>
  <c r="C3215" i="3" s="1"/>
  <c r="H3214" i="3"/>
  <c r="G3214" i="3"/>
  <c r="F3214" i="3"/>
  <c r="D3214" i="3"/>
  <c r="C3214" i="3"/>
  <c r="H3213" i="3"/>
  <c r="G3213" i="3"/>
  <c r="F3213" i="3"/>
  <c r="D3213" i="3"/>
  <c r="C3213" i="3"/>
  <c r="H3212" i="3"/>
  <c r="G3212" i="3"/>
  <c r="F3212" i="3"/>
  <c r="D3212" i="3"/>
  <c r="C3212" i="3" s="1"/>
  <c r="H3211" i="3"/>
  <c r="G3211" i="3"/>
  <c r="F3211" i="3"/>
  <c r="D3211" i="3"/>
  <c r="C3211" i="3"/>
  <c r="H3210" i="3"/>
  <c r="G3210" i="3"/>
  <c r="F3210" i="3"/>
  <c r="D3210" i="3"/>
  <c r="C3210" i="3"/>
  <c r="H3209" i="3"/>
  <c r="G3209" i="3"/>
  <c r="F3209" i="3"/>
  <c r="D3209" i="3"/>
  <c r="C3209" i="3"/>
  <c r="H3208" i="3"/>
  <c r="G3208" i="3"/>
  <c r="F3208" i="3"/>
  <c r="D3208" i="3"/>
  <c r="C3208" i="3" s="1"/>
  <c r="H3207" i="3"/>
  <c r="G3207" i="3"/>
  <c r="F3207" i="3"/>
  <c r="D3207" i="3"/>
  <c r="C3207" i="3" s="1"/>
  <c r="H3206" i="3"/>
  <c r="G3206" i="3"/>
  <c r="F3206" i="3"/>
  <c r="D3206" i="3"/>
  <c r="C3206" i="3"/>
  <c r="H3205" i="3"/>
  <c r="G3205" i="3"/>
  <c r="F3205" i="3"/>
  <c r="D3205" i="3"/>
  <c r="C3205" i="3" s="1"/>
  <c r="H3204" i="3"/>
  <c r="G3204" i="3"/>
  <c r="F3204" i="3"/>
  <c r="D3204" i="3"/>
  <c r="C3204" i="3"/>
  <c r="H3203" i="3"/>
  <c r="G3203" i="3"/>
  <c r="F3203" i="3"/>
  <c r="D3203" i="3"/>
  <c r="C3203" i="3"/>
  <c r="H3202" i="3"/>
  <c r="G3202" i="3"/>
  <c r="F3202" i="3"/>
  <c r="D3202" i="3"/>
  <c r="C3202" i="3"/>
  <c r="H3201" i="3"/>
  <c r="G3201" i="3"/>
  <c r="F3201" i="3"/>
  <c r="D3201" i="3"/>
  <c r="C3201" i="3" s="1"/>
  <c r="H3200" i="3"/>
  <c r="G3200" i="3"/>
  <c r="F3200" i="3"/>
  <c r="D3200" i="3"/>
  <c r="C3200" i="3" s="1"/>
  <c r="H3199" i="3"/>
  <c r="G3199" i="3"/>
  <c r="F3199" i="3"/>
  <c r="D3199" i="3"/>
  <c r="C3199" i="3" s="1"/>
  <c r="H3198" i="3"/>
  <c r="G3198" i="3"/>
  <c r="F3198" i="3"/>
  <c r="D3198" i="3"/>
  <c r="C3198" i="3" s="1"/>
  <c r="H3197" i="3"/>
  <c r="G3197" i="3"/>
  <c r="F3197" i="3"/>
  <c r="D3197" i="3"/>
  <c r="C3197" i="3"/>
  <c r="H3196" i="3"/>
  <c r="G3196" i="3"/>
  <c r="F3196" i="3"/>
  <c r="D3196" i="3"/>
  <c r="C3196" i="3"/>
  <c r="H3195" i="3"/>
  <c r="G3195" i="3"/>
  <c r="F3195" i="3"/>
  <c r="D3195" i="3"/>
  <c r="C3195" i="3"/>
  <c r="H3194" i="3"/>
  <c r="G3194" i="3"/>
  <c r="F3194" i="3"/>
  <c r="D3194" i="3"/>
  <c r="C3194" i="3"/>
  <c r="H3193" i="3"/>
  <c r="G3193" i="3"/>
  <c r="F3193" i="3"/>
  <c r="D3193" i="3"/>
  <c r="C3193" i="3"/>
  <c r="H3192" i="3"/>
  <c r="G3192" i="3"/>
  <c r="F3192" i="3"/>
  <c r="D3192" i="3"/>
  <c r="C3192" i="3" s="1"/>
  <c r="H3191" i="3"/>
  <c r="G3191" i="3"/>
  <c r="F3191" i="3"/>
  <c r="D3191" i="3"/>
  <c r="C3191" i="3" s="1"/>
  <c r="H3190" i="3"/>
  <c r="G3190" i="3"/>
  <c r="F3190" i="3"/>
  <c r="D3190" i="3"/>
  <c r="C3190" i="3" s="1"/>
  <c r="H3189" i="3"/>
  <c r="G3189" i="3"/>
  <c r="F3189" i="3"/>
  <c r="D3189" i="3"/>
  <c r="C3189" i="3" s="1"/>
  <c r="H3188" i="3"/>
  <c r="G3188" i="3"/>
  <c r="F3188" i="3"/>
  <c r="D3188" i="3"/>
  <c r="C3188" i="3" s="1"/>
  <c r="H3187" i="3"/>
  <c r="G3187" i="3"/>
  <c r="F3187" i="3"/>
  <c r="D3187" i="3"/>
  <c r="C3187" i="3"/>
  <c r="H3186" i="3"/>
  <c r="G3186" i="3"/>
  <c r="F3186" i="3"/>
  <c r="D3186" i="3"/>
  <c r="C3186" i="3"/>
  <c r="H3185" i="3"/>
  <c r="G3185" i="3"/>
  <c r="F3185" i="3"/>
  <c r="D3185" i="3"/>
  <c r="C3185" i="3" s="1"/>
  <c r="H3184" i="3"/>
  <c r="G3184" i="3"/>
  <c r="F3184" i="3"/>
  <c r="D3184" i="3"/>
  <c r="C3184" i="3" s="1"/>
  <c r="H3183" i="3"/>
  <c r="G3183" i="3"/>
  <c r="F3183" i="3"/>
  <c r="D3183" i="3"/>
  <c r="C3183" i="3" s="1"/>
  <c r="H3182" i="3"/>
  <c r="G3182" i="3"/>
  <c r="F3182" i="3"/>
  <c r="D3182" i="3"/>
  <c r="C3182" i="3"/>
  <c r="H3181" i="3"/>
  <c r="G3181" i="3"/>
  <c r="F3181" i="3"/>
  <c r="D3181" i="3"/>
  <c r="C3181" i="3"/>
  <c r="H3180" i="3"/>
  <c r="G3180" i="3"/>
  <c r="F3180" i="3"/>
  <c r="D3180" i="3"/>
  <c r="C3180" i="3" s="1"/>
  <c r="H3179" i="3"/>
  <c r="G3179" i="3"/>
  <c r="F3179" i="3"/>
  <c r="D3179" i="3"/>
  <c r="C3179" i="3"/>
  <c r="H3178" i="3"/>
  <c r="G3178" i="3"/>
  <c r="F3178" i="3"/>
  <c r="D3178" i="3"/>
  <c r="C3178" i="3"/>
  <c r="H3177" i="3"/>
  <c r="G3177" i="3"/>
  <c r="F3177" i="3"/>
  <c r="D3177" i="3"/>
  <c r="C3177" i="3"/>
  <c r="H3176" i="3"/>
  <c r="G3176" i="3"/>
  <c r="F3176" i="3"/>
  <c r="D3176" i="3"/>
  <c r="C3176" i="3" s="1"/>
  <c r="H3175" i="3"/>
  <c r="G3175" i="3"/>
  <c r="F3175" i="3"/>
  <c r="D3175" i="3"/>
  <c r="C3175" i="3" s="1"/>
  <c r="H3174" i="3"/>
  <c r="G3174" i="3"/>
  <c r="F3174" i="3"/>
  <c r="D3174" i="3"/>
  <c r="C3174" i="3"/>
  <c r="H3173" i="3"/>
  <c r="G3173" i="3"/>
  <c r="F3173" i="3"/>
  <c r="D3173" i="3"/>
  <c r="C3173" i="3" s="1"/>
  <c r="H3172" i="3"/>
  <c r="G3172" i="3"/>
  <c r="F3172" i="3"/>
  <c r="D3172" i="3"/>
  <c r="C3172" i="3"/>
  <c r="H3171" i="3"/>
  <c r="G3171" i="3"/>
  <c r="F3171" i="3"/>
  <c r="D3171" i="3"/>
  <c r="C3171" i="3"/>
  <c r="H3170" i="3"/>
  <c r="G3170" i="3"/>
  <c r="F3170" i="3"/>
  <c r="D3170" i="3"/>
  <c r="C3170" i="3"/>
  <c r="H3169" i="3"/>
  <c r="G3169" i="3"/>
  <c r="F3169" i="3"/>
  <c r="D3169" i="3"/>
  <c r="C3169" i="3" s="1"/>
  <c r="H3168" i="3"/>
  <c r="G3168" i="3"/>
  <c r="F3168" i="3"/>
  <c r="D3168" i="3"/>
  <c r="C3168" i="3" s="1"/>
  <c r="H3167" i="3"/>
  <c r="G3167" i="3"/>
  <c r="F3167" i="3"/>
  <c r="D3167" i="3"/>
  <c r="C3167" i="3" s="1"/>
  <c r="H3166" i="3"/>
  <c r="G3166" i="3"/>
  <c r="F3166" i="3"/>
  <c r="D3166" i="3"/>
  <c r="C3166" i="3" s="1"/>
  <c r="H3165" i="3"/>
  <c r="G3165" i="3"/>
  <c r="F3165" i="3"/>
  <c r="D3165" i="3"/>
  <c r="C3165" i="3"/>
  <c r="H3164" i="3"/>
  <c r="G3164" i="3"/>
  <c r="F3164" i="3"/>
  <c r="D3164" i="3"/>
  <c r="C3164" i="3"/>
  <c r="H3163" i="3"/>
  <c r="G3163" i="3"/>
  <c r="F3163" i="3"/>
  <c r="D3163" i="3"/>
  <c r="C3163" i="3"/>
  <c r="H3162" i="3"/>
  <c r="G3162" i="3"/>
  <c r="F3162" i="3"/>
  <c r="D3162" i="3"/>
  <c r="C3162" i="3"/>
  <c r="H3161" i="3"/>
  <c r="G3161" i="3"/>
  <c r="F3161" i="3"/>
  <c r="D3161" i="3"/>
  <c r="C3161" i="3"/>
  <c r="H3160" i="3"/>
  <c r="G3160" i="3"/>
  <c r="F3160" i="3"/>
  <c r="D3160" i="3"/>
  <c r="C3160" i="3" s="1"/>
  <c r="H3159" i="3"/>
  <c r="G3159" i="3"/>
  <c r="F3159" i="3"/>
  <c r="D3159" i="3"/>
  <c r="C3159" i="3" s="1"/>
  <c r="H3158" i="3"/>
  <c r="G3158" i="3"/>
  <c r="F3158" i="3"/>
  <c r="D3158" i="3"/>
  <c r="C3158" i="3"/>
  <c r="H3157" i="3"/>
  <c r="G3157" i="3"/>
  <c r="F3157" i="3"/>
  <c r="D3157" i="3"/>
  <c r="C3157" i="3" s="1"/>
  <c r="H3156" i="3"/>
  <c r="G3156" i="3"/>
  <c r="F3156" i="3"/>
  <c r="D3156" i="3"/>
  <c r="C3156" i="3" s="1"/>
  <c r="H3155" i="3"/>
  <c r="G3155" i="3"/>
  <c r="F3155" i="3"/>
  <c r="D3155" i="3"/>
  <c r="C3155" i="3"/>
  <c r="H3154" i="3"/>
  <c r="G3154" i="3"/>
  <c r="F3154" i="3"/>
  <c r="D3154" i="3"/>
  <c r="C3154" i="3"/>
  <c r="H3153" i="3"/>
  <c r="G3153" i="3"/>
  <c r="F3153" i="3"/>
  <c r="D3153" i="3"/>
  <c r="C3153" i="3" s="1"/>
  <c r="H3152" i="3"/>
  <c r="G3152" i="3"/>
  <c r="F3152" i="3"/>
  <c r="D3152" i="3"/>
  <c r="C3152" i="3" s="1"/>
  <c r="H3151" i="3"/>
  <c r="G3151" i="3"/>
  <c r="F3151" i="3"/>
  <c r="D3151" i="3"/>
  <c r="C3151" i="3" s="1"/>
  <c r="H3150" i="3"/>
  <c r="G3150" i="3"/>
  <c r="F3150" i="3"/>
  <c r="D3150" i="3"/>
  <c r="C3150" i="3"/>
  <c r="H3149" i="3"/>
  <c r="G3149" i="3"/>
  <c r="F3149" i="3"/>
  <c r="D3149" i="3"/>
  <c r="C3149" i="3"/>
  <c r="H3148" i="3"/>
  <c r="G3148" i="3"/>
  <c r="F3148" i="3"/>
  <c r="D3148" i="3"/>
  <c r="C3148" i="3" s="1"/>
  <c r="H3147" i="3"/>
  <c r="G3147" i="3"/>
  <c r="F3147" i="3"/>
  <c r="D3147" i="3"/>
  <c r="C3147" i="3"/>
  <c r="H3146" i="3"/>
  <c r="G3146" i="3"/>
  <c r="F3146" i="3"/>
  <c r="D3146" i="3"/>
  <c r="C3146" i="3" s="1"/>
  <c r="H3145" i="3"/>
  <c r="G3145" i="3"/>
  <c r="F3145" i="3"/>
  <c r="D3145" i="3"/>
  <c r="C3145" i="3"/>
  <c r="H3144" i="3"/>
  <c r="G3144" i="3"/>
  <c r="F3144" i="3"/>
  <c r="D3144" i="3"/>
  <c r="C3144" i="3"/>
  <c r="H3143" i="3"/>
  <c r="G3143" i="3"/>
  <c r="F3143" i="3"/>
  <c r="D3143" i="3"/>
  <c r="C3143" i="3" s="1"/>
  <c r="H3142" i="3"/>
  <c r="G3142" i="3"/>
  <c r="F3142" i="3"/>
  <c r="D3142" i="3"/>
  <c r="C3142" i="3"/>
  <c r="H3141" i="3"/>
  <c r="G3141" i="3"/>
  <c r="F3141" i="3"/>
  <c r="D3141" i="3"/>
  <c r="C3141" i="3"/>
  <c r="H3140" i="3"/>
  <c r="G3140" i="3"/>
  <c r="F3140" i="3"/>
  <c r="D3140" i="3"/>
  <c r="C3140" i="3"/>
  <c r="H3139" i="3"/>
  <c r="G3139" i="3"/>
  <c r="F3139" i="3"/>
  <c r="D3139" i="3"/>
  <c r="C3139" i="3" s="1"/>
  <c r="H3138" i="3"/>
  <c r="G3138" i="3"/>
  <c r="F3138" i="3"/>
  <c r="D3138" i="3"/>
  <c r="C3138" i="3" s="1"/>
  <c r="H3137" i="3"/>
  <c r="G3137" i="3"/>
  <c r="F3137" i="3"/>
  <c r="D3137" i="3"/>
  <c r="C3137" i="3"/>
  <c r="H3136" i="3"/>
  <c r="G3136" i="3"/>
  <c r="F3136" i="3"/>
  <c r="D3136" i="3"/>
  <c r="C3136" i="3"/>
  <c r="H3135" i="3"/>
  <c r="G3135" i="3"/>
  <c r="F3135" i="3"/>
  <c r="D3135" i="3"/>
  <c r="C3135" i="3" s="1"/>
  <c r="H3134" i="3"/>
  <c r="G3134" i="3"/>
  <c r="F3134" i="3"/>
  <c r="D3134" i="3"/>
  <c r="C3134" i="3"/>
  <c r="H3133" i="3"/>
  <c r="G3133" i="3"/>
  <c r="F3133" i="3"/>
  <c r="D3133" i="3"/>
  <c r="C3133" i="3"/>
  <c r="H3132" i="3"/>
  <c r="G3132" i="3"/>
  <c r="F3132" i="3"/>
  <c r="D3132" i="3"/>
  <c r="C3132" i="3" s="1"/>
  <c r="H3131" i="3"/>
  <c r="G3131" i="3"/>
  <c r="F3131" i="3"/>
  <c r="D3131" i="3"/>
  <c r="C3131" i="3" s="1"/>
  <c r="H3130" i="3"/>
  <c r="G3130" i="3"/>
  <c r="F3130" i="3"/>
  <c r="D3130" i="3"/>
  <c r="C3130" i="3" s="1"/>
  <c r="H3129" i="3"/>
  <c r="G3129" i="3"/>
  <c r="F3129" i="3"/>
  <c r="D3129" i="3"/>
  <c r="C3129" i="3"/>
  <c r="H3128" i="3"/>
  <c r="G3128" i="3"/>
  <c r="F3128" i="3"/>
  <c r="D3128" i="3"/>
  <c r="C3128" i="3"/>
  <c r="H3127" i="3"/>
  <c r="G3127" i="3"/>
  <c r="F3127" i="3"/>
  <c r="D3127" i="3"/>
  <c r="C3127" i="3" s="1"/>
  <c r="H3126" i="3"/>
  <c r="G3126" i="3"/>
  <c r="F3126" i="3"/>
  <c r="D3126" i="3"/>
  <c r="C3126" i="3"/>
  <c r="H3125" i="3"/>
  <c r="G3125" i="3"/>
  <c r="F3125" i="3"/>
  <c r="D3125" i="3"/>
  <c r="C3125" i="3"/>
  <c r="H3124" i="3"/>
  <c r="G3124" i="3"/>
  <c r="F3124" i="3"/>
  <c r="D3124" i="3"/>
  <c r="C3124" i="3"/>
  <c r="H3123" i="3"/>
  <c r="G3123" i="3"/>
  <c r="F3123" i="3"/>
  <c r="D3123" i="3"/>
  <c r="C3123" i="3" s="1"/>
  <c r="H3122" i="3"/>
  <c r="G3122" i="3"/>
  <c r="F3122" i="3"/>
  <c r="D3122" i="3"/>
  <c r="C3122" i="3" s="1"/>
  <c r="H3121" i="3"/>
  <c r="G3121" i="3"/>
  <c r="F3121" i="3"/>
  <c r="D3121" i="3"/>
  <c r="C3121" i="3"/>
  <c r="H3120" i="3"/>
  <c r="G3120" i="3"/>
  <c r="F3120" i="3"/>
  <c r="D3120" i="3"/>
  <c r="C3120" i="3"/>
  <c r="H3119" i="3"/>
  <c r="G3119" i="3"/>
  <c r="F3119" i="3"/>
  <c r="D3119" i="3"/>
  <c r="C3119" i="3"/>
  <c r="H3118" i="3"/>
  <c r="G3118" i="3"/>
  <c r="F3118" i="3"/>
  <c r="D3118" i="3"/>
  <c r="C3118" i="3"/>
  <c r="H3117" i="3"/>
  <c r="G3117" i="3"/>
  <c r="F3117" i="3"/>
  <c r="D3117" i="3"/>
  <c r="C3117" i="3"/>
  <c r="H3116" i="3"/>
  <c r="G3116" i="3"/>
  <c r="F3116" i="3"/>
  <c r="D3116" i="3"/>
  <c r="C3116" i="3" s="1"/>
  <c r="H3115" i="3"/>
  <c r="G3115" i="3"/>
  <c r="F3115" i="3"/>
  <c r="D3115" i="3"/>
  <c r="C3115" i="3" s="1"/>
  <c r="H3114" i="3"/>
  <c r="G3114" i="3"/>
  <c r="F3114" i="3"/>
  <c r="D3114" i="3"/>
  <c r="C3114" i="3" s="1"/>
  <c r="H3113" i="3"/>
  <c r="G3113" i="3"/>
  <c r="F3113" i="3"/>
  <c r="D3113" i="3"/>
  <c r="C3113" i="3"/>
  <c r="H3112" i="3"/>
  <c r="G3112" i="3"/>
  <c r="F3112" i="3"/>
  <c r="D3112" i="3"/>
  <c r="C3112" i="3"/>
  <c r="H3111" i="3"/>
  <c r="G3111" i="3"/>
  <c r="F3111" i="3"/>
  <c r="D3111" i="3"/>
  <c r="C3111" i="3" s="1"/>
  <c r="H3110" i="3"/>
  <c r="G3110" i="3"/>
  <c r="F3110" i="3"/>
  <c r="D3110" i="3"/>
  <c r="C3110" i="3"/>
  <c r="H3109" i="3"/>
  <c r="G3109" i="3"/>
  <c r="F3109" i="3"/>
  <c r="D3109" i="3"/>
  <c r="C3109" i="3"/>
  <c r="H3108" i="3"/>
  <c r="G3108" i="3"/>
  <c r="F3108" i="3"/>
  <c r="D3108" i="3"/>
  <c r="C3108" i="3"/>
  <c r="H3107" i="3"/>
  <c r="G3107" i="3"/>
  <c r="F3107" i="3"/>
  <c r="D3107" i="3"/>
  <c r="C3107" i="3" s="1"/>
  <c r="H3106" i="3"/>
  <c r="G3106" i="3"/>
  <c r="F3106" i="3"/>
  <c r="D3106" i="3"/>
  <c r="C3106" i="3" s="1"/>
  <c r="H3105" i="3"/>
  <c r="G3105" i="3"/>
  <c r="F3105" i="3"/>
  <c r="D3105" i="3"/>
  <c r="C3105" i="3"/>
  <c r="H3104" i="3"/>
  <c r="G3104" i="3"/>
  <c r="F3104" i="3"/>
  <c r="D3104" i="3"/>
  <c r="C3104" i="3"/>
  <c r="H3103" i="3"/>
  <c r="G3103" i="3"/>
  <c r="F3103" i="3"/>
  <c r="D3103" i="3"/>
  <c r="C3103" i="3" s="1"/>
  <c r="H3102" i="3"/>
  <c r="G3102" i="3"/>
  <c r="F3102" i="3"/>
  <c r="D3102" i="3"/>
  <c r="C3102" i="3"/>
  <c r="H3101" i="3"/>
  <c r="G3101" i="3"/>
  <c r="F3101" i="3"/>
  <c r="D3101" i="3"/>
  <c r="C3101" i="3"/>
  <c r="H3100" i="3"/>
  <c r="G3100" i="3"/>
  <c r="F3100" i="3"/>
  <c r="D3100" i="3"/>
  <c r="C3100" i="3" s="1"/>
  <c r="H3099" i="3"/>
  <c r="G3099" i="3"/>
  <c r="F3099" i="3"/>
  <c r="D3099" i="3"/>
  <c r="C3099" i="3" s="1"/>
  <c r="H3098" i="3"/>
  <c r="G3098" i="3"/>
  <c r="F3098" i="3"/>
  <c r="D3098" i="3"/>
  <c r="C3098" i="3" s="1"/>
  <c r="H3097" i="3"/>
  <c r="G3097" i="3"/>
  <c r="F3097" i="3"/>
  <c r="D3097" i="3"/>
  <c r="C3097" i="3"/>
  <c r="H3096" i="3"/>
  <c r="G3096" i="3"/>
  <c r="F3096" i="3"/>
  <c r="D3096" i="3"/>
  <c r="C3096" i="3"/>
  <c r="H3095" i="3"/>
  <c r="G3095" i="3"/>
  <c r="F3095" i="3"/>
  <c r="D3095" i="3"/>
  <c r="C3095" i="3" s="1"/>
  <c r="H3094" i="3"/>
  <c r="G3094" i="3"/>
  <c r="F3094" i="3"/>
  <c r="D3094" i="3"/>
  <c r="C3094" i="3"/>
  <c r="H3093" i="3"/>
  <c r="G3093" i="3"/>
  <c r="F3093" i="3"/>
  <c r="D3093" i="3"/>
  <c r="C3093" i="3"/>
  <c r="H3092" i="3"/>
  <c r="G3092" i="3"/>
  <c r="F3092" i="3"/>
  <c r="D3092" i="3"/>
  <c r="C3092" i="3" s="1"/>
  <c r="H3091" i="3"/>
  <c r="G3091" i="3"/>
  <c r="F3091" i="3"/>
  <c r="D3091" i="3"/>
  <c r="C3091" i="3" s="1"/>
  <c r="H3090" i="3"/>
  <c r="G3090" i="3"/>
  <c r="F3090" i="3"/>
  <c r="D3090" i="3"/>
  <c r="C3090" i="3" s="1"/>
  <c r="H3089" i="3"/>
  <c r="G3089" i="3"/>
  <c r="F3089" i="3"/>
  <c r="D3089" i="3"/>
  <c r="C3089" i="3"/>
  <c r="H3088" i="3"/>
  <c r="G3088" i="3"/>
  <c r="F3088" i="3"/>
  <c r="D3088" i="3"/>
  <c r="C3088" i="3"/>
  <c r="H3087" i="3"/>
  <c r="G3087" i="3"/>
  <c r="F3087" i="3"/>
  <c r="D3087" i="3"/>
  <c r="C3087" i="3"/>
  <c r="H3086" i="3"/>
  <c r="G3086" i="3"/>
  <c r="F3086" i="3"/>
  <c r="D3086" i="3"/>
  <c r="C3086" i="3"/>
  <c r="H3085" i="3"/>
  <c r="G3085" i="3"/>
  <c r="F3085" i="3"/>
  <c r="D3085" i="3"/>
  <c r="C3085" i="3"/>
  <c r="H3084" i="3"/>
  <c r="G3084" i="3"/>
  <c r="F3084" i="3"/>
  <c r="D3084" i="3"/>
  <c r="C3084" i="3" s="1"/>
  <c r="H3083" i="3"/>
  <c r="G3083" i="3"/>
  <c r="F3083" i="3"/>
  <c r="D3083" i="3"/>
  <c r="C3083" i="3" s="1"/>
  <c r="H3082" i="3"/>
  <c r="G3082" i="3"/>
  <c r="F3082" i="3"/>
  <c r="D3082" i="3"/>
  <c r="C3082" i="3" s="1"/>
  <c r="H3081" i="3"/>
  <c r="G3081" i="3"/>
  <c r="F3081" i="3"/>
  <c r="D3081" i="3"/>
  <c r="C3081" i="3"/>
  <c r="H3080" i="3"/>
  <c r="G3080" i="3"/>
  <c r="F3080" i="3"/>
  <c r="D3080" i="3"/>
  <c r="C3080" i="3"/>
  <c r="H3079" i="3"/>
  <c r="G3079" i="3"/>
  <c r="F3079" i="3"/>
  <c r="D3079" i="3"/>
  <c r="C3079" i="3" s="1"/>
  <c r="H3078" i="3"/>
  <c r="G3078" i="3"/>
  <c r="F3078" i="3"/>
  <c r="D3078" i="3"/>
  <c r="C3078" i="3"/>
  <c r="H3077" i="3"/>
  <c r="G3077" i="3"/>
  <c r="F3077" i="3"/>
  <c r="D3077" i="3"/>
  <c r="C3077" i="3"/>
  <c r="H3076" i="3"/>
  <c r="G3076" i="3"/>
  <c r="F3076" i="3"/>
  <c r="D3076" i="3"/>
  <c r="C3076" i="3"/>
  <c r="H3075" i="3"/>
  <c r="G3075" i="3"/>
  <c r="F3075" i="3"/>
  <c r="D3075" i="3"/>
  <c r="C3075" i="3" s="1"/>
  <c r="H3074" i="3"/>
  <c r="G3074" i="3"/>
  <c r="F3074" i="3"/>
  <c r="D3074" i="3"/>
  <c r="C3074" i="3" s="1"/>
  <c r="H3073" i="3"/>
  <c r="G3073" i="3"/>
  <c r="F3073" i="3"/>
  <c r="D3073" i="3"/>
  <c r="C3073" i="3"/>
  <c r="H3072" i="3"/>
  <c r="G3072" i="3"/>
  <c r="F3072" i="3"/>
  <c r="D3072" i="3"/>
  <c r="C3072" i="3"/>
  <c r="H3071" i="3"/>
  <c r="G3071" i="3"/>
  <c r="F3071" i="3"/>
  <c r="D3071" i="3"/>
  <c r="C3071" i="3" s="1"/>
  <c r="H3070" i="3"/>
  <c r="G3070" i="3"/>
  <c r="F3070" i="3"/>
  <c r="D3070" i="3"/>
  <c r="C3070" i="3"/>
  <c r="H3069" i="3"/>
  <c r="G3069" i="3"/>
  <c r="F3069" i="3"/>
  <c r="D3069" i="3"/>
  <c r="C3069" i="3"/>
  <c r="H3068" i="3"/>
  <c r="G3068" i="3"/>
  <c r="F3068" i="3"/>
  <c r="D3068" i="3"/>
  <c r="C3068" i="3" s="1"/>
  <c r="H3067" i="3"/>
  <c r="G3067" i="3"/>
  <c r="F3067" i="3"/>
  <c r="D3067" i="3"/>
  <c r="C3067" i="3" s="1"/>
  <c r="H3066" i="3"/>
  <c r="G3066" i="3"/>
  <c r="F3066" i="3"/>
  <c r="D3066" i="3"/>
  <c r="C3066" i="3" s="1"/>
  <c r="H3065" i="3"/>
  <c r="G3065" i="3"/>
  <c r="F3065" i="3"/>
  <c r="D3065" i="3"/>
  <c r="C3065" i="3"/>
  <c r="H3064" i="3"/>
  <c r="G3064" i="3"/>
  <c r="F3064" i="3"/>
  <c r="D3064" i="3"/>
  <c r="C3064" i="3"/>
  <c r="H3063" i="3"/>
  <c r="G3063" i="3"/>
  <c r="F3063" i="3"/>
  <c r="D3063" i="3"/>
  <c r="C3063" i="3" s="1"/>
  <c r="H3062" i="3"/>
  <c r="G3062" i="3"/>
  <c r="F3062" i="3"/>
  <c r="D3062" i="3"/>
  <c r="C3062" i="3"/>
  <c r="H3061" i="3"/>
  <c r="G3061" i="3"/>
  <c r="F3061" i="3"/>
  <c r="D3061" i="3"/>
  <c r="C3061" i="3"/>
  <c r="H3060" i="3"/>
  <c r="G3060" i="3"/>
  <c r="F3060" i="3"/>
  <c r="D3060" i="3"/>
  <c r="C3060" i="3"/>
  <c r="H3059" i="3"/>
  <c r="G3059" i="3"/>
  <c r="F3059" i="3"/>
  <c r="D3059" i="3"/>
  <c r="C3059" i="3" s="1"/>
  <c r="H3058" i="3"/>
  <c r="G3058" i="3"/>
  <c r="F3058" i="3"/>
  <c r="D3058" i="3"/>
  <c r="C3058" i="3" s="1"/>
  <c r="H3057" i="3"/>
  <c r="G3057" i="3"/>
  <c r="F3057" i="3"/>
  <c r="D3057" i="3"/>
  <c r="C3057" i="3"/>
  <c r="H3056" i="3"/>
  <c r="G3056" i="3"/>
  <c r="F3056" i="3"/>
  <c r="D3056" i="3"/>
  <c r="C3056" i="3"/>
  <c r="H3055" i="3"/>
  <c r="G3055" i="3"/>
  <c r="F3055" i="3"/>
  <c r="D3055" i="3"/>
  <c r="C3055" i="3"/>
  <c r="H3054" i="3"/>
  <c r="G3054" i="3"/>
  <c r="F3054" i="3"/>
  <c r="D3054" i="3"/>
  <c r="C3054" i="3"/>
  <c r="H3053" i="3"/>
  <c r="G3053" i="3"/>
  <c r="F3053" i="3"/>
  <c r="D3053" i="3"/>
  <c r="C3053" i="3"/>
  <c r="H3052" i="3"/>
  <c r="G3052" i="3"/>
  <c r="F3052" i="3"/>
  <c r="D3052" i="3"/>
  <c r="C3052" i="3" s="1"/>
  <c r="H3051" i="3"/>
  <c r="G3051" i="3"/>
  <c r="F3051" i="3"/>
  <c r="D3051" i="3"/>
  <c r="C3051" i="3" s="1"/>
  <c r="H3050" i="3"/>
  <c r="G3050" i="3"/>
  <c r="F3050" i="3"/>
  <c r="D3050" i="3"/>
  <c r="C3050" i="3" s="1"/>
  <c r="H3049" i="3"/>
  <c r="G3049" i="3"/>
  <c r="F3049" i="3"/>
  <c r="D3049" i="3"/>
  <c r="C3049" i="3"/>
  <c r="H3048" i="3"/>
  <c r="G3048" i="3"/>
  <c r="F3048" i="3"/>
  <c r="D3048" i="3"/>
  <c r="C3048" i="3"/>
  <c r="H3047" i="3"/>
  <c r="G3047" i="3"/>
  <c r="F3047" i="3"/>
  <c r="D3047" i="3"/>
  <c r="C3047" i="3" s="1"/>
  <c r="H3046" i="3"/>
  <c r="G3046" i="3"/>
  <c r="F3046" i="3"/>
  <c r="D3046" i="3"/>
  <c r="C3046" i="3"/>
  <c r="H3045" i="3"/>
  <c r="G3045" i="3"/>
  <c r="F3045" i="3"/>
  <c r="D3045" i="3"/>
  <c r="C3045" i="3"/>
  <c r="H3044" i="3"/>
  <c r="G3044" i="3"/>
  <c r="F3044" i="3"/>
  <c r="D3044" i="3"/>
  <c r="C3044" i="3"/>
  <c r="H3043" i="3"/>
  <c r="G3043" i="3"/>
  <c r="F3043" i="3"/>
  <c r="D3043" i="3"/>
  <c r="C3043" i="3" s="1"/>
  <c r="H3042" i="3"/>
  <c r="G3042" i="3"/>
  <c r="F3042" i="3"/>
  <c r="D3042" i="3"/>
  <c r="C3042" i="3" s="1"/>
  <c r="H3041" i="3"/>
  <c r="G3041" i="3"/>
  <c r="F3041" i="3"/>
  <c r="D3041" i="3"/>
  <c r="C3041" i="3"/>
  <c r="H3040" i="3"/>
  <c r="G3040" i="3"/>
  <c r="F3040" i="3"/>
  <c r="D3040" i="3"/>
  <c r="C3040" i="3"/>
  <c r="H3039" i="3"/>
  <c r="G3039" i="3"/>
  <c r="F3039" i="3"/>
  <c r="D3039" i="3"/>
  <c r="C3039" i="3" s="1"/>
  <c r="H3038" i="3"/>
  <c r="G3038" i="3"/>
  <c r="F3038" i="3"/>
  <c r="D3038" i="3"/>
  <c r="C3038" i="3"/>
  <c r="H3037" i="3"/>
  <c r="G3037" i="3"/>
  <c r="F3037" i="3"/>
  <c r="D3037" i="3"/>
  <c r="C3037" i="3"/>
  <c r="H3036" i="3"/>
  <c r="G3036" i="3"/>
  <c r="F3036" i="3"/>
  <c r="D3036" i="3"/>
  <c r="C3036" i="3" s="1"/>
  <c r="H3035" i="3"/>
  <c r="G3035" i="3"/>
  <c r="F3035" i="3"/>
  <c r="D3035" i="3"/>
  <c r="C3035" i="3" s="1"/>
  <c r="H3034" i="3"/>
  <c r="G3034" i="3"/>
  <c r="F3034" i="3"/>
  <c r="D3034" i="3"/>
  <c r="C3034" i="3" s="1"/>
  <c r="H3033" i="3"/>
  <c r="G3033" i="3"/>
  <c r="F3033" i="3"/>
  <c r="D3033" i="3"/>
  <c r="C3033" i="3"/>
  <c r="H3032" i="3"/>
  <c r="G3032" i="3"/>
  <c r="F3032" i="3"/>
  <c r="D3032" i="3"/>
  <c r="C3032" i="3"/>
  <c r="H3031" i="3"/>
  <c r="G3031" i="3"/>
  <c r="F3031" i="3"/>
  <c r="D3031" i="3"/>
  <c r="C3031" i="3" s="1"/>
  <c r="H3030" i="3"/>
  <c r="G3030" i="3"/>
  <c r="F3030" i="3"/>
  <c r="D3030" i="3"/>
  <c r="C3030" i="3"/>
  <c r="H3029" i="3"/>
  <c r="G3029" i="3"/>
  <c r="F3029" i="3"/>
  <c r="D3029" i="3"/>
  <c r="C3029" i="3"/>
  <c r="H3028" i="3"/>
  <c r="G3028" i="3"/>
  <c r="F3028" i="3"/>
  <c r="D3028" i="3"/>
  <c r="C3028" i="3"/>
  <c r="H3027" i="3"/>
  <c r="G3027" i="3"/>
  <c r="F3027" i="3"/>
  <c r="D3027" i="3"/>
  <c r="C3027" i="3" s="1"/>
  <c r="H3026" i="3"/>
  <c r="G3026" i="3"/>
  <c r="F3026" i="3"/>
  <c r="D3026" i="3"/>
  <c r="C3026" i="3" s="1"/>
  <c r="H3025" i="3"/>
  <c r="G3025" i="3"/>
  <c r="F3025" i="3"/>
  <c r="D3025" i="3"/>
  <c r="C3025" i="3"/>
  <c r="H3024" i="3"/>
  <c r="G3024" i="3"/>
  <c r="F3024" i="3"/>
  <c r="D3024" i="3"/>
  <c r="C3024" i="3"/>
  <c r="H3023" i="3"/>
  <c r="G3023" i="3"/>
  <c r="F3023" i="3"/>
  <c r="D3023" i="3"/>
  <c r="C3023" i="3"/>
  <c r="H3022" i="3"/>
  <c r="G3022" i="3"/>
  <c r="F3022" i="3"/>
  <c r="D3022" i="3"/>
  <c r="C3022" i="3"/>
  <c r="H3021" i="3"/>
  <c r="G3021" i="3"/>
  <c r="F3021" i="3"/>
  <c r="D3021" i="3"/>
  <c r="C3021" i="3"/>
  <c r="H3020" i="3"/>
  <c r="G3020" i="3"/>
  <c r="F3020" i="3"/>
  <c r="D3020" i="3"/>
  <c r="C3020" i="3" s="1"/>
  <c r="H3019" i="3"/>
  <c r="G3019" i="3"/>
  <c r="F3019" i="3"/>
  <c r="D3019" i="3"/>
  <c r="C3019" i="3" s="1"/>
  <c r="H3018" i="3"/>
  <c r="G3018" i="3"/>
  <c r="F3018" i="3"/>
  <c r="D3018" i="3"/>
  <c r="C3018" i="3" s="1"/>
  <c r="H3017" i="3"/>
  <c r="G3017" i="3"/>
  <c r="F3017" i="3"/>
  <c r="D3017" i="3"/>
  <c r="C3017" i="3"/>
  <c r="H3016" i="3"/>
  <c r="G3016" i="3"/>
  <c r="F3016" i="3"/>
  <c r="D3016" i="3"/>
  <c r="C3016" i="3"/>
  <c r="H3015" i="3"/>
  <c r="G3015" i="3"/>
  <c r="F3015" i="3"/>
  <c r="D3015" i="3"/>
  <c r="C3015" i="3" s="1"/>
  <c r="H3014" i="3"/>
  <c r="G3014" i="3"/>
  <c r="F3014" i="3"/>
  <c r="D3014" i="3"/>
  <c r="C3014" i="3"/>
  <c r="H3013" i="3"/>
  <c r="G3013" i="3"/>
  <c r="F3013" i="3"/>
  <c r="D3013" i="3"/>
  <c r="C3013" i="3"/>
  <c r="H3012" i="3"/>
  <c r="G3012" i="3"/>
  <c r="F3012" i="3"/>
  <c r="D3012" i="3"/>
  <c r="C3012" i="3"/>
  <c r="H3011" i="3"/>
  <c r="G3011" i="3"/>
  <c r="F3011" i="3"/>
  <c r="D3011" i="3"/>
  <c r="C3011" i="3" s="1"/>
  <c r="H3010" i="3"/>
  <c r="G3010" i="3"/>
  <c r="F3010" i="3"/>
  <c r="D3010" i="3"/>
  <c r="C3010" i="3" s="1"/>
  <c r="H3009" i="3"/>
  <c r="G3009" i="3"/>
  <c r="F3009" i="3"/>
  <c r="D3009" i="3"/>
  <c r="C3009" i="3"/>
  <c r="H3008" i="3"/>
  <c r="G3008" i="3"/>
  <c r="F3008" i="3"/>
  <c r="D3008" i="3"/>
  <c r="C3008" i="3"/>
  <c r="H3007" i="3"/>
  <c r="G3007" i="3"/>
  <c r="F3007" i="3"/>
  <c r="D3007" i="3"/>
  <c r="C3007" i="3" s="1"/>
  <c r="H3006" i="3"/>
  <c r="G3006" i="3"/>
  <c r="F3006" i="3"/>
  <c r="D3006" i="3"/>
  <c r="C3006" i="3"/>
  <c r="H3005" i="3"/>
  <c r="G3005" i="3"/>
  <c r="F3005" i="3"/>
  <c r="D3005" i="3"/>
  <c r="C3005" i="3"/>
  <c r="H3004" i="3"/>
  <c r="G3004" i="3"/>
  <c r="F3004" i="3"/>
  <c r="D3004" i="3"/>
  <c r="C3004" i="3" s="1"/>
  <c r="H3003" i="3"/>
  <c r="G3003" i="3"/>
  <c r="F3003" i="3"/>
  <c r="D3003" i="3"/>
  <c r="C3003" i="3" s="1"/>
  <c r="H3002" i="3"/>
  <c r="G3002" i="3"/>
  <c r="F3002" i="3"/>
  <c r="D3002" i="3"/>
  <c r="C3002" i="3" s="1"/>
  <c r="H3001" i="3"/>
  <c r="G3001" i="3"/>
  <c r="F3001" i="3"/>
  <c r="D3001" i="3"/>
  <c r="C3001" i="3"/>
  <c r="H3000" i="3"/>
  <c r="G3000" i="3"/>
  <c r="F3000" i="3"/>
  <c r="D3000" i="3"/>
  <c r="C3000" i="3"/>
  <c r="H2999" i="3"/>
  <c r="G2999" i="3"/>
  <c r="F2999" i="3"/>
  <c r="D2999" i="3"/>
  <c r="C2999" i="3" s="1"/>
  <c r="H2998" i="3"/>
  <c r="G2998" i="3"/>
  <c r="F2998" i="3"/>
  <c r="D2998" i="3"/>
  <c r="C2998" i="3"/>
  <c r="H2997" i="3"/>
  <c r="G2997" i="3"/>
  <c r="F2997" i="3"/>
  <c r="D2997" i="3"/>
  <c r="C2997" i="3"/>
  <c r="H2996" i="3"/>
  <c r="G2996" i="3"/>
  <c r="F2996" i="3"/>
  <c r="D2996" i="3"/>
  <c r="C2996" i="3"/>
  <c r="H2995" i="3"/>
  <c r="G2995" i="3"/>
  <c r="F2995" i="3"/>
  <c r="D2995" i="3"/>
  <c r="C2995" i="3" s="1"/>
  <c r="H2994" i="3"/>
  <c r="G2994" i="3"/>
  <c r="F2994" i="3"/>
  <c r="D2994" i="3"/>
  <c r="C2994" i="3" s="1"/>
  <c r="H2993" i="3"/>
  <c r="G2993" i="3"/>
  <c r="F2993" i="3"/>
  <c r="D2993" i="3"/>
  <c r="C2993" i="3"/>
  <c r="H2992" i="3"/>
  <c r="G2992" i="3"/>
  <c r="F2992" i="3"/>
  <c r="D2992" i="3"/>
  <c r="C2992" i="3"/>
  <c r="H2991" i="3"/>
  <c r="G2991" i="3"/>
  <c r="F2991" i="3"/>
  <c r="D2991" i="3"/>
  <c r="C2991" i="3"/>
  <c r="H2990" i="3"/>
  <c r="G2990" i="3"/>
  <c r="F2990" i="3"/>
  <c r="D2990" i="3"/>
  <c r="C2990" i="3"/>
  <c r="H2989" i="3"/>
  <c r="G2989" i="3"/>
  <c r="F2989" i="3"/>
  <c r="D2989" i="3"/>
  <c r="C2989" i="3"/>
  <c r="H2988" i="3"/>
  <c r="G2988" i="3"/>
  <c r="F2988" i="3"/>
  <c r="D2988" i="3"/>
  <c r="C2988" i="3" s="1"/>
  <c r="H2987" i="3"/>
  <c r="G2987" i="3"/>
  <c r="F2987" i="3"/>
  <c r="D2987" i="3"/>
  <c r="C2987" i="3" s="1"/>
  <c r="H2986" i="3"/>
  <c r="G2986" i="3"/>
  <c r="F2986" i="3"/>
  <c r="D2986" i="3"/>
  <c r="C2986" i="3" s="1"/>
  <c r="H2985" i="3"/>
  <c r="G2985" i="3"/>
  <c r="F2985" i="3"/>
  <c r="D2985" i="3"/>
  <c r="C2985" i="3"/>
  <c r="H2984" i="3"/>
  <c r="G2984" i="3"/>
  <c r="F2984" i="3"/>
  <c r="D2984" i="3"/>
  <c r="C2984" i="3"/>
  <c r="H2983" i="3"/>
  <c r="G2983" i="3"/>
  <c r="F2983" i="3"/>
  <c r="D2983" i="3"/>
  <c r="C2983" i="3" s="1"/>
  <c r="H2982" i="3"/>
  <c r="G2982" i="3"/>
  <c r="F2982" i="3"/>
  <c r="D2982" i="3"/>
  <c r="C2982" i="3"/>
  <c r="H2981" i="3"/>
  <c r="G2981" i="3"/>
  <c r="F2981" i="3"/>
  <c r="D2981" i="3"/>
  <c r="C2981" i="3"/>
  <c r="H2980" i="3"/>
  <c r="G2980" i="3"/>
  <c r="F2980" i="3"/>
  <c r="D2980" i="3"/>
  <c r="C2980" i="3"/>
  <c r="H2979" i="3"/>
  <c r="G2979" i="3"/>
  <c r="F2979" i="3"/>
  <c r="D2979" i="3"/>
  <c r="C2979" i="3" s="1"/>
  <c r="H2978" i="3"/>
  <c r="G2978" i="3"/>
  <c r="F2978" i="3"/>
  <c r="D2978" i="3"/>
  <c r="C2978" i="3" s="1"/>
  <c r="H2977" i="3"/>
  <c r="G2977" i="3"/>
  <c r="F2977" i="3"/>
  <c r="D2977" i="3"/>
  <c r="C2977" i="3"/>
  <c r="H2976" i="3"/>
  <c r="G2976" i="3"/>
  <c r="F2976" i="3"/>
  <c r="D2976" i="3"/>
  <c r="C2976" i="3"/>
  <c r="H2975" i="3"/>
  <c r="G2975" i="3"/>
  <c r="F2975" i="3"/>
  <c r="D2975" i="3"/>
  <c r="C2975" i="3" s="1"/>
  <c r="H2974" i="3"/>
  <c r="G2974" i="3"/>
  <c r="F2974" i="3"/>
  <c r="D2974" i="3"/>
  <c r="C2974" i="3"/>
  <c r="H2973" i="3"/>
  <c r="G2973" i="3"/>
  <c r="F2973" i="3"/>
  <c r="D2973" i="3"/>
  <c r="C2973" i="3"/>
  <c r="H2972" i="3"/>
  <c r="G2972" i="3"/>
  <c r="F2972" i="3"/>
  <c r="D2972" i="3"/>
  <c r="C2972" i="3" s="1"/>
  <c r="H2971" i="3"/>
  <c r="G2971" i="3"/>
  <c r="F2971" i="3"/>
  <c r="D2971" i="3"/>
  <c r="C2971" i="3" s="1"/>
  <c r="H2970" i="3"/>
  <c r="G2970" i="3"/>
  <c r="F2970" i="3"/>
  <c r="D2970" i="3"/>
  <c r="C2970" i="3" s="1"/>
  <c r="H2969" i="3"/>
  <c r="G2969" i="3"/>
  <c r="F2969" i="3"/>
  <c r="D2969" i="3"/>
  <c r="C2969" i="3"/>
  <c r="H2968" i="3"/>
  <c r="G2968" i="3"/>
  <c r="F2968" i="3"/>
  <c r="D2968" i="3"/>
  <c r="C2968" i="3"/>
  <c r="H2967" i="3"/>
  <c r="G2967" i="3"/>
  <c r="F2967" i="3"/>
  <c r="D2967" i="3"/>
  <c r="C2967" i="3" s="1"/>
  <c r="H2966" i="3"/>
  <c r="G2966" i="3"/>
  <c r="F2966" i="3"/>
  <c r="D2966" i="3"/>
  <c r="C2966" i="3"/>
  <c r="H2965" i="3"/>
  <c r="G2965" i="3"/>
  <c r="F2965" i="3"/>
  <c r="D2965" i="3"/>
  <c r="C2965" i="3"/>
  <c r="H2964" i="3"/>
  <c r="G2964" i="3"/>
  <c r="F2964" i="3"/>
  <c r="D2964" i="3"/>
  <c r="C2964" i="3" s="1"/>
  <c r="H2963" i="3"/>
  <c r="G2963" i="3"/>
  <c r="F2963" i="3"/>
  <c r="D2963" i="3"/>
  <c r="C2963" i="3" s="1"/>
  <c r="H2962" i="3"/>
  <c r="G2962" i="3"/>
  <c r="F2962" i="3"/>
  <c r="D2962" i="3"/>
  <c r="C2962" i="3" s="1"/>
  <c r="H2961" i="3"/>
  <c r="G2961" i="3"/>
  <c r="F2961" i="3"/>
  <c r="D2961" i="3"/>
  <c r="C2961" i="3"/>
  <c r="H2960" i="3"/>
  <c r="G2960" i="3"/>
  <c r="F2960" i="3"/>
  <c r="D2960" i="3"/>
  <c r="C2960" i="3"/>
  <c r="H2959" i="3"/>
  <c r="G2959" i="3"/>
  <c r="F2959" i="3"/>
  <c r="D2959" i="3"/>
  <c r="C2959" i="3"/>
  <c r="H2958" i="3"/>
  <c r="G2958" i="3"/>
  <c r="F2958" i="3"/>
  <c r="D2958" i="3"/>
  <c r="C2958" i="3"/>
  <c r="H2957" i="3"/>
  <c r="G2957" i="3"/>
  <c r="F2957" i="3"/>
  <c r="D2957" i="3"/>
  <c r="C2957" i="3"/>
  <c r="H2956" i="3"/>
  <c r="G2956" i="3"/>
  <c r="F2956" i="3"/>
  <c r="D2956" i="3"/>
  <c r="C2956" i="3" s="1"/>
  <c r="H2955" i="3"/>
  <c r="G2955" i="3"/>
  <c r="F2955" i="3"/>
  <c r="D2955" i="3"/>
  <c r="C2955" i="3" s="1"/>
  <c r="H2954" i="3"/>
  <c r="G2954" i="3"/>
  <c r="F2954" i="3"/>
  <c r="D2954" i="3"/>
  <c r="C2954" i="3" s="1"/>
  <c r="H2953" i="3"/>
  <c r="G2953" i="3"/>
  <c r="F2953" i="3"/>
  <c r="D2953" i="3"/>
  <c r="C2953" i="3"/>
  <c r="H2952" i="3"/>
  <c r="G2952" i="3"/>
  <c r="F2952" i="3"/>
  <c r="D2952" i="3"/>
  <c r="C2952" i="3"/>
  <c r="H2951" i="3"/>
  <c r="G2951" i="3"/>
  <c r="F2951" i="3"/>
  <c r="D2951" i="3"/>
  <c r="C2951" i="3" s="1"/>
  <c r="H2950" i="3"/>
  <c r="G2950" i="3"/>
  <c r="F2950" i="3"/>
  <c r="D2950" i="3"/>
  <c r="C2950" i="3"/>
  <c r="H2949" i="3"/>
  <c r="G2949" i="3"/>
  <c r="F2949" i="3"/>
  <c r="D2949" i="3"/>
  <c r="C2949" i="3"/>
  <c r="H2948" i="3"/>
  <c r="G2948" i="3"/>
  <c r="F2948" i="3"/>
  <c r="D2948" i="3"/>
  <c r="C2948" i="3"/>
  <c r="H2947" i="3"/>
  <c r="G2947" i="3"/>
  <c r="F2947" i="3"/>
  <c r="D2947" i="3"/>
  <c r="C2947" i="3" s="1"/>
  <c r="H2946" i="3"/>
  <c r="G2946" i="3"/>
  <c r="F2946" i="3"/>
  <c r="D2946" i="3"/>
  <c r="C2946" i="3" s="1"/>
  <c r="H2945" i="3"/>
  <c r="G2945" i="3"/>
  <c r="F2945" i="3"/>
  <c r="D2945" i="3"/>
  <c r="C2945" i="3"/>
  <c r="H2944" i="3"/>
  <c r="G2944" i="3"/>
  <c r="F2944" i="3"/>
  <c r="D2944" i="3"/>
  <c r="C2944" i="3"/>
  <c r="H2943" i="3"/>
  <c r="G2943" i="3"/>
  <c r="F2943" i="3"/>
  <c r="D2943" i="3"/>
  <c r="C2943" i="3" s="1"/>
  <c r="H2942" i="3"/>
  <c r="G2942" i="3"/>
  <c r="F2942" i="3"/>
  <c r="D2942" i="3"/>
  <c r="C2942" i="3"/>
  <c r="H2941" i="3"/>
  <c r="G2941" i="3"/>
  <c r="F2941" i="3"/>
  <c r="D2941" i="3"/>
  <c r="C2941" i="3"/>
  <c r="H2940" i="3"/>
  <c r="G2940" i="3"/>
  <c r="F2940" i="3"/>
  <c r="D2940" i="3"/>
  <c r="C2940" i="3" s="1"/>
  <c r="H2939" i="3"/>
  <c r="G2939" i="3"/>
  <c r="F2939" i="3"/>
  <c r="D2939" i="3"/>
  <c r="C2939" i="3" s="1"/>
  <c r="H2938" i="3"/>
  <c r="G2938" i="3"/>
  <c r="F2938" i="3"/>
  <c r="D2938" i="3"/>
  <c r="C2938" i="3" s="1"/>
  <c r="H2937" i="3"/>
  <c r="G2937" i="3"/>
  <c r="F2937" i="3"/>
  <c r="D2937" i="3"/>
  <c r="C2937" i="3"/>
  <c r="H2936" i="3"/>
  <c r="G2936" i="3"/>
  <c r="F2936" i="3"/>
  <c r="D2936" i="3"/>
  <c r="C2936" i="3"/>
  <c r="H2935" i="3"/>
  <c r="G2935" i="3"/>
  <c r="F2935" i="3"/>
  <c r="D2935" i="3"/>
  <c r="C2935" i="3" s="1"/>
  <c r="H2934" i="3"/>
  <c r="G2934" i="3"/>
  <c r="F2934" i="3"/>
  <c r="D2934" i="3"/>
  <c r="C2934" i="3"/>
  <c r="H2933" i="3"/>
  <c r="G2933" i="3"/>
  <c r="F2933" i="3"/>
  <c r="D2933" i="3"/>
  <c r="C2933" i="3"/>
  <c r="H2932" i="3"/>
  <c r="G2932" i="3"/>
  <c r="F2932" i="3"/>
  <c r="D2932" i="3"/>
  <c r="C2932" i="3"/>
  <c r="H2931" i="3"/>
  <c r="G2931" i="3"/>
  <c r="F2931" i="3"/>
  <c r="D2931" i="3"/>
  <c r="C2931" i="3" s="1"/>
  <c r="H2930" i="3"/>
  <c r="G2930" i="3"/>
  <c r="F2930" i="3"/>
  <c r="D2930" i="3"/>
  <c r="C2930" i="3" s="1"/>
  <c r="H2929" i="3"/>
  <c r="G2929" i="3"/>
  <c r="F2929" i="3"/>
  <c r="D2929" i="3"/>
  <c r="C2929" i="3"/>
  <c r="H2928" i="3"/>
  <c r="G2928" i="3"/>
  <c r="F2928" i="3"/>
  <c r="D2928" i="3"/>
  <c r="C2928" i="3"/>
  <c r="H2927" i="3"/>
  <c r="G2927" i="3"/>
  <c r="F2927" i="3"/>
  <c r="D2927" i="3"/>
  <c r="C2927" i="3"/>
  <c r="H2926" i="3"/>
  <c r="G2926" i="3"/>
  <c r="F2926" i="3"/>
  <c r="D2926" i="3"/>
  <c r="C2926" i="3"/>
  <c r="H2925" i="3"/>
  <c r="G2925" i="3"/>
  <c r="F2925" i="3"/>
  <c r="D2925" i="3"/>
  <c r="C2925" i="3"/>
  <c r="H2924" i="3"/>
  <c r="G2924" i="3"/>
  <c r="F2924" i="3"/>
  <c r="D2924" i="3"/>
  <c r="C2924" i="3" s="1"/>
  <c r="H2923" i="3"/>
  <c r="G2923" i="3"/>
  <c r="F2923" i="3"/>
  <c r="D2923" i="3"/>
  <c r="C2923" i="3" s="1"/>
  <c r="H2922" i="3"/>
  <c r="G2922" i="3"/>
  <c r="F2922" i="3"/>
  <c r="D2922" i="3"/>
  <c r="C2922" i="3" s="1"/>
  <c r="H2921" i="3"/>
  <c r="G2921" i="3"/>
  <c r="F2921" i="3"/>
  <c r="D2921" i="3"/>
  <c r="C2921" i="3"/>
  <c r="H2920" i="3"/>
  <c r="G2920" i="3"/>
  <c r="F2920" i="3"/>
  <c r="D2920" i="3"/>
  <c r="C2920" i="3"/>
  <c r="H2919" i="3"/>
  <c r="G2919" i="3"/>
  <c r="F2919" i="3"/>
  <c r="D2919" i="3"/>
  <c r="C2919" i="3" s="1"/>
  <c r="H2918" i="3"/>
  <c r="G2918" i="3"/>
  <c r="F2918" i="3"/>
  <c r="D2918" i="3"/>
  <c r="C2918" i="3"/>
  <c r="H2917" i="3"/>
  <c r="G2917" i="3"/>
  <c r="F2917" i="3"/>
  <c r="D2917" i="3"/>
  <c r="C2917" i="3"/>
  <c r="H2916" i="3"/>
  <c r="G2916" i="3"/>
  <c r="F2916" i="3"/>
  <c r="D2916" i="3"/>
  <c r="C2916" i="3"/>
  <c r="H2915" i="3"/>
  <c r="G2915" i="3"/>
  <c r="F2915" i="3"/>
  <c r="D2915" i="3"/>
  <c r="C2915" i="3" s="1"/>
  <c r="H2914" i="3"/>
  <c r="G2914" i="3"/>
  <c r="F2914" i="3"/>
  <c r="D2914" i="3"/>
  <c r="C2914" i="3" s="1"/>
  <c r="H2913" i="3"/>
  <c r="G2913" i="3"/>
  <c r="F2913" i="3"/>
  <c r="D2913" i="3"/>
  <c r="C2913" i="3"/>
  <c r="H2912" i="3"/>
  <c r="G2912" i="3"/>
  <c r="F2912" i="3"/>
  <c r="D2912" i="3"/>
  <c r="C2912" i="3"/>
  <c r="H2911" i="3"/>
  <c r="G2911" i="3"/>
  <c r="F2911" i="3"/>
  <c r="D2911" i="3"/>
  <c r="C2911" i="3" s="1"/>
  <c r="H2910" i="3"/>
  <c r="G2910" i="3"/>
  <c r="F2910" i="3"/>
  <c r="D2910" i="3"/>
  <c r="C2910" i="3"/>
  <c r="H2909" i="3"/>
  <c r="G2909" i="3"/>
  <c r="F2909" i="3"/>
  <c r="D2909" i="3"/>
  <c r="C2909" i="3"/>
  <c r="H2908" i="3"/>
  <c r="G2908" i="3"/>
  <c r="F2908" i="3"/>
  <c r="D2908" i="3"/>
  <c r="C2908" i="3" s="1"/>
  <c r="H2907" i="3"/>
  <c r="G2907" i="3"/>
  <c r="F2907" i="3"/>
  <c r="D2907" i="3"/>
  <c r="C2907" i="3" s="1"/>
  <c r="H2906" i="3"/>
  <c r="G2906" i="3"/>
  <c r="F2906" i="3"/>
  <c r="D2906" i="3"/>
  <c r="C2906" i="3" s="1"/>
  <c r="H2905" i="3"/>
  <c r="G2905" i="3"/>
  <c r="F2905" i="3"/>
  <c r="D2905" i="3"/>
  <c r="C2905" i="3"/>
  <c r="H2904" i="3"/>
  <c r="G2904" i="3"/>
  <c r="F2904" i="3"/>
  <c r="D2904" i="3"/>
  <c r="C2904" i="3"/>
  <c r="H2903" i="3"/>
  <c r="G2903" i="3"/>
  <c r="F2903" i="3"/>
  <c r="D2903" i="3"/>
  <c r="C2903" i="3" s="1"/>
  <c r="H2902" i="3"/>
  <c r="G2902" i="3"/>
  <c r="F2902" i="3"/>
  <c r="D2902" i="3"/>
  <c r="C2902" i="3"/>
  <c r="H2901" i="3"/>
  <c r="G2901" i="3"/>
  <c r="F2901" i="3"/>
  <c r="D2901" i="3"/>
  <c r="C2901" i="3"/>
  <c r="H2900" i="3"/>
  <c r="G2900" i="3"/>
  <c r="F2900" i="3"/>
  <c r="D2900" i="3"/>
  <c r="C2900" i="3"/>
  <c r="H2899" i="3"/>
  <c r="G2899" i="3"/>
  <c r="F2899" i="3"/>
  <c r="D2899" i="3"/>
  <c r="C2899" i="3" s="1"/>
  <c r="H2898" i="3"/>
  <c r="G2898" i="3"/>
  <c r="F2898" i="3"/>
  <c r="D2898" i="3"/>
  <c r="C2898" i="3" s="1"/>
  <c r="H2897" i="3"/>
  <c r="G2897" i="3"/>
  <c r="F2897" i="3"/>
  <c r="D2897" i="3"/>
  <c r="C2897" i="3"/>
  <c r="H2896" i="3"/>
  <c r="G2896" i="3"/>
  <c r="F2896" i="3"/>
  <c r="D2896" i="3"/>
  <c r="C2896" i="3"/>
  <c r="H2895" i="3"/>
  <c r="G2895" i="3"/>
  <c r="F2895" i="3"/>
  <c r="D2895" i="3"/>
  <c r="C2895" i="3"/>
  <c r="H2894" i="3"/>
  <c r="G2894" i="3"/>
  <c r="F2894" i="3"/>
  <c r="D2894" i="3"/>
  <c r="C2894" i="3"/>
  <c r="H2893" i="3"/>
  <c r="G2893" i="3"/>
  <c r="F2893" i="3"/>
  <c r="D2893" i="3"/>
  <c r="C2893" i="3"/>
  <c r="H2892" i="3"/>
  <c r="G2892" i="3"/>
  <c r="F2892" i="3"/>
  <c r="D2892" i="3"/>
  <c r="C2892" i="3" s="1"/>
  <c r="H2891" i="3"/>
  <c r="G2891" i="3"/>
  <c r="F2891" i="3"/>
  <c r="D2891" i="3"/>
  <c r="C2891" i="3" s="1"/>
  <c r="H2890" i="3"/>
  <c r="G2890" i="3"/>
  <c r="F2890" i="3"/>
  <c r="D2890" i="3"/>
  <c r="C2890" i="3" s="1"/>
  <c r="H2889" i="3"/>
  <c r="G2889" i="3"/>
  <c r="F2889" i="3"/>
  <c r="D2889" i="3"/>
  <c r="C2889" i="3"/>
  <c r="H2888" i="3"/>
  <c r="G2888" i="3"/>
  <c r="F2888" i="3"/>
  <c r="D2888" i="3"/>
  <c r="C2888" i="3"/>
  <c r="H2887" i="3"/>
  <c r="G2887" i="3"/>
  <c r="F2887" i="3"/>
  <c r="D2887" i="3"/>
  <c r="C2887" i="3" s="1"/>
  <c r="H2886" i="3"/>
  <c r="G2886" i="3"/>
  <c r="F2886" i="3"/>
  <c r="D2886" i="3"/>
  <c r="C2886" i="3"/>
  <c r="H2885" i="3"/>
  <c r="G2885" i="3"/>
  <c r="F2885" i="3"/>
  <c r="D2885" i="3"/>
  <c r="C2885" i="3"/>
  <c r="H2884" i="3"/>
  <c r="G2884" i="3"/>
  <c r="F2884" i="3"/>
  <c r="D2884" i="3"/>
  <c r="C2884" i="3"/>
  <c r="H2883" i="3"/>
  <c r="G2883" i="3"/>
  <c r="F2883" i="3"/>
  <c r="D2883" i="3"/>
  <c r="C2883" i="3" s="1"/>
  <c r="H2882" i="3"/>
  <c r="G2882" i="3"/>
  <c r="F2882" i="3"/>
  <c r="D2882" i="3"/>
  <c r="C2882" i="3" s="1"/>
  <c r="H2881" i="3"/>
  <c r="G2881" i="3"/>
  <c r="F2881" i="3"/>
  <c r="D2881" i="3"/>
  <c r="C2881" i="3"/>
  <c r="H2880" i="3"/>
  <c r="G2880" i="3"/>
  <c r="F2880" i="3"/>
  <c r="D2880" i="3"/>
  <c r="C2880" i="3"/>
  <c r="H2879" i="3"/>
  <c r="G2879" i="3"/>
  <c r="F2879" i="3"/>
  <c r="D2879" i="3"/>
  <c r="C2879" i="3" s="1"/>
  <c r="H2878" i="3"/>
  <c r="G2878" i="3"/>
  <c r="F2878" i="3"/>
  <c r="D2878" i="3"/>
  <c r="C2878" i="3"/>
  <c r="H2877" i="3"/>
  <c r="G2877" i="3"/>
  <c r="F2877" i="3"/>
  <c r="D2877" i="3"/>
  <c r="C2877" i="3"/>
  <c r="H2876" i="3"/>
  <c r="G2876" i="3"/>
  <c r="F2876" i="3"/>
  <c r="D2876" i="3"/>
  <c r="C2876" i="3" s="1"/>
  <c r="H2875" i="3"/>
  <c r="G2875" i="3"/>
  <c r="F2875" i="3"/>
  <c r="D2875" i="3"/>
  <c r="C2875" i="3" s="1"/>
  <c r="H2874" i="3"/>
  <c r="G2874" i="3"/>
  <c r="F2874" i="3"/>
  <c r="D2874" i="3"/>
  <c r="C2874" i="3" s="1"/>
  <c r="H2873" i="3"/>
  <c r="G2873" i="3"/>
  <c r="F2873" i="3"/>
  <c r="D2873" i="3"/>
  <c r="C2873" i="3"/>
  <c r="H2872" i="3"/>
  <c r="G2872" i="3"/>
  <c r="F2872" i="3"/>
  <c r="D2872" i="3"/>
  <c r="C2872" i="3"/>
  <c r="H2871" i="3"/>
  <c r="G2871" i="3"/>
  <c r="F2871" i="3"/>
  <c r="D2871" i="3"/>
  <c r="C2871" i="3" s="1"/>
  <c r="H2870" i="3"/>
  <c r="G2870" i="3"/>
  <c r="F2870" i="3"/>
  <c r="D2870" i="3"/>
  <c r="C2870" i="3"/>
  <c r="H2869" i="3"/>
  <c r="G2869" i="3"/>
  <c r="F2869" i="3"/>
  <c r="D2869" i="3"/>
  <c r="C2869" i="3"/>
  <c r="H2868" i="3"/>
  <c r="G2868" i="3"/>
  <c r="F2868" i="3"/>
  <c r="D2868" i="3"/>
  <c r="C2868" i="3"/>
  <c r="H2867" i="3"/>
  <c r="G2867" i="3"/>
  <c r="F2867" i="3"/>
  <c r="D2867" i="3"/>
  <c r="C2867" i="3" s="1"/>
  <c r="H2866" i="3"/>
  <c r="G2866" i="3"/>
  <c r="F2866" i="3"/>
  <c r="D2866" i="3"/>
  <c r="C2866" i="3" s="1"/>
  <c r="H2865" i="3"/>
  <c r="G2865" i="3"/>
  <c r="F2865" i="3"/>
  <c r="D2865" i="3"/>
  <c r="C2865" i="3"/>
  <c r="H2864" i="3"/>
  <c r="G2864" i="3"/>
  <c r="F2864" i="3"/>
  <c r="D2864" i="3"/>
  <c r="C2864" i="3"/>
  <c r="H2863" i="3"/>
  <c r="G2863" i="3"/>
  <c r="F2863" i="3"/>
  <c r="D2863" i="3"/>
  <c r="C2863" i="3"/>
  <c r="H2862" i="3"/>
  <c r="G2862" i="3"/>
  <c r="F2862" i="3"/>
  <c r="D2862" i="3"/>
  <c r="C2862" i="3"/>
  <c r="H2861" i="3"/>
  <c r="G2861" i="3"/>
  <c r="F2861" i="3"/>
  <c r="D2861" i="3"/>
  <c r="C2861" i="3"/>
  <c r="H2860" i="3"/>
  <c r="G2860" i="3"/>
  <c r="F2860" i="3"/>
  <c r="D2860" i="3"/>
  <c r="C2860" i="3" s="1"/>
  <c r="H2859" i="3"/>
  <c r="G2859" i="3"/>
  <c r="F2859" i="3"/>
  <c r="D2859" i="3"/>
  <c r="C2859" i="3" s="1"/>
  <c r="H2858" i="3"/>
  <c r="G2858" i="3"/>
  <c r="F2858" i="3"/>
  <c r="D2858" i="3"/>
  <c r="C2858" i="3" s="1"/>
  <c r="H2857" i="3"/>
  <c r="G2857" i="3"/>
  <c r="F2857" i="3"/>
  <c r="D2857" i="3"/>
  <c r="C2857" i="3"/>
  <c r="H2856" i="3"/>
  <c r="G2856" i="3"/>
  <c r="F2856" i="3"/>
  <c r="D2856" i="3"/>
  <c r="C2856" i="3"/>
  <c r="H2855" i="3"/>
  <c r="G2855" i="3"/>
  <c r="F2855" i="3"/>
  <c r="D2855" i="3"/>
  <c r="C2855" i="3" s="1"/>
  <c r="H2854" i="3"/>
  <c r="G2854" i="3"/>
  <c r="F2854" i="3"/>
  <c r="D2854" i="3"/>
  <c r="C2854" i="3"/>
  <c r="H2853" i="3"/>
  <c r="G2853" i="3"/>
  <c r="F2853" i="3"/>
  <c r="D2853" i="3"/>
  <c r="C2853" i="3"/>
  <c r="H2852" i="3"/>
  <c r="G2852" i="3"/>
  <c r="F2852" i="3"/>
  <c r="D2852" i="3"/>
  <c r="C2852" i="3"/>
  <c r="H2851" i="3"/>
  <c r="G2851" i="3"/>
  <c r="F2851" i="3"/>
  <c r="D2851" i="3"/>
  <c r="C2851" i="3" s="1"/>
  <c r="H2850" i="3"/>
  <c r="G2850" i="3"/>
  <c r="F2850" i="3"/>
  <c r="D2850" i="3"/>
  <c r="C2850" i="3" s="1"/>
  <c r="H2849" i="3"/>
  <c r="G2849" i="3"/>
  <c r="F2849" i="3"/>
  <c r="D2849" i="3"/>
  <c r="C2849" i="3"/>
  <c r="H2848" i="3"/>
  <c r="G2848" i="3"/>
  <c r="F2848" i="3"/>
  <c r="D2848" i="3"/>
  <c r="C2848" i="3"/>
  <c r="H2847" i="3"/>
  <c r="G2847" i="3"/>
  <c r="F2847" i="3"/>
  <c r="D2847" i="3"/>
  <c r="C2847" i="3" s="1"/>
  <c r="H2846" i="3"/>
  <c r="G2846" i="3"/>
  <c r="F2846" i="3"/>
  <c r="D2846" i="3"/>
  <c r="C2846" i="3"/>
  <c r="H2845" i="3"/>
  <c r="G2845" i="3"/>
  <c r="F2845" i="3"/>
  <c r="D2845" i="3"/>
  <c r="C2845" i="3"/>
  <c r="H2844" i="3"/>
  <c r="G2844" i="3"/>
  <c r="F2844" i="3"/>
  <c r="D2844" i="3"/>
  <c r="C2844" i="3" s="1"/>
  <c r="H2843" i="3"/>
  <c r="G2843" i="3"/>
  <c r="F2843" i="3"/>
  <c r="D2843" i="3"/>
  <c r="C2843" i="3" s="1"/>
  <c r="H2842" i="3"/>
  <c r="G2842" i="3"/>
  <c r="F2842" i="3"/>
  <c r="D2842" i="3"/>
  <c r="C2842" i="3" s="1"/>
  <c r="H2841" i="3"/>
  <c r="G2841" i="3"/>
  <c r="F2841" i="3"/>
  <c r="D2841" i="3"/>
  <c r="C2841" i="3"/>
  <c r="H2840" i="3"/>
  <c r="G2840" i="3"/>
  <c r="F2840" i="3"/>
  <c r="D2840" i="3"/>
  <c r="C2840" i="3"/>
  <c r="H2839" i="3"/>
  <c r="G2839" i="3"/>
  <c r="F2839" i="3"/>
  <c r="D2839" i="3"/>
  <c r="C2839" i="3" s="1"/>
  <c r="H2838" i="3"/>
  <c r="G2838" i="3"/>
  <c r="F2838" i="3"/>
  <c r="D2838" i="3"/>
  <c r="C2838" i="3"/>
  <c r="H2837" i="3"/>
  <c r="G2837" i="3"/>
  <c r="F2837" i="3"/>
  <c r="D2837" i="3"/>
  <c r="C2837" i="3"/>
  <c r="H2836" i="3"/>
  <c r="G2836" i="3"/>
  <c r="F2836" i="3"/>
  <c r="D2836" i="3"/>
  <c r="C2836" i="3" s="1"/>
  <c r="H2835" i="3"/>
  <c r="G2835" i="3"/>
  <c r="F2835" i="3"/>
  <c r="D2835" i="3"/>
  <c r="C2835" i="3" s="1"/>
  <c r="H2834" i="3"/>
  <c r="G2834" i="3"/>
  <c r="F2834" i="3"/>
  <c r="D2834" i="3"/>
  <c r="C2834" i="3" s="1"/>
  <c r="H2833" i="3"/>
  <c r="G2833" i="3"/>
  <c r="F2833" i="3"/>
  <c r="D2833" i="3"/>
  <c r="C2833" i="3"/>
  <c r="H2832" i="3"/>
  <c r="G2832" i="3"/>
  <c r="F2832" i="3"/>
  <c r="D2832" i="3"/>
  <c r="C2832" i="3"/>
  <c r="H2831" i="3"/>
  <c r="G2831" i="3"/>
  <c r="F2831" i="3"/>
  <c r="D2831" i="3"/>
  <c r="C2831" i="3"/>
  <c r="H2830" i="3"/>
  <c r="G2830" i="3"/>
  <c r="F2830" i="3"/>
  <c r="D2830" i="3"/>
  <c r="C2830" i="3"/>
  <c r="H2829" i="3"/>
  <c r="G2829" i="3"/>
  <c r="F2829" i="3"/>
  <c r="D2829" i="3"/>
  <c r="C2829" i="3"/>
  <c r="H2828" i="3"/>
  <c r="G2828" i="3"/>
  <c r="F2828" i="3"/>
  <c r="D2828" i="3"/>
  <c r="C2828" i="3" s="1"/>
  <c r="H2827" i="3"/>
  <c r="G2827" i="3"/>
  <c r="F2827" i="3"/>
  <c r="D2827" i="3"/>
  <c r="C2827" i="3" s="1"/>
  <c r="H2826" i="3"/>
  <c r="G2826" i="3"/>
  <c r="F2826" i="3"/>
  <c r="D2826" i="3"/>
  <c r="C2826" i="3" s="1"/>
  <c r="H2825" i="3"/>
  <c r="G2825" i="3"/>
  <c r="F2825" i="3"/>
  <c r="D2825" i="3"/>
  <c r="C2825" i="3"/>
  <c r="H2824" i="3"/>
  <c r="G2824" i="3"/>
  <c r="F2824" i="3"/>
  <c r="D2824" i="3"/>
  <c r="C2824" i="3"/>
  <c r="H2823" i="3"/>
  <c r="G2823" i="3"/>
  <c r="F2823" i="3"/>
  <c r="D2823" i="3"/>
  <c r="C2823" i="3" s="1"/>
  <c r="H2822" i="3"/>
  <c r="G2822" i="3"/>
  <c r="F2822" i="3"/>
  <c r="D2822" i="3"/>
  <c r="C2822" i="3"/>
  <c r="H2821" i="3"/>
  <c r="G2821" i="3"/>
  <c r="F2821" i="3"/>
  <c r="D2821" i="3"/>
  <c r="C2821" i="3"/>
  <c r="H2820" i="3"/>
  <c r="G2820" i="3"/>
  <c r="F2820" i="3"/>
  <c r="D2820" i="3"/>
  <c r="C2820" i="3"/>
  <c r="H2819" i="3"/>
  <c r="G2819" i="3"/>
  <c r="F2819" i="3"/>
  <c r="D2819" i="3"/>
  <c r="C2819" i="3" s="1"/>
  <c r="H2818" i="3"/>
  <c r="G2818" i="3"/>
  <c r="F2818" i="3"/>
  <c r="D2818" i="3"/>
  <c r="C2818" i="3" s="1"/>
  <c r="H2817" i="3"/>
  <c r="G2817" i="3"/>
  <c r="F2817" i="3"/>
  <c r="D2817" i="3"/>
  <c r="C2817" i="3"/>
  <c r="H2816" i="3"/>
  <c r="G2816" i="3"/>
  <c r="F2816" i="3"/>
  <c r="D2816" i="3"/>
  <c r="C2816" i="3"/>
  <c r="H2815" i="3"/>
  <c r="G2815" i="3"/>
  <c r="F2815" i="3"/>
  <c r="D2815" i="3"/>
  <c r="C2815" i="3" s="1"/>
  <c r="H2814" i="3"/>
  <c r="G2814" i="3"/>
  <c r="F2814" i="3"/>
  <c r="D2814" i="3"/>
  <c r="C2814" i="3"/>
  <c r="H2813" i="3"/>
  <c r="G2813" i="3"/>
  <c r="F2813" i="3"/>
  <c r="D2813" i="3"/>
  <c r="C2813" i="3"/>
  <c r="H2812" i="3"/>
  <c r="G2812" i="3"/>
  <c r="F2812" i="3"/>
  <c r="D2812" i="3"/>
  <c r="C2812" i="3" s="1"/>
  <c r="H2811" i="3"/>
  <c r="G2811" i="3"/>
  <c r="F2811" i="3"/>
  <c r="D2811" i="3"/>
  <c r="C2811" i="3" s="1"/>
  <c r="H2810" i="3"/>
  <c r="G2810" i="3"/>
  <c r="F2810" i="3"/>
  <c r="D2810" i="3"/>
  <c r="C2810" i="3" s="1"/>
  <c r="H2809" i="3"/>
  <c r="G2809" i="3"/>
  <c r="F2809" i="3"/>
  <c r="D2809" i="3"/>
  <c r="C2809" i="3"/>
  <c r="H2808" i="3"/>
  <c r="G2808" i="3"/>
  <c r="F2808" i="3"/>
  <c r="D2808" i="3"/>
  <c r="C2808" i="3"/>
  <c r="H2807" i="3"/>
  <c r="G2807" i="3"/>
  <c r="F2807" i="3"/>
  <c r="D2807" i="3"/>
  <c r="C2807" i="3" s="1"/>
  <c r="H2806" i="3"/>
  <c r="G2806" i="3"/>
  <c r="F2806" i="3"/>
  <c r="D2806" i="3"/>
  <c r="C2806" i="3"/>
  <c r="H2805" i="3"/>
  <c r="G2805" i="3"/>
  <c r="F2805" i="3"/>
  <c r="D2805" i="3"/>
  <c r="C2805" i="3"/>
  <c r="H2804" i="3"/>
  <c r="G2804" i="3"/>
  <c r="F2804" i="3"/>
  <c r="D2804" i="3"/>
  <c r="C2804" i="3"/>
  <c r="H2803" i="3"/>
  <c r="G2803" i="3"/>
  <c r="F2803" i="3"/>
  <c r="D2803" i="3"/>
  <c r="C2803" i="3" s="1"/>
  <c r="H2802" i="3"/>
  <c r="G2802" i="3"/>
  <c r="F2802" i="3"/>
  <c r="D2802" i="3"/>
  <c r="C2802" i="3" s="1"/>
  <c r="H2801" i="3"/>
  <c r="G2801" i="3"/>
  <c r="F2801" i="3"/>
  <c r="D2801" i="3"/>
  <c r="C2801" i="3"/>
  <c r="H2800" i="3"/>
  <c r="G2800" i="3"/>
  <c r="F2800" i="3"/>
  <c r="D2800" i="3"/>
  <c r="C2800" i="3"/>
  <c r="H2799" i="3"/>
  <c r="G2799" i="3"/>
  <c r="F2799" i="3"/>
  <c r="D2799" i="3"/>
  <c r="C2799" i="3"/>
  <c r="H2798" i="3"/>
  <c r="G2798" i="3"/>
  <c r="F2798" i="3"/>
  <c r="D2798" i="3"/>
  <c r="C2798" i="3"/>
  <c r="H2797" i="3"/>
  <c r="G2797" i="3"/>
  <c r="F2797" i="3"/>
  <c r="D2797" i="3"/>
  <c r="C2797" i="3"/>
  <c r="H2796" i="3"/>
  <c r="G2796" i="3"/>
  <c r="F2796" i="3"/>
  <c r="D2796" i="3"/>
  <c r="C2796" i="3" s="1"/>
  <c r="H2795" i="3"/>
  <c r="G2795" i="3"/>
  <c r="F2795" i="3"/>
  <c r="D2795" i="3"/>
  <c r="C2795" i="3" s="1"/>
  <c r="H2794" i="3"/>
  <c r="G2794" i="3"/>
  <c r="F2794" i="3"/>
  <c r="D2794" i="3"/>
  <c r="C2794" i="3" s="1"/>
  <c r="H2793" i="3"/>
  <c r="G2793" i="3"/>
  <c r="F2793" i="3"/>
  <c r="D2793" i="3"/>
  <c r="C2793" i="3"/>
  <c r="H2792" i="3"/>
  <c r="G2792" i="3"/>
  <c r="F2792" i="3"/>
  <c r="D2792" i="3"/>
  <c r="C2792" i="3"/>
  <c r="H2791" i="3"/>
  <c r="G2791" i="3"/>
  <c r="F2791" i="3"/>
  <c r="D2791" i="3"/>
  <c r="C2791" i="3" s="1"/>
  <c r="H2790" i="3"/>
  <c r="G2790" i="3"/>
  <c r="F2790" i="3"/>
  <c r="D2790" i="3"/>
  <c r="C2790" i="3"/>
  <c r="H2789" i="3"/>
  <c r="G2789" i="3"/>
  <c r="F2789" i="3"/>
  <c r="D2789" i="3"/>
  <c r="C2789" i="3"/>
  <c r="H2788" i="3"/>
  <c r="G2788" i="3"/>
  <c r="F2788" i="3"/>
  <c r="D2788" i="3"/>
  <c r="C2788" i="3"/>
  <c r="H2787" i="3"/>
  <c r="G2787" i="3"/>
  <c r="F2787" i="3"/>
  <c r="D2787" i="3"/>
  <c r="C2787" i="3" s="1"/>
  <c r="H2786" i="3"/>
  <c r="G2786" i="3"/>
  <c r="F2786" i="3"/>
  <c r="D2786" i="3"/>
  <c r="C2786" i="3" s="1"/>
  <c r="H2785" i="3"/>
  <c r="G2785" i="3"/>
  <c r="F2785" i="3"/>
  <c r="D2785" i="3"/>
  <c r="C2785" i="3"/>
  <c r="H2784" i="3"/>
  <c r="G2784" i="3"/>
  <c r="F2784" i="3"/>
  <c r="D2784" i="3"/>
  <c r="C2784" i="3"/>
  <c r="H2783" i="3"/>
  <c r="G2783" i="3"/>
  <c r="F2783" i="3"/>
  <c r="D2783" i="3"/>
  <c r="C2783" i="3" s="1"/>
  <c r="H2782" i="3"/>
  <c r="G2782" i="3"/>
  <c r="F2782" i="3"/>
  <c r="D2782" i="3"/>
  <c r="C2782" i="3"/>
  <c r="H2781" i="3"/>
  <c r="G2781" i="3"/>
  <c r="F2781" i="3"/>
  <c r="D2781" i="3"/>
  <c r="C2781" i="3"/>
  <c r="H2780" i="3"/>
  <c r="G2780" i="3"/>
  <c r="F2780" i="3"/>
  <c r="D2780" i="3"/>
  <c r="C2780" i="3" s="1"/>
  <c r="H2779" i="3"/>
  <c r="G2779" i="3"/>
  <c r="F2779" i="3"/>
  <c r="D2779" i="3"/>
  <c r="C2779" i="3" s="1"/>
  <c r="H2778" i="3"/>
  <c r="G2778" i="3"/>
  <c r="F2778" i="3"/>
  <c r="D2778" i="3"/>
  <c r="C2778" i="3" s="1"/>
  <c r="H2777" i="3"/>
  <c r="G2777" i="3"/>
  <c r="F2777" i="3"/>
  <c r="D2777" i="3"/>
  <c r="C2777" i="3"/>
  <c r="H2776" i="3"/>
  <c r="G2776" i="3"/>
  <c r="F2776" i="3"/>
  <c r="D2776" i="3"/>
  <c r="C2776" i="3"/>
  <c r="H2775" i="3"/>
  <c r="G2775" i="3"/>
  <c r="F2775" i="3"/>
  <c r="D2775" i="3"/>
  <c r="C2775" i="3" s="1"/>
  <c r="H2774" i="3"/>
  <c r="G2774" i="3"/>
  <c r="F2774" i="3"/>
  <c r="D2774" i="3"/>
  <c r="C2774" i="3"/>
  <c r="H2773" i="3"/>
  <c r="G2773" i="3"/>
  <c r="F2773" i="3"/>
  <c r="D2773" i="3"/>
  <c r="C2773" i="3"/>
  <c r="H2772" i="3"/>
  <c r="G2772" i="3"/>
  <c r="F2772" i="3"/>
  <c r="D2772" i="3"/>
  <c r="C2772" i="3"/>
  <c r="H2771" i="3"/>
  <c r="G2771" i="3"/>
  <c r="F2771" i="3"/>
  <c r="D2771" i="3"/>
  <c r="C2771" i="3" s="1"/>
  <c r="H2770" i="3"/>
  <c r="G2770" i="3"/>
  <c r="F2770" i="3"/>
  <c r="D2770" i="3"/>
  <c r="C2770" i="3" s="1"/>
  <c r="H2769" i="3"/>
  <c r="G2769" i="3"/>
  <c r="F2769" i="3"/>
  <c r="D2769" i="3"/>
  <c r="C2769" i="3"/>
  <c r="H2768" i="3"/>
  <c r="G2768" i="3"/>
  <c r="F2768" i="3"/>
  <c r="D2768" i="3"/>
  <c r="C2768" i="3"/>
  <c r="H2767" i="3"/>
  <c r="G2767" i="3"/>
  <c r="F2767" i="3"/>
  <c r="D2767" i="3"/>
  <c r="C2767" i="3"/>
  <c r="H2766" i="3"/>
  <c r="G2766" i="3"/>
  <c r="F2766" i="3"/>
  <c r="D2766" i="3"/>
  <c r="C2766" i="3"/>
  <c r="H2765" i="3"/>
  <c r="G2765" i="3"/>
  <c r="F2765" i="3"/>
  <c r="D2765" i="3"/>
  <c r="C2765" i="3"/>
  <c r="H2764" i="3"/>
  <c r="G2764" i="3"/>
  <c r="F2764" i="3"/>
  <c r="D2764" i="3"/>
  <c r="C2764" i="3" s="1"/>
  <c r="H2763" i="3"/>
  <c r="G2763" i="3"/>
  <c r="F2763" i="3"/>
  <c r="D2763" i="3"/>
  <c r="C2763" i="3" s="1"/>
  <c r="H2762" i="3"/>
  <c r="G2762" i="3"/>
  <c r="F2762" i="3"/>
  <c r="D2762" i="3"/>
  <c r="C2762" i="3" s="1"/>
  <c r="H2761" i="3"/>
  <c r="G2761" i="3"/>
  <c r="F2761" i="3"/>
  <c r="D2761" i="3"/>
  <c r="C2761" i="3"/>
  <c r="H2760" i="3"/>
  <c r="G2760" i="3"/>
  <c r="F2760" i="3"/>
  <c r="D2760" i="3"/>
  <c r="C2760" i="3"/>
  <c r="H2759" i="3"/>
  <c r="G2759" i="3"/>
  <c r="F2759" i="3"/>
  <c r="D2759" i="3"/>
  <c r="C2759" i="3" s="1"/>
  <c r="H2758" i="3"/>
  <c r="G2758" i="3"/>
  <c r="F2758" i="3"/>
  <c r="D2758" i="3"/>
  <c r="C2758" i="3"/>
  <c r="H2757" i="3"/>
  <c r="G2757" i="3"/>
  <c r="F2757" i="3"/>
  <c r="D2757" i="3"/>
  <c r="C2757" i="3"/>
  <c r="H2756" i="3"/>
  <c r="G2756" i="3"/>
  <c r="F2756" i="3"/>
  <c r="D2756" i="3"/>
  <c r="C2756" i="3"/>
  <c r="H2755" i="3"/>
  <c r="G2755" i="3"/>
  <c r="F2755" i="3"/>
  <c r="D2755" i="3"/>
  <c r="C2755" i="3" s="1"/>
  <c r="H2754" i="3"/>
  <c r="G2754" i="3"/>
  <c r="F2754" i="3"/>
  <c r="D2754" i="3"/>
  <c r="C2754" i="3" s="1"/>
  <c r="H2753" i="3"/>
  <c r="G2753" i="3"/>
  <c r="F2753" i="3"/>
  <c r="D2753" i="3"/>
  <c r="C2753" i="3"/>
  <c r="H2752" i="3"/>
  <c r="G2752" i="3"/>
  <c r="F2752" i="3"/>
  <c r="D2752" i="3"/>
  <c r="C2752" i="3"/>
  <c r="H2751" i="3"/>
  <c r="G2751" i="3"/>
  <c r="F2751" i="3"/>
  <c r="D2751" i="3"/>
  <c r="C2751" i="3"/>
  <c r="H2750" i="3"/>
  <c r="G2750" i="3"/>
  <c r="F2750" i="3"/>
  <c r="D2750" i="3"/>
  <c r="C2750" i="3"/>
  <c r="H2749" i="3"/>
  <c r="G2749" i="3"/>
  <c r="F2749" i="3"/>
  <c r="D2749" i="3"/>
  <c r="C2749" i="3"/>
  <c r="H2748" i="3"/>
  <c r="G2748" i="3"/>
  <c r="F2748" i="3"/>
  <c r="D2748" i="3"/>
  <c r="C2748" i="3" s="1"/>
  <c r="H2747" i="3"/>
  <c r="G2747" i="3"/>
  <c r="F2747" i="3"/>
  <c r="D2747" i="3"/>
  <c r="C2747" i="3" s="1"/>
  <c r="H2746" i="3"/>
  <c r="G2746" i="3"/>
  <c r="F2746" i="3"/>
  <c r="D2746" i="3"/>
  <c r="C2746" i="3" s="1"/>
  <c r="H2745" i="3"/>
  <c r="G2745" i="3"/>
  <c r="F2745" i="3"/>
  <c r="D2745" i="3"/>
  <c r="C2745" i="3"/>
  <c r="H2744" i="3"/>
  <c r="G2744" i="3"/>
  <c r="F2744" i="3"/>
  <c r="D2744" i="3"/>
  <c r="C2744" i="3"/>
  <c r="H2743" i="3"/>
  <c r="G2743" i="3"/>
  <c r="F2743" i="3"/>
  <c r="D2743" i="3"/>
  <c r="C2743" i="3" s="1"/>
  <c r="H2742" i="3"/>
  <c r="G2742" i="3"/>
  <c r="F2742" i="3"/>
  <c r="D2742" i="3"/>
  <c r="C2742" i="3"/>
  <c r="H2741" i="3"/>
  <c r="G2741" i="3"/>
  <c r="F2741" i="3"/>
  <c r="D2741" i="3"/>
  <c r="C2741" i="3"/>
  <c r="H2740" i="3"/>
  <c r="G2740" i="3"/>
  <c r="F2740" i="3"/>
  <c r="D2740" i="3"/>
  <c r="C2740" i="3"/>
  <c r="H2739" i="3"/>
  <c r="G2739" i="3"/>
  <c r="F2739" i="3"/>
  <c r="D2739" i="3"/>
  <c r="C2739" i="3" s="1"/>
  <c r="H2738" i="3"/>
  <c r="G2738" i="3"/>
  <c r="F2738" i="3"/>
  <c r="D2738" i="3"/>
  <c r="C2738" i="3" s="1"/>
  <c r="H2737" i="3"/>
  <c r="G2737" i="3"/>
  <c r="F2737" i="3"/>
  <c r="D2737" i="3"/>
  <c r="C2737" i="3"/>
  <c r="H2736" i="3"/>
  <c r="G2736" i="3"/>
  <c r="F2736" i="3"/>
  <c r="D2736" i="3"/>
  <c r="C2736" i="3"/>
  <c r="H2735" i="3"/>
  <c r="G2735" i="3"/>
  <c r="F2735" i="3"/>
  <c r="D2735" i="3"/>
  <c r="C2735" i="3"/>
  <c r="H2734" i="3"/>
  <c r="G2734" i="3"/>
  <c r="F2734" i="3"/>
  <c r="D2734" i="3"/>
  <c r="C2734" i="3"/>
  <c r="H2733" i="3"/>
  <c r="G2733" i="3"/>
  <c r="F2733" i="3"/>
  <c r="D2733" i="3"/>
  <c r="C2733" i="3"/>
  <c r="H2732" i="3"/>
  <c r="G2732" i="3"/>
  <c r="F2732" i="3"/>
  <c r="D2732" i="3"/>
  <c r="C2732" i="3" s="1"/>
  <c r="H2731" i="3"/>
  <c r="G2731" i="3"/>
  <c r="F2731" i="3"/>
  <c r="D2731" i="3"/>
  <c r="C2731" i="3" s="1"/>
  <c r="H2730" i="3"/>
  <c r="G2730" i="3"/>
  <c r="F2730" i="3"/>
  <c r="D2730" i="3"/>
  <c r="C2730" i="3" s="1"/>
  <c r="H2729" i="3"/>
  <c r="G2729" i="3"/>
  <c r="F2729" i="3"/>
  <c r="D2729" i="3"/>
  <c r="C2729" i="3"/>
  <c r="H2728" i="3"/>
  <c r="G2728" i="3"/>
  <c r="F2728" i="3"/>
  <c r="D2728" i="3"/>
  <c r="C2728" i="3"/>
  <c r="H2727" i="3"/>
  <c r="G2727" i="3"/>
  <c r="F2727" i="3"/>
  <c r="D2727" i="3"/>
  <c r="C2727" i="3" s="1"/>
  <c r="H2726" i="3"/>
  <c r="G2726" i="3"/>
  <c r="F2726" i="3"/>
  <c r="D2726" i="3"/>
  <c r="C2726" i="3"/>
  <c r="H2725" i="3"/>
  <c r="G2725" i="3"/>
  <c r="F2725" i="3"/>
  <c r="D2725" i="3"/>
  <c r="C2725" i="3"/>
  <c r="H2724" i="3"/>
  <c r="G2724" i="3"/>
  <c r="F2724" i="3"/>
  <c r="D2724" i="3"/>
  <c r="C2724" i="3"/>
  <c r="H2723" i="3"/>
  <c r="G2723" i="3"/>
  <c r="F2723" i="3"/>
  <c r="D2723" i="3"/>
  <c r="C2723" i="3" s="1"/>
  <c r="H2722" i="3"/>
  <c r="G2722" i="3"/>
  <c r="F2722" i="3"/>
  <c r="D2722" i="3"/>
  <c r="C2722" i="3" s="1"/>
  <c r="H2721" i="3"/>
  <c r="G2721" i="3"/>
  <c r="F2721" i="3"/>
  <c r="D2721" i="3"/>
  <c r="C2721" i="3"/>
  <c r="H2720" i="3"/>
  <c r="G2720" i="3"/>
  <c r="F2720" i="3"/>
  <c r="D2720" i="3"/>
  <c r="C2720" i="3"/>
  <c r="H2719" i="3"/>
  <c r="G2719" i="3"/>
  <c r="F2719" i="3"/>
  <c r="D2719" i="3"/>
  <c r="C2719" i="3"/>
  <c r="H2718" i="3"/>
  <c r="G2718" i="3"/>
  <c r="F2718" i="3"/>
  <c r="D2718" i="3"/>
  <c r="C2718" i="3"/>
  <c r="H2717" i="3"/>
  <c r="G2717" i="3"/>
  <c r="F2717" i="3"/>
  <c r="D2717" i="3"/>
  <c r="C2717" i="3"/>
  <c r="H2716" i="3"/>
  <c r="G2716" i="3"/>
  <c r="F2716" i="3"/>
  <c r="D2716" i="3"/>
  <c r="C2716" i="3" s="1"/>
  <c r="H2715" i="3"/>
  <c r="G2715" i="3"/>
  <c r="F2715" i="3"/>
  <c r="D2715" i="3"/>
  <c r="C2715" i="3" s="1"/>
  <c r="H2714" i="3"/>
  <c r="G2714" i="3"/>
  <c r="F2714" i="3"/>
  <c r="D2714" i="3"/>
  <c r="C2714" i="3" s="1"/>
  <c r="H2713" i="3"/>
  <c r="G2713" i="3"/>
  <c r="F2713" i="3"/>
  <c r="D2713" i="3"/>
  <c r="C2713" i="3"/>
  <c r="H2712" i="3"/>
  <c r="G2712" i="3"/>
  <c r="F2712" i="3"/>
  <c r="D2712" i="3"/>
  <c r="C2712" i="3"/>
  <c r="H2711" i="3"/>
  <c r="G2711" i="3"/>
  <c r="F2711" i="3"/>
  <c r="D2711" i="3"/>
  <c r="C2711" i="3" s="1"/>
  <c r="H2710" i="3"/>
  <c r="G2710" i="3"/>
  <c r="F2710" i="3"/>
  <c r="D2710" i="3"/>
  <c r="C2710" i="3"/>
  <c r="H2709" i="3"/>
  <c r="G2709" i="3"/>
  <c r="F2709" i="3"/>
  <c r="D2709" i="3"/>
  <c r="C2709" i="3"/>
  <c r="H2708" i="3"/>
  <c r="G2708" i="3"/>
  <c r="F2708" i="3"/>
  <c r="D2708" i="3"/>
  <c r="C2708" i="3"/>
  <c r="H2707" i="3"/>
  <c r="G2707" i="3"/>
  <c r="F2707" i="3"/>
  <c r="D2707" i="3"/>
  <c r="C2707" i="3" s="1"/>
  <c r="H2706" i="3"/>
  <c r="G2706" i="3"/>
  <c r="F2706" i="3"/>
  <c r="D2706" i="3"/>
  <c r="C2706" i="3" s="1"/>
  <c r="H2705" i="3"/>
  <c r="G2705" i="3"/>
  <c r="F2705" i="3"/>
  <c r="D2705" i="3"/>
  <c r="C2705" i="3"/>
  <c r="H2704" i="3"/>
  <c r="G2704" i="3"/>
  <c r="F2704" i="3"/>
  <c r="D2704" i="3"/>
  <c r="C2704" i="3"/>
  <c r="H2703" i="3"/>
  <c r="G2703" i="3"/>
  <c r="F2703" i="3"/>
  <c r="D2703" i="3"/>
  <c r="C2703" i="3"/>
  <c r="H2702" i="3"/>
  <c r="G2702" i="3"/>
  <c r="F2702" i="3"/>
  <c r="D2702" i="3"/>
  <c r="C2702" i="3"/>
  <c r="H2701" i="3"/>
  <c r="G2701" i="3"/>
  <c r="F2701" i="3"/>
  <c r="D2701" i="3"/>
  <c r="C2701" i="3"/>
  <c r="H2700" i="3"/>
  <c r="G2700" i="3"/>
  <c r="F2700" i="3"/>
  <c r="D2700" i="3"/>
  <c r="C2700" i="3" s="1"/>
  <c r="H2699" i="3"/>
  <c r="G2699" i="3"/>
  <c r="F2699" i="3"/>
  <c r="D2699" i="3"/>
  <c r="C2699" i="3" s="1"/>
  <c r="H2698" i="3"/>
  <c r="G2698" i="3"/>
  <c r="F2698" i="3"/>
  <c r="D2698" i="3"/>
  <c r="C2698" i="3" s="1"/>
  <c r="H2697" i="3"/>
  <c r="G2697" i="3"/>
  <c r="F2697" i="3"/>
  <c r="D2697" i="3"/>
  <c r="C2697" i="3"/>
  <c r="H2696" i="3"/>
  <c r="G2696" i="3"/>
  <c r="F2696" i="3"/>
  <c r="D2696" i="3"/>
  <c r="C2696" i="3"/>
  <c r="H2695" i="3"/>
  <c r="G2695" i="3"/>
  <c r="F2695" i="3"/>
  <c r="D2695" i="3"/>
  <c r="C2695" i="3" s="1"/>
  <c r="H2694" i="3"/>
  <c r="G2694" i="3"/>
  <c r="F2694" i="3"/>
  <c r="D2694" i="3"/>
  <c r="C2694" i="3"/>
  <c r="H2693" i="3"/>
  <c r="G2693" i="3"/>
  <c r="F2693" i="3"/>
  <c r="D2693" i="3"/>
  <c r="C2693" i="3"/>
  <c r="H2692" i="3"/>
  <c r="G2692" i="3"/>
  <c r="F2692" i="3"/>
  <c r="D2692" i="3"/>
  <c r="C2692" i="3"/>
  <c r="H2691" i="3"/>
  <c r="G2691" i="3"/>
  <c r="F2691" i="3"/>
  <c r="D2691" i="3"/>
  <c r="C2691" i="3" s="1"/>
  <c r="H2690" i="3"/>
  <c r="G2690" i="3"/>
  <c r="F2690" i="3"/>
  <c r="D2690" i="3"/>
  <c r="C2690" i="3" s="1"/>
  <c r="H2689" i="3"/>
  <c r="G2689" i="3"/>
  <c r="F2689" i="3"/>
  <c r="D2689" i="3"/>
  <c r="C2689" i="3"/>
  <c r="H2688" i="3"/>
  <c r="G2688" i="3"/>
  <c r="F2688" i="3"/>
  <c r="D2688" i="3"/>
  <c r="C2688" i="3"/>
  <c r="H2687" i="3"/>
  <c r="G2687" i="3"/>
  <c r="F2687" i="3"/>
  <c r="D2687" i="3"/>
  <c r="C2687" i="3"/>
  <c r="H2686" i="3"/>
  <c r="G2686" i="3"/>
  <c r="F2686" i="3"/>
  <c r="D2686" i="3"/>
  <c r="C2686" i="3"/>
  <c r="H2685" i="3"/>
  <c r="G2685" i="3"/>
  <c r="F2685" i="3"/>
  <c r="D2685" i="3"/>
  <c r="C2685" i="3"/>
  <c r="H2684" i="3"/>
  <c r="G2684" i="3"/>
  <c r="F2684" i="3"/>
  <c r="D2684" i="3"/>
  <c r="C2684" i="3" s="1"/>
  <c r="H2683" i="3"/>
  <c r="G2683" i="3"/>
  <c r="F2683" i="3"/>
  <c r="D2683" i="3"/>
  <c r="C2683" i="3" s="1"/>
  <c r="H2682" i="3"/>
  <c r="G2682" i="3"/>
  <c r="F2682" i="3"/>
  <c r="D2682" i="3"/>
  <c r="C2682" i="3" s="1"/>
  <c r="H2681" i="3"/>
  <c r="G2681" i="3"/>
  <c r="F2681" i="3"/>
  <c r="D2681" i="3"/>
  <c r="C2681" i="3"/>
  <c r="H2680" i="3"/>
  <c r="G2680" i="3"/>
  <c r="F2680" i="3"/>
  <c r="D2680" i="3"/>
  <c r="C2680" i="3"/>
  <c r="H2679" i="3"/>
  <c r="G2679" i="3"/>
  <c r="F2679" i="3"/>
  <c r="D2679" i="3"/>
  <c r="C2679" i="3" s="1"/>
  <c r="H2678" i="3"/>
  <c r="G2678" i="3"/>
  <c r="F2678" i="3"/>
  <c r="D2678" i="3"/>
  <c r="C2678" i="3"/>
  <c r="H2677" i="3"/>
  <c r="G2677" i="3"/>
  <c r="F2677" i="3"/>
  <c r="D2677" i="3"/>
  <c r="C2677" i="3"/>
  <c r="H2676" i="3"/>
  <c r="G2676" i="3"/>
  <c r="F2676" i="3"/>
  <c r="D2676" i="3"/>
  <c r="C2676" i="3"/>
  <c r="H2675" i="3"/>
  <c r="G2675" i="3"/>
  <c r="F2675" i="3"/>
  <c r="D2675" i="3"/>
  <c r="C2675" i="3" s="1"/>
  <c r="H2674" i="3"/>
  <c r="G2674" i="3"/>
  <c r="F2674" i="3"/>
  <c r="D2674" i="3"/>
  <c r="C2674" i="3" s="1"/>
  <c r="H2673" i="3"/>
  <c r="G2673" i="3"/>
  <c r="F2673" i="3"/>
  <c r="D2673" i="3"/>
  <c r="C2673" i="3"/>
  <c r="H2672" i="3"/>
  <c r="G2672" i="3"/>
  <c r="F2672" i="3"/>
  <c r="D2672" i="3"/>
  <c r="C2672" i="3"/>
  <c r="H2671" i="3"/>
  <c r="G2671" i="3"/>
  <c r="F2671" i="3"/>
  <c r="D2671" i="3"/>
  <c r="C2671" i="3"/>
  <c r="H2670" i="3"/>
  <c r="G2670" i="3"/>
  <c r="F2670" i="3"/>
  <c r="D2670" i="3"/>
  <c r="C2670" i="3"/>
  <c r="H2669" i="3"/>
  <c r="G2669" i="3"/>
  <c r="F2669" i="3"/>
  <c r="D2669" i="3"/>
  <c r="C2669" i="3"/>
  <c r="H2668" i="3"/>
  <c r="G2668" i="3"/>
  <c r="F2668" i="3"/>
  <c r="D2668" i="3"/>
  <c r="C2668" i="3" s="1"/>
  <c r="H2667" i="3"/>
  <c r="G2667" i="3"/>
  <c r="F2667" i="3"/>
  <c r="D2667" i="3"/>
  <c r="C2667" i="3" s="1"/>
  <c r="H2666" i="3"/>
  <c r="G2666" i="3"/>
  <c r="F2666" i="3"/>
  <c r="D2666" i="3"/>
  <c r="C2666" i="3" s="1"/>
  <c r="H2665" i="3"/>
  <c r="G2665" i="3"/>
  <c r="F2665" i="3"/>
  <c r="D2665" i="3"/>
  <c r="C2665" i="3"/>
  <c r="H2664" i="3"/>
  <c r="G2664" i="3"/>
  <c r="F2664" i="3"/>
  <c r="D2664" i="3"/>
  <c r="C2664" i="3"/>
  <c r="H2663" i="3"/>
  <c r="G2663" i="3"/>
  <c r="F2663" i="3"/>
  <c r="D2663" i="3"/>
  <c r="C2663" i="3" s="1"/>
  <c r="H2662" i="3"/>
  <c r="G2662" i="3"/>
  <c r="F2662" i="3"/>
  <c r="D2662" i="3"/>
  <c r="C2662" i="3"/>
  <c r="H2661" i="3"/>
  <c r="G2661" i="3"/>
  <c r="F2661" i="3"/>
  <c r="D2661" i="3"/>
  <c r="C2661" i="3"/>
  <c r="H2660" i="3"/>
  <c r="G2660" i="3"/>
  <c r="F2660" i="3"/>
  <c r="D2660" i="3"/>
  <c r="C2660" i="3"/>
  <c r="H2659" i="3"/>
  <c r="G2659" i="3"/>
  <c r="F2659" i="3"/>
  <c r="D2659" i="3"/>
  <c r="C2659" i="3" s="1"/>
  <c r="H2658" i="3"/>
  <c r="G2658" i="3"/>
  <c r="F2658" i="3"/>
  <c r="D2658" i="3"/>
  <c r="C2658" i="3" s="1"/>
  <c r="H2657" i="3"/>
  <c r="G2657" i="3"/>
  <c r="F2657" i="3"/>
  <c r="D2657" i="3"/>
  <c r="C2657" i="3"/>
  <c r="H2656" i="3"/>
  <c r="G2656" i="3"/>
  <c r="F2656" i="3"/>
  <c r="D2656" i="3"/>
  <c r="C2656" i="3"/>
  <c r="H2655" i="3"/>
  <c r="G2655" i="3"/>
  <c r="F2655" i="3"/>
  <c r="D2655" i="3"/>
  <c r="C2655" i="3"/>
  <c r="H2654" i="3"/>
  <c r="G2654" i="3"/>
  <c r="F2654" i="3"/>
  <c r="D2654" i="3"/>
  <c r="C2654" i="3"/>
  <c r="H2653" i="3"/>
  <c r="G2653" i="3"/>
  <c r="F2653" i="3"/>
  <c r="D2653" i="3"/>
  <c r="C2653" i="3"/>
  <c r="H2652" i="3"/>
  <c r="G2652" i="3"/>
  <c r="F2652" i="3"/>
  <c r="D2652" i="3"/>
  <c r="C2652" i="3" s="1"/>
  <c r="H2651" i="3"/>
  <c r="G2651" i="3"/>
  <c r="F2651" i="3"/>
  <c r="D2651" i="3"/>
  <c r="C2651" i="3" s="1"/>
  <c r="H2650" i="3"/>
  <c r="G2650" i="3"/>
  <c r="F2650" i="3"/>
  <c r="D2650" i="3"/>
  <c r="C2650" i="3" s="1"/>
  <c r="H2649" i="3"/>
  <c r="G2649" i="3"/>
  <c r="F2649" i="3"/>
  <c r="D2649" i="3"/>
  <c r="C2649" i="3"/>
  <c r="H2648" i="3"/>
  <c r="G2648" i="3"/>
  <c r="F2648" i="3"/>
  <c r="D2648" i="3"/>
  <c r="C2648" i="3"/>
  <c r="H2647" i="3"/>
  <c r="G2647" i="3"/>
  <c r="F2647" i="3"/>
  <c r="D2647" i="3"/>
  <c r="C2647" i="3" s="1"/>
  <c r="H2646" i="3"/>
  <c r="G2646" i="3"/>
  <c r="F2646" i="3"/>
  <c r="D2646" i="3"/>
  <c r="C2646" i="3"/>
  <c r="H2645" i="3"/>
  <c r="G2645" i="3"/>
  <c r="F2645" i="3"/>
  <c r="D2645" i="3"/>
  <c r="C2645" i="3"/>
  <c r="H2644" i="3"/>
  <c r="G2644" i="3"/>
  <c r="F2644" i="3"/>
  <c r="D2644" i="3"/>
  <c r="C2644" i="3"/>
  <c r="H2643" i="3"/>
  <c r="G2643" i="3"/>
  <c r="F2643" i="3"/>
  <c r="D2643" i="3"/>
  <c r="C2643" i="3" s="1"/>
  <c r="H2642" i="3"/>
  <c r="G2642" i="3"/>
  <c r="F2642" i="3"/>
  <c r="D2642" i="3"/>
  <c r="C2642" i="3" s="1"/>
  <c r="H2641" i="3"/>
  <c r="G2641" i="3"/>
  <c r="F2641" i="3"/>
  <c r="D2641" i="3"/>
  <c r="C2641" i="3"/>
  <c r="H2640" i="3"/>
  <c r="G2640" i="3"/>
  <c r="F2640" i="3"/>
  <c r="D2640" i="3"/>
  <c r="C2640" i="3"/>
  <c r="H2639" i="3"/>
  <c r="G2639" i="3"/>
  <c r="F2639" i="3"/>
  <c r="D2639" i="3"/>
  <c r="C2639" i="3"/>
  <c r="H2638" i="3"/>
  <c r="G2638" i="3"/>
  <c r="F2638" i="3"/>
  <c r="D2638" i="3"/>
  <c r="C2638" i="3"/>
  <c r="H2637" i="3"/>
  <c r="G2637" i="3"/>
  <c r="F2637" i="3"/>
  <c r="D2637" i="3"/>
  <c r="C2637" i="3"/>
  <c r="H2636" i="3"/>
  <c r="G2636" i="3"/>
  <c r="F2636" i="3"/>
  <c r="D2636" i="3"/>
  <c r="C2636" i="3" s="1"/>
  <c r="H2635" i="3"/>
  <c r="G2635" i="3"/>
  <c r="F2635" i="3"/>
  <c r="D2635" i="3"/>
  <c r="C2635" i="3" s="1"/>
  <c r="H2634" i="3"/>
  <c r="G2634" i="3"/>
  <c r="F2634" i="3"/>
  <c r="D2634" i="3"/>
  <c r="C2634" i="3" s="1"/>
  <c r="H2633" i="3"/>
  <c r="G2633" i="3"/>
  <c r="F2633" i="3"/>
  <c r="D2633" i="3"/>
  <c r="C2633" i="3"/>
  <c r="H2632" i="3"/>
  <c r="G2632" i="3"/>
  <c r="F2632" i="3"/>
  <c r="D2632" i="3"/>
  <c r="C2632" i="3" s="1"/>
  <c r="H2631" i="3"/>
  <c r="G2631" i="3"/>
  <c r="F2631" i="3"/>
  <c r="D2631" i="3"/>
  <c r="C2631" i="3"/>
  <c r="H2630" i="3"/>
  <c r="G2630" i="3"/>
  <c r="F2630" i="3"/>
  <c r="D2630" i="3"/>
  <c r="C2630" i="3"/>
  <c r="H2629" i="3"/>
  <c r="G2629" i="3"/>
  <c r="F2629" i="3"/>
  <c r="D2629" i="3"/>
  <c r="C2629" i="3"/>
  <c r="H2628" i="3"/>
  <c r="G2628" i="3"/>
  <c r="F2628" i="3"/>
  <c r="D2628" i="3"/>
  <c r="C2628" i="3"/>
  <c r="H2627" i="3"/>
  <c r="G2627" i="3"/>
  <c r="F2627" i="3"/>
  <c r="D2627" i="3"/>
  <c r="C2627" i="3" s="1"/>
  <c r="H2626" i="3"/>
  <c r="G2626" i="3"/>
  <c r="F2626" i="3"/>
  <c r="D2626" i="3"/>
  <c r="C2626" i="3" s="1"/>
  <c r="H2625" i="3"/>
  <c r="G2625" i="3"/>
  <c r="F2625" i="3"/>
  <c r="D2625" i="3"/>
  <c r="C2625" i="3"/>
  <c r="H2624" i="3"/>
  <c r="G2624" i="3"/>
  <c r="F2624" i="3"/>
  <c r="D2624" i="3"/>
  <c r="C2624" i="3" s="1"/>
  <c r="H2623" i="3"/>
  <c r="G2623" i="3"/>
  <c r="F2623" i="3"/>
  <c r="D2623" i="3"/>
  <c r="C2623" i="3" s="1"/>
  <c r="H2622" i="3"/>
  <c r="G2622" i="3"/>
  <c r="F2622" i="3"/>
  <c r="D2622" i="3"/>
  <c r="C2622" i="3"/>
  <c r="H2621" i="3"/>
  <c r="G2621" i="3"/>
  <c r="F2621" i="3"/>
  <c r="D2621" i="3"/>
  <c r="C2621" i="3"/>
  <c r="H2620" i="3"/>
  <c r="G2620" i="3"/>
  <c r="F2620" i="3"/>
  <c r="D2620" i="3"/>
  <c r="C2620" i="3" s="1"/>
  <c r="H2619" i="3"/>
  <c r="G2619" i="3"/>
  <c r="F2619" i="3"/>
  <c r="D2619" i="3"/>
  <c r="C2619" i="3" s="1"/>
  <c r="H2618" i="3"/>
  <c r="G2618" i="3"/>
  <c r="F2618" i="3"/>
  <c r="D2618" i="3"/>
  <c r="C2618" i="3" s="1"/>
  <c r="H2617" i="3"/>
  <c r="G2617" i="3"/>
  <c r="F2617" i="3"/>
  <c r="D2617" i="3"/>
  <c r="C2617" i="3"/>
  <c r="H2616" i="3"/>
  <c r="G2616" i="3"/>
  <c r="F2616" i="3"/>
  <c r="D2616" i="3"/>
  <c r="C2616" i="3" s="1"/>
  <c r="H2615" i="3"/>
  <c r="G2615" i="3"/>
  <c r="F2615" i="3"/>
  <c r="D2615" i="3"/>
  <c r="C2615" i="3" s="1"/>
  <c r="H2614" i="3"/>
  <c r="G2614" i="3"/>
  <c r="F2614" i="3"/>
  <c r="D2614" i="3"/>
  <c r="C2614" i="3"/>
  <c r="H2613" i="3"/>
  <c r="G2613" i="3"/>
  <c r="F2613" i="3"/>
  <c r="D2613" i="3"/>
  <c r="C2613" i="3"/>
  <c r="H2612" i="3"/>
  <c r="G2612" i="3"/>
  <c r="F2612" i="3"/>
  <c r="D2612" i="3"/>
  <c r="C2612" i="3" s="1"/>
  <c r="H2611" i="3"/>
  <c r="G2611" i="3"/>
  <c r="F2611" i="3"/>
  <c r="D2611" i="3"/>
  <c r="C2611" i="3" s="1"/>
  <c r="H2610" i="3"/>
  <c r="G2610" i="3"/>
  <c r="F2610" i="3"/>
  <c r="D2610" i="3"/>
  <c r="C2610" i="3" s="1"/>
  <c r="H2609" i="3"/>
  <c r="G2609" i="3"/>
  <c r="F2609" i="3"/>
  <c r="D2609" i="3"/>
  <c r="C2609" i="3"/>
  <c r="H2608" i="3"/>
  <c r="G2608" i="3"/>
  <c r="F2608" i="3"/>
  <c r="D2608" i="3"/>
  <c r="C2608" i="3" s="1"/>
  <c r="H2607" i="3"/>
  <c r="G2607" i="3"/>
  <c r="F2607" i="3"/>
  <c r="D2607" i="3"/>
  <c r="C2607" i="3"/>
  <c r="H2606" i="3"/>
  <c r="G2606" i="3"/>
  <c r="F2606" i="3"/>
  <c r="D2606" i="3"/>
  <c r="C2606" i="3"/>
  <c r="H2605" i="3"/>
  <c r="G2605" i="3"/>
  <c r="F2605" i="3"/>
  <c r="D2605" i="3"/>
  <c r="C2605" i="3"/>
  <c r="H2604" i="3"/>
  <c r="G2604" i="3"/>
  <c r="F2604" i="3"/>
  <c r="D2604" i="3"/>
  <c r="C2604" i="3" s="1"/>
  <c r="H2603" i="3"/>
  <c r="G2603" i="3"/>
  <c r="F2603" i="3"/>
  <c r="D2603" i="3"/>
  <c r="C2603" i="3" s="1"/>
  <c r="H2602" i="3"/>
  <c r="G2602" i="3"/>
  <c r="F2602" i="3"/>
  <c r="D2602" i="3"/>
  <c r="C2602" i="3" s="1"/>
  <c r="H2601" i="3"/>
  <c r="G2601" i="3"/>
  <c r="F2601" i="3"/>
  <c r="D2601" i="3"/>
  <c r="C2601" i="3"/>
  <c r="H2600" i="3"/>
  <c r="G2600" i="3"/>
  <c r="F2600" i="3"/>
  <c r="D2600" i="3"/>
  <c r="C2600" i="3"/>
  <c r="H2599" i="3"/>
  <c r="G2599" i="3"/>
  <c r="F2599" i="3"/>
  <c r="D2599" i="3"/>
  <c r="C2599" i="3" s="1"/>
  <c r="H2598" i="3"/>
  <c r="G2598" i="3"/>
  <c r="F2598" i="3"/>
  <c r="D2598" i="3"/>
  <c r="C2598" i="3"/>
  <c r="H2597" i="3"/>
  <c r="G2597" i="3"/>
  <c r="F2597" i="3"/>
  <c r="D2597" i="3"/>
  <c r="C2597" i="3"/>
  <c r="H2596" i="3"/>
  <c r="G2596" i="3"/>
  <c r="F2596" i="3"/>
  <c r="D2596" i="3"/>
  <c r="C2596" i="3" s="1"/>
  <c r="H2595" i="3"/>
  <c r="G2595" i="3"/>
  <c r="F2595" i="3"/>
  <c r="D2595" i="3"/>
  <c r="C2595" i="3" s="1"/>
  <c r="H2594" i="3"/>
  <c r="G2594" i="3"/>
  <c r="F2594" i="3"/>
  <c r="D2594" i="3"/>
  <c r="C2594" i="3" s="1"/>
  <c r="H2593" i="3"/>
  <c r="G2593" i="3"/>
  <c r="F2593" i="3"/>
  <c r="D2593" i="3"/>
  <c r="C2593" i="3"/>
  <c r="H2592" i="3"/>
  <c r="G2592" i="3"/>
  <c r="F2592" i="3"/>
  <c r="D2592" i="3"/>
  <c r="C2592" i="3"/>
  <c r="H2591" i="3"/>
  <c r="G2591" i="3"/>
  <c r="F2591" i="3"/>
  <c r="D2591" i="3"/>
  <c r="C2591" i="3"/>
  <c r="H2590" i="3"/>
  <c r="G2590" i="3"/>
  <c r="F2590" i="3"/>
  <c r="D2590" i="3"/>
  <c r="C2590" i="3"/>
  <c r="H2589" i="3"/>
  <c r="G2589" i="3"/>
  <c r="F2589" i="3"/>
  <c r="D2589" i="3"/>
  <c r="C2589" i="3"/>
  <c r="H2588" i="3"/>
  <c r="G2588" i="3"/>
  <c r="F2588" i="3"/>
  <c r="D2588" i="3"/>
  <c r="C2588" i="3" s="1"/>
  <c r="H2587" i="3"/>
  <c r="G2587" i="3"/>
  <c r="F2587" i="3"/>
  <c r="D2587" i="3"/>
  <c r="C2587" i="3" s="1"/>
  <c r="H2586" i="3"/>
  <c r="G2586" i="3"/>
  <c r="F2586" i="3"/>
  <c r="D2586" i="3"/>
  <c r="C2586" i="3" s="1"/>
  <c r="H2585" i="3"/>
  <c r="G2585" i="3"/>
  <c r="F2585" i="3"/>
  <c r="D2585" i="3"/>
  <c r="C2585" i="3"/>
  <c r="H2584" i="3"/>
  <c r="G2584" i="3"/>
  <c r="F2584" i="3"/>
  <c r="D2584" i="3"/>
  <c r="C2584" i="3"/>
  <c r="H2583" i="3"/>
  <c r="G2583" i="3"/>
  <c r="F2583" i="3"/>
  <c r="D2583" i="3"/>
  <c r="C2583" i="3" s="1"/>
  <c r="H2582" i="3"/>
  <c r="G2582" i="3"/>
  <c r="F2582" i="3"/>
  <c r="D2582" i="3"/>
  <c r="C2582" i="3"/>
  <c r="H2581" i="3"/>
  <c r="G2581" i="3"/>
  <c r="F2581" i="3"/>
  <c r="D2581" i="3"/>
  <c r="C2581" i="3"/>
  <c r="H2580" i="3"/>
  <c r="G2580" i="3"/>
  <c r="F2580" i="3"/>
  <c r="D2580" i="3"/>
  <c r="C2580" i="3"/>
  <c r="H2579" i="3"/>
  <c r="G2579" i="3"/>
  <c r="F2579" i="3"/>
  <c r="D2579" i="3"/>
  <c r="C2579" i="3" s="1"/>
  <c r="H2578" i="3"/>
  <c r="G2578" i="3"/>
  <c r="F2578" i="3"/>
  <c r="D2578" i="3"/>
  <c r="C2578" i="3" s="1"/>
  <c r="H2577" i="3"/>
  <c r="G2577" i="3"/>
  <c r="F2577" i="3"/>
  <c r="D2577" i="3"/>
  <c r="C2577" i="3"/>
  <c r="H2576" i="3"/>
  <c r="G2576" i="3"/>
  <c r="F2576" i="3"/>
  <c r="D2576" i="3"/>
  <c r="C2576" i="3"/>
  <c r="H2575" i="3"/>
  <c r="G2575" i="3"/>
  <c r="F2575" i="3"/>
  <c r="D2575" i="3"/>
  <c r="C2575" i="3"/>
  <c r="H2574" i="3"/>
  <c r="G2574" i="3"/>
  <c r="F2574" i="3"/>
  <c r="D2574" i="3"/>
  <c r="C2574" i="3"/>
  <c r="H2573" i="3"/>
  <c r="G2573" i="3"/>
  <c r="F2573" i="3"/>
  <c r="D2573" i="3"/>
  <c r="C2573" i="3"/>
  <c r="H2572" i="3"/>
  <c r="G2572" i="3"/>
  <c r="F2572" i="3"/>
  <c r="D2572" i="3"/>
  <c r="C2572" i="3" s="1"/>
  <c r="H2571" i="3"/>
  <c r="G2571" i="3"/>
  <c r="F2571" i="3"/>
  <c r="D2571" i="3"/>
  <c r="C2571" i="3" s="1"/>
  <c r="H2570" i="3"/>
  <c r="G2570" i="3"/>
  <c r="F2570" i="3"/>
  <c r="D2570" i="3"/>
  <c r="C2570" i="3" s="1"/>
  <c r="H2569" i="3"/>
  <c r="G2569" i="3"/>
  <c r="F2569" i="3"/>
  <c r="D2569" i="3"/>
  <c r="C2569" i="3"/>
  <c r="H2568" i="3"/>
  <c r="G2568" i="3"/>
  <c r="F2568" i="3"/>
  <c r="D2568" i="3"/>
  <c r="C2568" i="3"/>
  <c r="H2567" i="3"/>
  <c r="G2567" i="3"/>
  <c r="F2567" i="3"/>
  <c r="D2567" i="3"/>
  <c r="C2567" i="3" s="1"/>
  <c r="H2566" i="3"/>
  <c r="G2566" i="3"/>
  <c r="F2566" i="3"/>
  <c r="D2566" i="3"/>
  <c r="C2566" i="3"/>
  <c r="H2565" i="3"/>
  <c r="G2565" i="3"/>
  <c r="F2565" i="3"/>
  <c r="D2565" i="3"/>
  <c r="C2565" i="3"/>
  <c r="H2564" i="3"/>
  <c r="G2564" i="3"/>
  <c r="F2564" i="3"/>
  <c r="D2564" i="3"/>
  <c r="C2564" i="3" s="1"/>
  <c r="H2563" i="3"/>
  <c r="G2563" i="3"/>
  <c r="F2563" i="3"/>
  <c r="D2563" i="3"/>
  <c r="C2563" i="3" s="1"/>
  <c r="H2562" i="3"/>
  <c r="G2562" i="3"/>
  <c r="F2562" i="3"/>
  <c r="D2562" i="3"/>
  <c r="C2562" i="3" s="1"/>
  <c r="H2561" i="3"/>
  <c r="G2561" i="3"/>
  <c r="F2561" i="3"/>
  <c r="D2561" i="3"/>
  <c r="C2561" i="3"/>
  <c r="H2560" i="3"/>
  <c r="G2560" i="3"/>
  <c r="F2560" i="3"/>
  <c r="D2560" i="3"/>
  <c r="C2560" i="3"/>
  <c r="H2559" i="3"/>
  <c r="G2559" i="3"/>
  <c r="F2559" i="3"/>
  <c r="D2559" i="3"/>
  <c r="C2559" i="3"/>
  <c r="H2558" i="3"/>
  <c r="G2558" i="3"/>
  <c r="F2558" i="3"/>
  <c r="D2558" i="3"/>
  <c r="C2558" i="3"/>
  <c r="H2557" i="3"/>
  <c r="G2557" i="3"/>
  <c r="F2557" i="3"/>
  <c r="D2557" i="3"/>
  <c r="C2557" i="3"/>
  <c r="H2556" i="3"/>
  <c r="G2556" i="3"/>
  <c r="F2556" i="3"/>
  <c r="D2556" i="3"/>
  <c r="C2556" i="3" s="1"/>
  <c r="H2555" i="3"/>
  <c r="G2555" i="3"/>
  <c r="F2555" i="3"/>
  <c r="D2555" i="3"/>
  <c r="C2555" i="3" s="1"/>
  <c r="H2554" i="3"/>
  <c r="G2554" i="3"/>
  <c r="F2554" i="3"/>
  <c r="D2554" i="3"/>
  <c r="C2554" i="3" s="1"/>
  <c r="H2553" i="3"/>
  <c r="G2553" i="3"/>
  <c r="F2553" i="3"/>
  <c r="D2553" i="3"/>
  <c r="C2553" i="3"/>
  <c r="H2552" i="3"/>
  <c r="G2552" i="3"/>
  <c r="F2552" i="3"/>
  <c r="D2552" i="3"/>
  <c r="C2552" i="3"/>
  <c r="H2551" i="3"/>
  <c r="G2551" i="3"/>
  <c r="F2551" i="3"/>
  <c r="D2551" i="3"/>
  <c r="C2551" i="3" s="1"/>
  <c r="H2550" i="3"/>
  <c r="G2550" i="3"/>
  <c r="F2550" i="3"/>
  <c r="D2550" i="3"/>
  <c r="C2550" i="3"/>
  <c r="H2549" i="3"/>
  <c r="G2549" i="3"/>
  <c r="F2549" i="3"/>
  <c r="D2549" i="3"/>
  <c r="C2549" i="3"/>
  <c r="H2548" i="3"/>
  <c r="G2548" i="3"/>
  <c r="F2548" i="3"/>
  <c r="D2548" i="3"/>
  <c r="C2548" i="3"/>
  <c r="H2547" i="3"/>
  <c r="G2547" i="3"/>
  <c r="F2547" i="3"/>
  <c r="D2547" i="3"/>
  <c r="C2547" i="3" s="1"/>
  <c r="H2546" i="3"/>
  <c r="G2546" i="3"/>
  <c r="F2546" i="3"/>
  <c r="D2546" i="3"/>
  <c r="C2546" i="3" s="1"/>
  <c r="H2545" i="3"/>
  <c r="G2545" i="3"/>
  <c r="F2545" i="3"/>
  <c r="D2545" i="3"/>
  <c r="C2545" i="3"/>
  <c r="H2544" i="3"/>
  <c r="G2544" i="3"/>
  <c r="F2544" i="3"/>
  <c r="D2544" i="3"/>
  <c r="C2544" i="3"/>
  <c r="H2543" i="3"/>
  <c r="G2543" i="3"/>
  <c r="F2543" i="3"/>
  <c r="D2543" i="3"/>
  <c r="C2543" i="3"/>
  <c r="H2542" i="3"/>
  <c r="G2542" i="3"/>
  <c r="F2542" i="3"/>
  <c r="D2542" i="3"/>
  <c r="C2542" i="3"/>
  <c r="H2541" i="3"/>
  <c r="G2541" i="3"/>
  <c r="F2541" i="3"/>
  <c r="D2541" i="3"/>
  <c r="C2541" i="3"/>
  <c r="H2540" i="3"/>
  <c r="G2540" i="3"/>
  <c r="F2540" i="3"/>
  <c r="D2540" i="3"/>
  <c r="C2540" i="3" s="1"/>
  <c r="H2539" i="3"/>
  <c r="G2539" i="3"/>
  <c r="F2539" i="3"/>
  <c r="D2539" i="3"/>
  <c r="C2539" i="3" s="1"/>
  <c r="H2538" i="3"/>
  <c r="G2538" i="3"/>
  <c r="F2538" i="3"/>
  <c r="D2538" i="3"/>
  <c r="C2538" i="3" s="1"/>
  <c r="H2537" i="3"/>
  <c r="G2537" i="3"/>
  <c r="F2537" i="3"/>
  <c r="D2537" i="3"/>
  <c r="C2537" i="3"/>
  <c r="H2536" i="3"/>
  <c r="G2536" i="3"/>
  <c r="F2536" i="3"/>
  <c r="D2536" i="3"/>
  <c r="C2536" i="3"/>
  <c r="H2535" i="3"/>
  <c r="G2535" i="3"/>
  <c r="F2535" i="3"/>
  <c r="D2535" i="3"/>
  <c r="C2535" i="3" s="1"/>
  <c r="H2534" i="3"/>
  <c r="G2534" i="3"/>
  <c r="F2534" i="3"/>
  <c r="D2534" i="3"/>
  <c r="C2534" i="3"/>
  <c r="H2533" i="3"/>
  <c r="G2533" i="3"/>
  <c r="F2533" i="3"/>
  <c r="D2533" i="3"/>
  <c r="C2533" i="3"/>
  <c r="H2532" i="3"/>
  <c r="G2532" i="3"/>
  <c r="F2532" i="3"/>
  <c r="D2532" i="3"/>
  <c r="C2532" i="3" s="1"/>
  <c r="H2531" i="3"/>
  <c r="G2531" i="3"/>
  <c r="F2531" i="3"/>
  <c r="D2531" i="3"/>
  <c r="C2531" i="3" s="1"/>
  <c r="H2530" i="3"/>
  <c r="G2530" i="3"/>
  <c r="F2530" i="3"/>
  <c r="D2530" i="3"/>
  <c r="C2530" i="3" s="1"/>
  <c r="H2529" i="3"/>
  <c r="G2529" i="3"/>
  <c r="F2529" i="3"/>
  <c r="D2529" i="3"/>
  <c r="C2529" i="3"/>
  <c r="H2528" i="3"/>
  <c r="G2528" i="3"/>
  <c r="F2528" i="3"/>
  <c r="D2528" i="3"/>
  <c r="C2528" i="3"/>
  <c r="H2527" i="3"/>
  <c r="G2527" i="3"/>
  <c r="F2527" i="3"/>
  <c r="D2527" i="3"/>
  <c r="C2527" i="3"/>
  <c r="H2526" i="3"/>
  <c r="G2526" i="3"/>
  <c r="F2526" i="3"/>
  <c r="D2526" i="3"/>
  <c r="C2526" i="3"/>
  <c r="H2525" i="3"/>
  <c r="G2525" i="3"/>
  <c r="F2525" i="3"/>
  <c r="D2525" i="3"/>
  <c r="C2525" i="3"/>
  <c r="H2524" i="3"/>
  <c r="G2524" i="3"/>
  <c r="F2524" i="3"/>
  <c r="D2524" i="3"/>
  <c r="C2524" i="3" s="1"/>
  <c r="H2523" i="3"/>
  <c r="G2523" i="3"/>
  <c r="F2523" i="3"/>
  <c r="D2523" i="3"/>
  <c r="C2523" i="3" s="1"/>
  <c r="H2522" i="3"/>
  <c r="G2522" i="3"/>
  <c r="F2522" i="3"/>
  <c r="D2522" i="3"/>
  <c r="C2522" i="3" s="1"/>
  <c r="H2521" i="3"/>
  <c r="G2521" i="3"/>
  <c r="F2521" i="3"/>
  <c r="D2521" i="3"/>
  <c r="C2521" i="3"/>
  <c r="H2520" i="3"/>
  <c r="G2520" i="3"/>
  <c r="F2520" i="3"/>
  <c r="D2520" i="3"/>
  <c r="C2520" i="3"/>
  <c r="H2519" i="3"/>
  <c r="G2519" i="3"/>
  <c r="F2519" i="3"/>
  <c r="D2519" i="3"/>
  <c r="C2519" i="3" s="1"/>
  <c r="H2518" i="3"/>
  <c r="G2518" i="3"/>
  <c r="F2518" i="3"/>
  <c r="D2518" i="3"/>
  <c r="C2518" i="3"/>
  <c r="H2517" i="3"/>
  <c r="G2517" i="3"/>
  <c r="F2517" i="3"/>
  <c r="D2517" i="3"/>
  <c r="C2517" i="3"/>
  <c r="H2516" i="3"/>
  <c r="G2516" i="3"/>
  <c r="F2516" i="3"/>
  <c r="D2516" i="3"/>
  <c r="C2516" i="3"/>
  <c r="H2515" i="3"/>
  <c r="G2515" i="3"/>
  <c r="F2515" i="3"/>
  <c r="D2515" i="3"/>
  <c r="C2515" i="3" s="1"/>
  <c r="H2514" i="3"/>
  <c r="G2514" i="3"/>
  <c r="F2514" i="3"/>
  <c r="D2514" i="3"/>
  <c r="C2514" i="3" s="1"/>
  <c r="H2513" i="3"/>
  <c r="G2513" i="3"/>
  <c r="F2513" i="3"/>
  <c r="D2513" i="3"/>
  <c r="C2513" i="3"/>
  <c r="H2512" i="3"/>
  <c r="G2512" i="3"/>
  <c r="F2512" i="3"/>
  <c r="D2512" i="3"/>
  <c r="C2512" i="3"/>
  <c r="H2511" i="3"/>
  <c r="G2511" i="3"/>
  <c r="F2511" i="3"/>
  <c r="D2511" i="3"/>
  <c r="C2511" i="3"/>
  <c r="H2510" i="3"/>
  <c r="G2510" i="3"/>
  <c r="F2510" i="3"/>
  <c r="D2510" i="3"/>
  <c r="C2510" i="3"/>
  <c r="H2509" i="3"/>
  <c r="G2509" i="3"/>
  <c r="F2509" i="3"/>
  <c r="D2509" i="3"/>
  <c r="C2509" i="3"/>
  <c r="H2508" i="3"/>
  <c r="G2508" i="3"/>
  <c r="F2508" i="3"/>
  <c r="D2508" i="3"/>
  <c r="C2508" i="3" s="1"/>
  <c r="H2507" i="3"/>
  <c r="G2507" i="3"/>
  <c r="F2507" i="3"/>
  <c r="D2507" i="3"/>
  <c r="C2507" i="3" s="1"/>
  <c r="H2506" i="3"/>
  <c r="G2506" i="3"/>
  <c r="F2506" i="3"/>
  <c r="D2506" i="3"/>
  <c r="C2506" i="3" s="1"/>
  <c r="H2505" i="3"/>
  <c r="G2505" i="3"/>
  <c r="F2505" i="3"/>
  <c r="D2505" i="3"/>
  <c r="C2505" i="3"/>
  <c r="H2504" i="3"/>
  <c r="G2504" i="3"/>
  <c r="F2504" i="3"/>
  <c r="D2504" i="3"/>
  <c r="C2504" i="3"/>
  <c r="H2503" i="3"/>
  <c r="G2503" i="3"/>
  <c r="F2503" i="3"/>
  <c r="D2503" i="3"/>
  <c r="C2503" i="3" s="1"/>
  <c r="H2502" i="3"/>
  <c r="G2502" i="3"/>
  <c r="F2502" i="3"/>
  <c r="D2502" i="3"/>
  <c r="C2502" i="3"/>
  <c r="H2501" i="3"/>
  <c r="G2501" i="3"/>
  <c r="F2501" i="3"/>
  <c r="D2501" i="3"/>
  <c r="C2501" i="3"/>
  <c r="H2500" i="3"/>
  <c r="G2500" i="3"/>
  <c r="F2500" i="3"/>
  <c r="D2500" i="3"/>
  <c r="C2500" i="3" s="1"/>
  <c r="H2499" i="3"/>
  <c r="G2499" i="3"/>
  <c r="F2499" i="3"/>
  <c r="D2499" i="3"/>
  <c r="C2499" i="3" s="1"/>
  <c r="H2498" i="3"/>
  <c r="G2498" i="3"/>
  <c r="F2498" i="3"/>
  <c r="D2498" i="3"/>
  <c r="C2498" i="3" s="1"/>
  <c r="H2497" i="3"/>
  <c r="G2497" i="3"/>
  <c r="F2497" i="3"/>
  <c r="D2497" i="3"/>
  <c r="C2497" i="3"/>
  <c r="H2496" i="3"/>
  <c r="G2496" i="3"/>
  <c r="F2496" i="3"/>
  <c r="D2496" i="3"/>
  <c r="C2496" i="3"/>
  <c r="H2495" i="3"/>
  <c r="G2495" i="3"/>
  <c r="F2495" i="3"/>
  <c r="D2495" i="3"/>
  <c r="C2495" i="3"/>
  <c r="H2494" i="3"/>
  <c r="G2494" i="3"/>
  <c r="F2494" i="3"/>
  <c r="D2494" i="3"/>
  <c r="C2494" i="3"/>
  <c r="H2493" i="3"/>
  <c r="G2493" i="3"/>
  <c r="F2493" i="3"/>
  <c r="D2493" i="3"/>
  <c r="C2493" i="3"/>
  <c r="H2492" i="3"/>
  <c r="G2492" i="3"/>
  <c r="F2492" i="3"/>
  <c r="D2492" i="3"/>
  <c r="C2492" i="3" s="1"/>
  <c r="H2491" i="3"/>
  <c r="G2491" i="3"/>
  <c r="F2491" i="3"/>
  <c r="D2491" i="3"/>
  <c r="C2491" i="3" s="1"/>
  <c r="H2490" i="3"/>
  <c r="G2490" i="3"/>
  <c r="F2490" i="3"/>
  <c r="D2490" i="3"/>
  <c r="C2490" i="3" s="1"/>
  <c r="H2489" i="3"/>
  <c r="G2489" i="3"/>
  <c r="F2489" i="3"/>
  <c r="D2489" i="3"/>
  <c r="C2489" i="3"/>
  <c r="H2488" i="3"/>
  <c r="G2488" i="3"/>
  <c r="F2488" i="3"/>
  <c r="D2488" i="3"/>
  <c r="C2488" i="3"/>
  <c r="H2487" i="3"/>
  <c r="G2487" i="3"/>
  <c r="F2487" i="3"/>
  <c r="D2487" i="3"/>
  <c r="C2487" i="3" s="1"/>
  <c r="H2486" i="3"/>
  <c r="G2486" i="3"/>
  <c r="F2486" i="3"/>
  <c r="D2486" i="3"/>
  <c r="C2486" i="3"/>
  <c r="H2485" i="3"/>
  <c r="G2485" i="3"/>
  <c r="F2485" i="3"/>
  <c r="D2485" i="3"/>
  <c r="C2485" i="3"/>
  <c r="H2484" i="3"/>
  <c r="G2484" i="3"/>
  <c r="F2484" i="3"/>
  <c r="D2484" i="3"/>
  <c r="C2484" i="3"/>
  <c r="H2483" i="3"/>
  <c r="G2483" i="3"/>
  <c r="F2483" i="3"/>
  <c r="D2483" i="3"/>
  <c r="C2483" i="3" s="1"/>
  <c r="H2482" i="3"/>
  <c r="G2482" i="3"/>
  <c r="F2482" i="3"/>
  <c r="D2482" i="3"/>
  <c r="C2482" i="3" s="1"/>
  <c r="H2481" i="3"/>
  <c r="G2481" i="3"/>
  <c r="F2481" i="3"/>
  <c r="D2481" i="3"/>
  <c r="C2481" i="3"/>
  <c r="H2480" i="3"/>
  <c r="G2480" i="3"/>
  <c r="F2480" i="3"/>
  <c r="D2480" i="3"/>
  <c r="C2480" i="3"/>
  <c r="H2479" i="3"/>
  <c r="G2479" i="3"/>
  <c r="F2479" i="3"/>
  <c r="D2479" i="3"/>
  <c r="C2479" i="3"/>
  <c r="H2478" i="3"/>
  <c r="G2478" i="3"/>
  <c r="F2478" i="3"/>
  <c r="D2478" i="3"/>
  <c r="C2478" i="3"/>
  <c r="H2477" i="3"/>
  <c r="G2477" i="3"/>
  <c r="F2477" i="3"/>
  <c r="D2477" i="3"/>
  <c r="C2477" i="3"/>
  <c r="H2476" i="3"/>
  <c r="G2476" i="3"/>
  <c r="F2476" i="3"/>
  <c r="D2476" i="3"/>
  <c r="C2476" i="3" s="1"/>
  <c r="H2475" i="3"/>
  <c r="G2475" i="3"/>
  <c r="F2475" i="3"/>
  <c r="D2475" i="3"/>
  <c r="C2475" i="3" s="1"/>
  <c r="H2474" i="3"/>
  <c r="G2474" i="3"/>
  <c r="F2474" i="3"/>
  <c r="D2474" i="3"/>
  <c r="C2474" i="3" s="1"/>
  <c r="H2473" i="3"/>
  <c r="G2473" i="3"/>
  <c r="F2473" i="3"/>
  <c r="D2473" i="3"/>
  <c r="C2473" i="3"/>
  <c r="H2472" i="3"/>
  <c r="G2472" i="3"/>
  <c r="F2472" i="3"/>
  <c r="D2472" i="3"/>
  <c r="C2472" i="3"/>
  <c r="H2471" i="3"/>
  <c r="G2471" i="3"/>
  <c r="F2471" i="3"/>
  <c r="D2471" i="3"/>
  <c r="C2471" i="3" s="1"/>
  <c r="H2470" i="3"/>
  <c r="G2470" i="3"/>
  <c r="F2470" i="3"/>
  <c r="D2470" i="3"/>
  <c r="C2470" i="3"/>
  <c r="H2469" i="3"/>
  <c r="G2469" i="3"/>
  <c r="F2469" i="3"/>
  <c r="D2469" i="3"/>
  <c r="C2469" i="3"/>
  <c r="H2468" i="3"/>
  <c r="G2468" i="3"/>
  <c r="F2468" i="3"/>
  <c r="D2468" i="3"/>
  <c r="C2468" i="3" s="1"/>
  <c r="H2467" i="3"/>
  <c r="G2467" i="3"/>
  <c r="F2467" i="3"/>
  <c r="D2467" i="3"/>
  <c r="C2467" i="3" s="1"/>
  <c r="H2466" i="3"/>
  <c r="G2466" i="3"/>
  <c r="F2466" i="3"/>
  <c r="D2466" i="3"/>
  <c r="C2466" i="3" s="1"/>
  <c r="H2465" i="3"/>
  <c r="G2465" i="3"/>
  <c r="F2465" i="3"/>
  <c r="D2465" i="3"/>
  <c r="C2465" i="3"/>
  <c r="H2464" i="3"/>
  <c r="G2464" i="3"/>
  <c r="F2464" i="3"/>
  <c r="D2464" i="3"/>
  <c r="C2464" i="3"/>
  <c r="H2463" i="3"/>
  <c r="G2463" i="3"/>
  <c r="F2463" i="3"/>
  <c r="D2463" i="3"/>
  <c r="C2463" i="3"/>
  <c r="H2462" i="3"/>
  <c r="G2462" i="3"/>
  <c r="F2462" i="3"/>
  <c r="D2462" i="3"/>
  <c r="C2462" i="3"/>
  <c r="H2461" i="3"/>
  <c r="G2461" i="3"/>
  <c r="F2461" i="3"/>
  <c r="D2461" i="3"/>
  <c r="C2461" i="3"/>
  <c r="H2460" i="3"/>
  <c r="G2460" i="3"/>
  <c r="F2460" i="3"/>
  <c r="D2460" i="3"/>
  <c r="C2460" i="3" s="1"/>
  <c r="H2459" i="3"/>
  <c r="G2459" i="3"/>
  <c r="F2459" i="3"/>
  <c r="D2459" i="3"/>
  <c r="C2459" i="3" s="1"/>
  <c r="H2458" i="3"/>
  <c r="G2458" i="3"/>
  <c r="F2458" i="3"/>
  <c r="D2458" i="3"/>
  <c r="C2458" i="3" s="1"/>
  <c r="H2457" i="3"/>
  <c r="G2457" i="3"/>
  <c r="F2457" i="3"/>
  <c r="D2457" i="3"/>
  <c r="C2457" i="3"/>
  <c r="H2456" i="3"/>
  <c r="G2456" i="3"/>
  <c r="F2456" i="3"/>
  <c r="D2456" i="3"/>
  <c r="C2456" i="3"/>
  <c r="H2455" i="3"/>
  <c r="G2455" i="3"/>
  <c r="F2455" i="3"/>
  <c r="D2455" i="3"/>
  <c r="C2455" i="3" s="1"/>
  <c r="H2454" i="3"/>
  <c r="G2454" i="3"/>
  <c r="F2454" i="3"/>
  <c r="D2454" i="3"/>
  <c r="C2454" i="3"/>
  <c r="H2453" i="3"/>
  <c r="G2453" i="3"/>
  <c r="F2453" i="3"/>
  <c r="D2453" i="3"/>
  <c r="C2453" i="3"/>
  <c r="H2452" i="3"/>
  <c r="G2452" i="3"/>
  <c r="F2452" i="3"/>
  <c r="D2452" i="3"/>
  <c r="C2452" i="3"/>
  <c r="H2451" i="3"/>
  <c r="G2451" i="3"/>
  <c r="F2451" i="3"/>
  <c r="D2451" i="3"/>
  <c r="C2451" i="3" s="1"/>
  <c r="H2450" i="3"/>
  <c r="G2450" i="3"/>
  <c r="F2450" i="3"/>
  <c r="D2450" i="3"/>
  <c r="C2450" i="3" s="1"/>
  <c r="H2449" i="3"/>
  <c r="G2449" i="3"/>
  <c r="F2449" i="3"/>
  <c r="D2449" i="3"/>
  <c r="C2449" i="3"/>
  <c r="H2448" i="3"/>
  <c r="G2448" i="3"/>
  <c r="F2448" i="3"/>
  <c r="D2448" i="3"/>
  <c r="C2448" i="3"/>
  <c r="H2447" i="3"/>
  <c r="G2447" i="3"/>
  <c r="F2447" i="3"/>
  <c r="D2447" i="3"/>
  <c r="C2447" i="3"/>
  <c r="H2446" i="3"/>
  <c r="G2446" i="3"/>
  <c r="F2446" i="3"/>
  <c r="D2446" i="3"/>
  <c r="C2446" i="3"/>
  <c r="H2445" i="3"/>
  <c r="G2445" i="3"/>
  <c r="F2445" i="3"/>
  <c r="D2445" i="3"/>
  <c r="C2445" i="3"/>
  <c r="H2444" i="3"/>
  <c r="G2444" i="3"/>
  <c r="F2444" i="3"/>
  <c r="D2444" i="3"/>
  <c r="C2444" i="3" s="1"/>
  <c r="H2443" i="3"/>
  <c r="G2443" i="3"/>
  <c r="F2443" i="3"/>
  <c r="D2443" i="3"/>
  <c r="C2443" i="3" s="1"/>
  <c r="H2442" i="3"/>
  <c r="G2442" i="3"/>
  <c r="F2442" i="3"/>
  <c r="D2442" i="3"/>
  <c r="C2442" i="3" s="1"/>
  <c r="H2441" i="3"/>
  <c r="G2441" i="3"/>
  <c r="F2441" i="3"/>
  <c r="D2441" i="3"/>
  <c r="C2441" i="3"/>
  <c r="H2440" i="3"/>
  <c r="G2440" i="3"/>
  <c r="F2440" i="3"/>
  <c r="D2440" i="3"/>
  <c r="C2440" i="3"/>
  <c r="H2439" i="3"/>
  <c r="G2439" i="3"/>
  <c r="F2439" i="3"/>
  <c r="D2439" i="3"/>
  <c r="C2439" i="3" s="1"/>
  <c r="H2438" i="3"/>
  <c r="G2438" i="3"/>
  <c r="F2438" i="3"/>
  <c r="D2438" i="3"/>
  <c r="C2438" i="3"/>
  <c r="H2437" i="3"/>
  <c r="G2437" i="3"/>
  <c r="F2437" i="3"/>
  <c r="D2437" i="3"/>
  <c r="C2437" i="3"/>
  <c r="H2436" i="3"/>
  <c r="G2436" i="3"/>
  <c r="F2436" i="3"/>
  <c r="D2436" i="3"/>
  <c r="C2436" i="3" s="1"/>
  <c r="H2435" i="3"/>
  <c r="G2435" i="3"/>
  <c r="F2435" i="3"/>
  <c r="D2435" i="3"/>
  <c r="C2435" i="3" s="1"/>
  <c r="H2434" i="3"/>
  <c r="G2434" i="3"/>
  <c r="F2434" i="3"/>
  <c r="D2434" i="3"/>
  <c r="C2434" i="3" s="1"/>
  <c r="H2433" i="3"/>
  <c r="G2433" i="3"/>
  <c r="F2433" i="3"/>
  <c r="D2433" i="3"/>
  <c r="C2433" i="3"/>
  <c r="H2432" i="3"/>
  <c r="G2432" i="3"/>
  <c r="F2432" i="3"/>
  <c r="D2432" i="3"/>
  <c r="C2432" i="3"/>
  <c r="H2431" i="3"/>
  <c r="G2431" i="3"/>
  <c r="F2431" i="3"/>
  <c r="D2431" i="3"/>
  <c r="C2431" i="3"/>
  <c r="H2430" i="3"/>
  <c r="G2430" i="3"/>
  <c r="F2430" i="3"/>
  <c r="D2430" i="3"/>
  <c r="C2430" i="3"/>
  <c r="H2429" i="3"/>
  <c r="G2429" i="3"/>
  <c r="F2429" i="3"/>
  <c r="D2429" i="3"/>
  <c r="C2429" i="3"/>
  <c r="H2428" i="3"/>
  <c r="G2428" i="3"/>
  <c r="F2428" i="3"/>
  <c r="D2428" i="3"/>
  <c r="C2428" i="3" s="1"/>
  <c r="H2427" i="3"/>
  <c r="G2427" i="3"/>
  <c r="F2427" i="3"/>
  <c r="D2427" i="3"/>
  <c r="C2427" i="3" s="1"/>
  <c r="H2426" i="3"/>
  <c r="G2426" i="3"/>
  <c r="F2426" i="3"/>
  <c r="D2426" i="3"/>
  <c r="C2426" i="3" s="1"/>
  <c r="H2425" i="3"/>
  <c r="G2425" i="3"/>
  <c r="F2425" i="3"/>
  <c r="D2425" i="3"/>
  <c r="C2425" i="3"/>
  <c r="H2424" i="3"/>
  <c r="G2424" i="3"/>
  <c r="F2424" i="3"/>
  <c r="D2424" i="3"/>
  <c r="C2424" i="3"/>
  <c r="H2423" i="3"/>
  <c r="G2423" i="3"/>
  <c r="F2423" i="3"/>
  <c r="D2423" i="3"/>
  <c r="C2423" i="3" s="1"/>
  <c r="H2422" i="3"/>
  <c r="G2422" i="3"/>
  <c r="F2422" i="3"/>
  <c r="D2422" i="3"/>
  <c r="C2422" i="3"/>
  <c r="H2421" i="3"/>
  <c r="G2421" i="3"/>
  <c r="F2421" i="3"/>
  <c r="D2421" i="3"/>
  <c r="C2421" i="3"/>
  <c r="H2420" i="3"/>
  <c r="G2420" i="3"/>
  <c r="F2420" i="3"/>
  <c r="D2420" i="3"/>
  <c r="C2420" i="3"/>
  <c r="H2419" i="3"/>
  <c r="G2419" i="3"/>
  <c r="F2419" i="3"/>
  <c r="D2419" i="3"/>
  <c r="C2419" i="3" s="1"/>
  <c r="H2418" i="3"/>
  <c r="G2418" i="3"/>
  <c r="F2418" i="3"/>
  <c r="D2418" i="3"/>
  <c r="C2418" i="3" s="1"/>
  <c r="H2417" i="3"/>
  <c r="G2417" i="3"/>
  <c r="F2417" i="3"/>
  <c r="D2417" i="3"/>
  <c r="C2417" i="3"/>
  <c r="H2416" i="3"/>
  <c r="G2416" i="3"/>
  <c r="F2416" i="3"/>
  <c r="D2416" i="3"/>
  <c r="C2416" i="3"/>
  <c r="H2415" i="3"/>
  <c r="G2415" i="3"/>
  <c r="F2415" i="3"/>
  <c r="D2415" i="3"/>
  <c r="C2415" i="3"/>
  <c r="H2414" i="3"/>
  <c r="G2414" i="3"/>
  <c r="F2414" i="3"/>
  <c r="D2414" i="3"/>
  <c r="C2414" i="3"/>
  <c r="H2413" i="3"/>
  <c r="G2413" i="3"/>
  <c r="F2413" i="3"/>
  <c r="D2413" i="3"/>
  <c r="C2413" i="3"/>
  <c r="H2412" i="3"/>
  <c r="G2412" i="3"/>
  <c r="F2412" i="3"/>
  <c r="D2412" i="3"/>
  <c r="C2412" i="3" s="1"/>
  <c r="H2411" i="3"/>
  <c r="G2411" i="3"/>
  <c r="F2411" i="3"/>
  <c r="D2411" i="3"/>
  <c r="C2411" i="3" s="1"/>
  <c r="H2410" i="3"/>
  <c r="G2410" i="3"/>
  <c r="F2410" i="3"/>
  <c r="D2410" i="3"/>
  <c r="C2410" i="3" s="1"/>
  <c r="H2409" i="3"/>
  <c r="G2409" i="3"/>
  <c r="F2409" i="3"/>
  <c r="D2409" i="3"/>
  <c r="C2409" i="3"/>
  <c r="H2408" i="3"/>
  <c r="G2408" i="3"/>
  <c r="F2408" i="3"/>
  <c r="D2408" i="3"/>
  <c r="C2408" i="3"/>
  <c r="H2407" i="3"/>
  <c r="G2407" i="3"/>
  <c r="F2407" i="3"/>
  <c r="D2407" i="3"/>
  <c r="C2407" i="3" s="1"/>
  <c r="H2406" i="3"/>
  <c r="G2406" i="3"/>
  <c r="F2406" i="3"/>
  <c r="D2406" i="3"/>
  <c r="C2406" i="3"/>
  <c r="H2405" i="3"/>
  <c r="G2405" i="3"/>
  <c r="F2405" i="3"/>
  <c r="D2405" i="3"/>
  <c r="C2405" i="3"/>
  <c r="H2404" i="3"/>
  <c r="G2404" i="3"/>
  <c r="F2404" i="3"/>
  <c r="D2404" i="3"/>
  <c r="C2404" i="3" s="1"/>
  <c r="H2403" i="3"/>
  <c r="G2403" i="3"/>
  <c r="F2403" i="3"/>
  <c r="D2403" i="3"/>
  <c r="C2403" i="3" s="1"/>
  <c r="H2402" i="3"/>
  <c r="G2402" i="3"/>
  <c r="F2402" i="3"/>
  <c r="D2402" i="3"/>
  <c r="C2402" i="3" s="1"/>
  <c r="H2401" i="3"/>
  <c r="G2401" i="3"/>
  <c r="F2401" i="3"/>
  <c r="D2401" i="3"/>
  <c r="C2401" i="3"/>
  <c r="H2400" i="3"/>
  <c r="G2400" i="3"/>
  <c r="F2400" i="3"/>
  <c r="D2400" i="3"/>
  <c r="C2400" i="3"/>
  <c r="H2399" i="3"/>
  <c r="G2399" i="3"/>
  <c r="F2399" i="3"/>
  <c r="D2399" i="3"/>
  <c r="C2399" i="3"/>
  <c r="H2398" i="3"/>
  <c r="G2398" i="3"/>
  <c r="F2398" i="3"/>
  <c r="D2398" i="3"/>
  <c r="C2398" i="3"/>
  <c r="H2397" i="3"/>
  <c r="G2397" i="3"/>
  <c r="F2397" i="3"/>
  <c r="D2397" i="3"/>
  <c r="C2397" i="3"/>
  <c r="H2396" i="3"/>
  <c r="G2396" i="3"/>
  <c r="F2396" i="3"/>
  <c r="D2396" i="3"/>
  <c r="C2396" i="3" s="1"/>
  <c r="H2395" i="3"/>
  <c r="G2395" i="3"/>
  <c r="F2395" i="3"/>
  <c r="D2395" i="3"/>
  <c r="C2395" i="3" s="1"/>
  <c r="H2394" i="3"/>
  <c r="G2394" i="3"/>
  <c r="F2394" i="3"/>
  <c r="D2394" i="3"/>
  <c r="C2394" i="3" s="1"/>
  <c r="H2393" i="3"/>
  <c r="G2393" i="3"/>
  <c r="F2393" i="3"/>
  <c r="D2393" i="3"/>
  <c r="C2393" i="3"/>
  <c r="H2392" i="3"/>
  <c r="G2392" i="3"/>
  <c r="F2392" i="3"/>
  <c r="D2392" i="3"/>
  <c r="C2392" i="3"/>
  <c r="H2391" i="3"/>
  <c r="G2391" i="3"/>
  <c r="F2391" i="3"/>
  <c r="D2391" i="3"/>
  <c r="C2391" i="3" s="1"/>
  <c r="H2390" i="3"/>
  <c r="G2390" i="3"/>
  <c r="F2390" i="3"/>
  <c r="D2390" i="3"/>
  <c r="C2390" i="3"/>
  <c r="H2389" i="3"/>
  <c r="G2389" i="3"/>
  <c r="F2389" i="3"/>
  <c r="D2389" i="3"/>
  <c r="C2389" i="3"/>
  <c r="H2388" i="3"/>
  <c r="G2388" i="3"/>
  <c r="F2388" i="3"/>
  <c r="D2388" i="3"/>
  <c r="C2388" i="3"/>
  <c r="H2387" i="3"/>
  <c r="G2387" i="3"/>
  <c r="F2387" i="3"/>
  <c r="D2387" i="3"/>
  <c r="C2387" i="3" s="1"/>
  <c r="H2386" i="3"/>
  <c r="G2386" i="3"/>
  <c r="F2386" i="3"/>
  <c r="D2386" i="3"/>
  <c r="C2386" i="3" s="1"/>
  <c r="H2385" i="3"/>
  <c r="G2385" i="3"/>
  <c r="F2385" i="3"/>
  <c r="D2385" i="3"/>
  <c r="C2385" i="3"/>
  <c r="H2384" i="3"/>
  <c r="G2384" i="3"/>
  <c r="F2384" i="3"/>
  <c r="D2384" i="3"/>
  <c r="C2384" i="3"/>
  <c r="H2383" i="3"/>
  <c r="G2383" i="3"/>
  <c r="F2383" i="3"/>
  <c r="D2383" i="3"/>
  <c r="C2383" i="3"/>
  <c r="H2382" i="3"/>
  <c r="G2382" i="3"/>
  <c r="F2382" i="3"/>
  <c r="D2382" i="3"/>
  <c r="C2382" i="3"/>
  <c r="H2381" i="3"/>
  <c r="G2381" i="3"/>
  <c r="F2381" i="3"/>
  <c r="D2381" i="3"/>
  <c r="C2381" i="3"/>
  <c r="H2380" i="3"/>
  <c r="G2380" i="3"/>
  <c r="F2380" i="3"/>
  <c r="D2380" i="3"/>
  <c r="C2380" i="3" s="1"/>
  <c r="H2379" i="3"/>
  <c r="G2379" i="3"/>
  <c r="F2379" i="3"/>
  <c r="D2379" i="3"/>
  <c r="C2379" i="3" s="1"/>
  <c r="H2378" i="3"/>
  <c r="G2378" i="3"/>
  <c r="F2378" i="3"/>
  <c r="D2378" i="3"/>
  <c r="C2378" i="3" s="1"/>
  <c r="H2377" i="3"/>
  <c r="G2377" i="3"/>
  <c r="F2377" i="3"/>
  <c r="D2377" i="3"/>
  <c r="C2377" i="3"/>
  <c r="H2376" i="3"/>
  <c r="G2376" i="3"/>
  <c r="F2376" i="3"/>
  <c r="D2376" i="3"/>
  <c r="C2376" i="3"/>
  <c r="H2375" i="3"/>
  <c r="G2375" i="3"/>
  <c r="F2375" i="3"/>
  <c r="D2375" i="3"/>
  <c r="C2375" i="3" s="1"/>
  <c r="H2374" i="3"/>
  <c r="G2374" i="3"/>
  <c r="F2374" i="3"/>
  <c r="D2374" i="3"/>
  <c r="C2374" i="3"/>
  <c r="H2373" i="3"/>
  <c r="G2373" i="3"/>
  <c r="F2373" i="3"/>
  <c r="D2373" i="3"/>
  <c r="C2373" i="3"/>
  <c r="H2372" i="3"/>
  <c r="G2372" i="3"/>
  <c r="F2372" i="3"/>
  <c r="D2372" i="3"/>
  <c r="C2372" i="3" s="1"/>
  <c r="H2371" i="3"/>
  <c r="G2371" i="3"/>
  <c r="F2371" i="3"/>
  <c r="D2371" i="3"/>
  <c r="C2371" i="3" s="1"/>
  <c r="H2370" i="3"/>
  <c r="G2370" i="3"/>
  <c r="F2370" i="3"/>
  <c r="D2370" i="3"/>
  <c r="C2370" i="3" s="1"/>
  <c r="H2369" i="3"/>
  <c r="G2369" i="3"/>
  <c r="F2369" i="3"/>
  <c r="D2369" i="3"/>
  <c r="C2369" i="3"/>
  <c r="H2368" i="3"/>
  <c r="G2368" i="3"/>
  <c r="F2368" i="3"/>
  <c r="D2368" i="3"/>
  <c r="C2368" i="3"/>
  <c r="H2367" i="3"/>
  <c r="G2367" i="3"/>
  <c r="F2367" i="3"/>
  <c r="D2367" i="3"/>
  <c r="C2367" i="3"/>
  <c r="H2366" i="3"/>
  <c r="G2366" i="3"/>
  <c r="F2366" i="3"/>
  <c r="D2366" i="3"/>
  <c r="C2366" i="3"/>
  <c r="H2365" i="3"/>
  <c r="G2365" i="3"/>
  <c r="F2365" i="3"/>
  <c r="D2365" i="3"/>
  <c r="C2365" i="3"/>
  <c r="H2364" i="3"/>
  <c r="G2364" i="3"/>
  <c r="F2364" i="3"/>
  <c r="D2364" i="3"/>
  <c r="C2364" i="3" s="1"/>
  <c r="H2363" i="3"/>
  <c r="G2363" i="3"/>
  <c r="F2363" i="3"/>
  <c r="D2363" i="3"/>
  <c r="C2363" i="3" s="1"/>
  <c r="H2362" i="3"/>
  <c r="G2362" i="3"/>
  <c r="F2362" i="3"/>
  <c r="D2362" i="3"/>
  <c r="C2362" i="3" s="1"/>
  <c r="H2361" i="3"/>
  <c r="G2361" i="3"/>
  <c r="F2361" i="3"/>
  <c r="D2361" i="3"/>
  <c r="C2361" i="3"/>
  <c r="H2360" i="3"/>
  <c r="G2360" i="3"/>
  <c r="F2360" i="3"/>
  <c r="D2360" i="3"/>
  <c r="C2360" i="3" s="1"/>
  <c r="H2359" i="3"/>
  <c r="G2359" i="3"/>
  <c r="F2359" i="3"/>
  <c r="D2359" i="3"/>
  <c r="C2359" i="3"/>
  <c r="H2358" i="3"/>
  <c r="G2358" i="3"/>
  <c r="F2358" i="3"/>
  <c r="D2358" i="3"/>
  <c r="C2358" i="3"/>
  <c r="H2357" i="3"/>
  <c r="G2357" i="3"/>
  <c r="F2357" i="3"/>
  <c r="D2357" i="3"/>
  <c r="C2357" i="3"/>
  <c r="H2356" i="3"/>
  <c r="G2356" i="3"/>
  <c r="F2356" i="3"/>
  <c r="D2356" i="3"/>
  <c r="C2356" i="3"/>
  <c r="H2355" i="3"/>
  <c r="G2355" i="3"/>
  <c r="F2355" i="3"/>
  <c r="D2355" i="3"/>
  <c r="C2355" i="3" s="1"/>
  <c r="H2354" i="3"/>
  <c r="G2354" i="3"/>
  <c r="F2354" i="3"/>
  <c r="D2354" i="3"/>
  <c r="C2354" i="3" s="1"/>
  <c r="H2353" i="3"/>
  <c r="G2353" i="3"/>
  <c r="F2353" i="3"/>
  <c r="D2353" i="3"/>
  <c r="C2353" i="3"/>
  <c r="H2352" i="3"/>
  <c r="G2352" i="3"/>
  <c r="F2352" i="3"/>
  <c r="D2352" i="3"/>
  <c r="C2352" i="3" s="1"/>
  <c r="H2351" i="3"/>
  <c r="G2351" i="3"/>
  <c r="F2351" i="3"/>
  <c r="D2351" i="3"/>
  <c r="C2351" i="3" s="1"/>
  <c r="H2350" i="3"/>
  <c r="G2350" i="3"/>
  <c r="F2350" i="3"/>
  <c r="D2350" i="3"/>
  <c r="C2350" i="3"/>
  <c r="H2349" i="3"/>
  <c r="G2349" i="3"/>
  <c r="F2349" i="3"/>
  <c r="D2349" i="3"/>
  <c r="C2349" i="3"/>
  <c r="H2348" i="3"/>
  <c r="G2348" i="3"/>
  <c r="F2348" i="3"/>
  <c r="D2348" i="3"/>
  <c r="C2348" i="3" s="1"/>
  <c r="H2347" i="3"/>
  <c r="G2347" i="3"/>
  <c r="F2347" i="3"/>
  <c r="D2347" i="3"/>
  <c r="C2347" i="3" s="1"/>
  <c r="H2346" i="3"/>
  <c r="G2346" i="3"/>
  <c r="F2346" i="3"/>
  <c r="D2346" i="3"/>
  <c r="C2346" i="3" s="1"/>
  <c r="H2345" i="3"/>
  <c r="G2345" i="3"/>
  <c r="F2345" i="3"/>
  <c r="D2345" i="3"/>
  <c r="C2345" i="3"/>
  <c r="H2344" i="3"/>
  <c r="G2344" i="3"/>
  <c r="F2344" i="3"/>
  <c r="D2344" i="3"/>
  <c r="C2344" i="3" s="1"/>
  <c r="H2343" i="3"/>
  <c r="G2343" i="3"/>
  <c r="F2343" i="3"/>
  <c r="D2343" i="3"/>
  <c r="C2343" i="3" s="1"/>
  <c r="H2342" i="3"/>
  <c r="G2342" i="3"/>
  <c r="F2342" i="3"/>
  <c r="D2342" i="3"/>
  <c r="C2342" i="3"/>
  <c r="H2341" i="3"/>
  <c r="G2341" i="3"/>
  <c r="F2341" i="3"/>
  <c r="D2341" i="3"/>
  <c r="C2341" i="3"/>
  <c r="H2340" i="3"/>
  <c r="G2340" i="3"/>
  <c r="F2340" i="3"/>
  <c r="D2340" i="3"/>
  <c r="C2340" i="3" s="1"/>
  <c r="H2339" i="3"/>
  <c r="G2339" i="3"/>
  <c r="F2339" i="3"/>
  <c r="D2339" i="3"/>
  <c r="C2339" i="3" s="1"/>
  <c r="H2338" i="3"/>
  <c r="G2338" i="3"/>
  <c r="F2338" i="3"/>
  <c r="D2338" i="3"/>
  <c r="C2338" i="3" s="1"/>
  <c r="H2337" i="3"/>
  <c r="G2337" i="3"/>
  <c r="F2337" i="3"/>
  <c r="D2337" i="3"/>
  <c r="C2337" i="3"/>
  <c r="H2336" i="3"/>
  <c r="G2336" i="3"/>
  <c r="F2336" i="3"/>
  <c r="D2336" i="3"/>
  <c r="C2336" i="3" s="1"/>
  <c r="H2335" i="3"/>
  <c r="G2335" i="3"/>
  <c r="F2335" i="3"/>
  <c r="D2335" i="3"/>
  <c r="C2335" i="3"/>
  <c r="H2334" i="3"/>
  <c r="G2334" i="3"/>
  <c r="F2334" i="3"/>
  <c r="D2334" i="3"/>
  <c r="C2334" i="3"/>
  <c r="H2333" i="3"/>
  <c r="G2333" i="3"/>
  <c r="F2333" i="3"/>
  <c r="D2333" i="3"/>
  <c r="C2333" i="3"/>
  <c r="H2332" i="3"/>
  <c r="G2332" i="3"/>
  <c r="F2332" i="3"/>
  <c r="D2332" i="3"/>
  <c r="C2332" i="3" s="1"/>
  <c r="H2331" i="3"/>
  <c r="G2331" i="3"/>
  <c r="F2331" i="3"/>
  <c r="D2331" i="3"/>
  <c r="C2331" i="3" s="1"/>
  <c r="H2330" i="3"/>
  <c r="G2330" i="3"/>
  <c r="F2330" i="3"/>
  <c r="D2330" i="3"/>
  <c r="C2330" i="3" s="1"/>
  <c r="H2329" i="3"/>
  <c r="G2329" i="3"/>
  <c r="F2329" i="3"/>
  <c r="D2329" i="3"/>
  <c r="C2329" i="3"/>
  <c r="H2328" i="3"/>
  <c r="G2328" i="3"/>
  <c r="F2328" i="3"/>
  <c r="D2328" i="3"/>
  <c r="C2328" i="3" s="1"/>
  <c r="H2327" i="3"/>
  <c r="G2327" i="3"/>
  <c r="F2327" i="3"/>
  <c r="D2327" i="3"/>
  <c r="C2327" i="3"/>
  <c r="H2326" i="3"/>
  <c r="G2326" i="3"/>
  <c r="F2326" i="3"/>
  <c r="D2326" i="3"/>
  <c r="C2326" i="3"/>
  <c r="H2325" i="3"/>
  <c r="G2325" i="3"/>
  <c r="F2325" i="3"/>
  <c r="D2325" i="3"/>
  <c r="C2325" i="3"/>
  <c r="H2324" i="3"/>
  <c r="G2324" i="3"/>
  <c r="F2324" i="3"/>
  <c r="D2324" i="3"/>
  <c r="C2324" i="3"/>
  <c r="H2323" i="3"/>
  <c r="G2323" i="3"/>
  <c r="F2323" i="3"/>
  <c r="D2323" i="3"/>
  <c r="C2323" i="3" s="1"/>
  <c r="H2322" i="3"/>
  <c r="G2322" i="3"/>
  <c r="F2322" i="3"/>
  <c r="D2322" i="3"/>
  <c r="C2322" i="3" s="1"/>
  <c r="H2321" i="3"/>
  <c r="G2321" i="3"/>
  <c r="F2321" i="3"/>
  <c r="D2321" i="3"/>
  <c r="C2321" i="3"/>
  <c r="H2320" i="3"/>
  <c r="G2320" i="3"/>
  <c r="F2320" i="3"/>
  <c r="D2320" i="3"/>
  <c r="C2320" i="3" s="1"/>
  <c r="H2319" i="3"/>
  <c r="G2319" i="3"/>
  <c r="F2319" i="3"/>
  <c r="D2319" i="3"/>
  <c r="C2319" i="3" s="1"/>
  <c r="H2318" i="3"/>
  <c r="G2318" i="3"/>
  <c r="F2318" i="3"/>
  <c r="D2318" i="3"/>
  <c r="C2318" i="3"/>
  <c r="H2317" i="3"/>
  <c r="G2317" i="3"/>
  <c r="F2317" i="3"/>
  <c r="D2317" i="3"/>
  <c r="C2317" i="3"/>
  <c r="H2316" i="3"/>
  <c r="G2316" i="3"/>
  <c r="F2316" i="3"/>
  <c r="D2316" i="3"/>
  <c r="C2316" i="3"/>
  <c r="H2315" i="3"/>
  <c r="G2315" i="3"/>
  <c r="F2315" i="3"/>
  <c r="D2315" i="3"/>
  <c r="C2315" i="3" s="1"/>
  <c r="H2314" i="3"/>
  <c r="G2314" i="3"/>
  <c r="F2314" i="3"/>
  <c r="D2314" i="3"/>
  <c r="C2314" i="3" s="1"/>
  <c r="H2313" i="3"/>
  <c r="G2313" i="3"/>
  <c r="F2313" i="3"/>
  <c r="D2313" i="3"/>
  <c r="C2313" i="3" s="1"/>
  <c r="H2312" i="3"/>
  <c r="G2312" i="3"/>
  <c r="F2312" i="3"/>
  <c r="D2312" i="3"/>
  <c r="C2312" i="3" s="1"/>
  <c r="H2311" i="3"/>
  <c r="G2311" i="3"/>
  <c r="F2311" i="3"/>
  <c r="D2311" i="3"/>
  <c r="C2311" i="3" s="1"/>
  <c r="H2310" i="3"/>
  <c r="G2310" i="3"/>
  <c r="F2310" i="3"/>
  <c r="D2310" i="3"/>
  <c r="C2310" i="3"/>
  <c r="H2309" i="3"/>
  <c r="G2309" i="3"/>
  <c r="F2309" i="3"/>
  <c r="D2309" i="3"/>
  <c r="C2309" i="3"/>
  <c r="H2308" i="3"/>
  <c r="G2308" i="3"/>
  <c r="F2308" i="3"/>
  <c r="D2308" i="3"/>
  <c r="C2308" i="3" s="1"/>
  <c r="H2307" i="3"/>
  <c r="G2307" i="3"/>
  <c r="F2307" i="3"/>
  <c r="D2307" i="3"/>
  <c r="C2307" i="3" s="1"/>
  <c r="H2306" i="3"/>
  <c r="G2306" i="3"/>
  <c r="F2306" i="3"/>
  <c r="D2306" i="3"/>
  <c r="C2306" i="3" s="1"/>
  <c r="H2305" i="3"/>
  <c r="G2305" i="3"/>
  <c r="F2305" i="3"/>
  <c r="D2305" i="3"/>
  <c r="C2305" i="3" s="1"/>
  <c r="H2304" i="3"/>
  <c r="G2304" i="3"/>
  <c r="F2304" i="3"/>
  <c r="D2304" i="3"/>
  <c r="C2304" i="3" s="1"/>
  <c r="H2303" i="3"/>
  <c r="G2303" i="3"/>
  <c r="F2303" i="3"/>
  <c r="D2303" i="3"/>
  <c r="C2303" i="3"/>
  <c r="H2302" i="3"/>
  <c r="G2302" i="3"/>
  <c r="F2302" i="3"/>
  <c r="D2302" i="3"/>
  <c r="C2302" i="3"/>
  <c r="H2301" i="3"/>
  <c r="G2301" i="3"/>
  <c r="F2301" i="3"/>
  <c r="D2301" i="3"/>
  <c r="C2301" i="3"/>
  <c r="H2300" i="3"/>
  <c r="G2300" i="3"/>
  <c r="F2300" i="3"/>
  <c r="D2300" i="3"/>
  <c r="C2300" i="3" s="1"/>
  <c r="H2299" i="3"/>
  <c r="G2299" i="3"/>
  <c r="F2299" i="3"/>
  <c r="D2299" i="3"/>
  <c r="C2299" i="3" s="1"/>
  <c r="H2298" i="3"/>
  <c r="G2298" i="3"/>
  <c r="F2298" i="3"/>
  <c r="D2298" i="3"/>
  <c r="C2298" i="3" s="1"/>
  <c r="H2297" i="3"/>
  <c r="G2297" i="3"/>
  <c r="F2297" i="3"/>
  <c r="D2297" i="3"/>
  <c r="C2297" i="3"/>
  <c r="H2296" i="3"/>
  <c r="G2296" i="3"/>
  <c r="F2296" i="3"/>
  <c r="D2296" i="3"/>
  <c r="C2296" i="3" s="1"/>
  <c r="H2295" i="3"/>
  <c r="G2295" i="3"/>
  <c r="F2295" i="3"/>
  <c r="D2295" i="3"/>
  <c r="C2295" i="3"/>
  <c r="H2294" i="3"/>
  <c r="G2294" i="3"/>
  <c r="F2294" i="3"/>
  <c r="D2294" i="3"/>
  <c r="C2294" i="3"/>
  <c r="H2293" i="3"/>
  <c r="G2293" i="3"/>
  <c r="F2293" i="3"/>
  <c r="D2293" i="3"/>
  <c r="C2293" i="3"/>
  <c r="H2292" i="3"/>
  <c r="G2292" i="3"/>
  <c r="F2292" i="3"/>
  <c r="D2292" i="3"/>
  <c r="C2292" i="3"/>
  <c r="H2291" i="3"/>
  <c r="G2291" i="3"/>
  <c r="F2291" i="3"/>
  <c r="D2291" i="3"/>
  <c r="C2291" i="3" s="1"/>
  <c r="H2290" i="3"/>
  <c r="G2290" i="3"/>
  <c r="F2290" i="3"/>
  <c r="D2290" i="3"/>
  <c r="C2290" i="3" s="1"/>
  <c r="H2289" i="3"/>
  <c r="G2289" i="3"/>
  <c r="F2289" i="3"/>
  <c r="D2289" i="3"/>
  <c r="C2289" i="3"/>
  <c r="H2288" i="3"/>
  <c r="G2288" i="3"/>
  <c r="F2288" i="3"/>
  <c r="D2288" i="3"/>
  <c r="C2288" i="3" s="1"/>
  <c r="H2287" i="3"/>
  <c r="G2287" i="3"/>
  <c r="F2287" i="3"/>
  <c r="D2287" i="3"/>
  <c r="C2287" i="3" s="1"/>
  <c r="H2286" i="3"/>
  <c r="G2286" i="3"/>
  <c r="F2286" i="3"/>
  <c r="D2286" i="3"/>
  <c r="C2286" i="3"/>
  <c r="H2285" i="3"/>
  <c r="G2285" i="3"/>
  <c r="F2285" i="3"/>
  <c r="D2285" i="3"/>
  <c r="C2285" i="3"/>
  <c r="H2284" i="3"/>
  <c r="G2284" i="3"/>
  <c r="F2284" i="3"/>
  <c r="D2284" i="3"/>
  <c r="C2284" i="3" s="1"/>
  <c r="H2283" i="3"/>
  <c r="G2283" i="3"/>
  <c r="F2283" i="3"/>
  <c r="D2283" i="3"/>
  <c r="C2283" i="3" s="1"/>
  <c r="H2282" i="3"/>
  <c r="G2282" i="3"/>
  <c r="F2282" i="3"/>
  <c r="D2282" i="3"/>
  <c r="C2282" i="3" s="1"/>
  <c r="H2281" i="3"/>
  <c r="G2281" i="3"/>
  <c r="F2281" i="3"/>
  <c r="D2281" i="3"/>
  <c r="C2281" i="3" s="1"/>
  <c r="H2280" i="3"/>
  <c r="G2280" i="3"/>
  <c r="F2280" i="3"/>
  <c r="D2280" i="3"/>
  <c r="C2280" i="3" s="1"/>
  <c r="H2279" i="3"/>
  <c r="G2279" i="3"/>
  <c r="F2279" i="3"/>
  <c r="D2279" i="3"/>
  <c r="C2279" i="3" s="1"/>
  <c r="H2278" i="3"/>
  <c r="G2278" i="3"/>
  <c r="F2278" i="3"/>
  <c r="D2278" i="3"/>
  <c r="C2278" i="3"/>
  <c r="H2277" i="3"/>
  <c r="G2277" i="3"/>
  <c r="F2277" i="3"/>
  <c r="D2277" i="3"/>
  <c r="C2277" i="3"/>
  <c r="H2276" i="3"/>
  <c r="G2276" i="3"/>
  <c r="F2276" i="3"/>
  <c r="D2276" i="3"/>
  <c r="C2276" i="3" s="1"/>
  <c r="H2275" i="3"/>
  <c r="G2275" i="3"/>
  <c r="F2275" i="3"/>
  <c r="D2275" i="3"/>
  <c r="C2275" i="3" s="1"/>
  <c r="H2274" i="3"/>
  <c r="G2274" i="3"/>
  <c r="F2274" i="3"/>
  <c r="D2274" i="3"/>
  <c r="C2274" i="3" s="1"/>
  <c r="H2273" i="3"/>
  <c r="G2273" i="3"/>
  <c r="F2273" i="3"/>
  <c r="D2273" i="3"/>
  <c r="C2273" i="3" s="1"/>
  <c r="H2272" i="3"/>
  <c r="G2272" i="3"/>
  <c r="F2272" i="3"/>
  <c r="D2272" i="3"/>
  <c r="C2272" i="3" s="1"/>
  <c r="H2271" i="3"/>
  <c r="G2271" i="3"/>
  <c r="F2271" i="3"/>
  <c r="D2271" i="3"/>
  <c r="C2271" i="3"/>
  <c r="H2270" i="3"/>
  <c r="G2270" i="3"/>
  <c r="F2270" i="3"/>
  <c r="D2270" i="3"/>
  <c r="C2270" i="3"/>
  <c r="H2269" i="3"/>
  <c r="G2269" i="3"/>
  <c r="F2269" i="3"/>
  <c r="D2269" i="3"/>
  <c r="C2269" i="3"/>
  <c r="H2268" i="3"/>
  <c r="G2268" i="3"/>
  <c r="F2268" i="3"/>
  <c r="D2268" i="3"/>
  <c r="C2268" i="3" s="1"/>
  <c r="H2267" i="3"/>
  <c r="G2267" i="3"/>
  <c r="F2267" i="3"/>
  <c r="D2267" i="3"/>
  <c r="C2267" i="3" s="1"/>
  <c r="H2266" i="3"/>
  <c r="G2266" i="3"/>
  <c r="F2266" i="3"/>
  <c r="D2266" i="3"/>
  <c r="C2266" i="3" s="1"/>
  <c r="H2265" i="3"/>
  <c r="G2265" i="3"/>
  <c r="F2265" i="3"/>
  <c r="D2265" i="3"/>
  <c r="C2265" i="3"/>
  <c r="H2264" i="3"/>
  <c r="G2264" i="3"/>
  <c r="F2264" i="3"/>
  <c r="D2264" i="3"/>
  <c r="C2264" i="3" s="1"/>
  <c r="H2263" i="3"/>
  <c r="G2263" i="3"/>
  <c r="F2263" i="3"/>
  <c r="D2263" i="3"/>
  <c r="C2263" i="3"/>
  <c r="H2262" i="3"/>
  <c r="G2262" i="3"/>
  <c r="F2262" i="3"/>
  <c r="D2262" i="3"/>
  <c r="C2262" i="3"/>
  <c r="H2261" i="3"/>
  <c r="G2261" i="3"/>
  <c r="F2261" i="3"/>
  <c r="D2261" i="3"/>
  <c r="C2261" i="3"/>
  <c r="H2260" i="3"/>
  <c r="G2260" i="3"/>
  <c r="F2260" i="3"/>
  <c r="D2260" i="3"/>
  <c r="C2260" i="3"/>
  <c r="H2259" i="3"/>
  <c r="G2259" i="3"/>
  <c r="F2259" i="3"/>
  <c r="D2259" i="3"/>
  <c r="C2259" i="3" s="1"/>
  <c r="H2258" i="3"/>
  <c r="G2258" i="3"/>
  <c r="F2258" i="3"/>
  <c r="D2258" i="3"/>
  <c r="C2258" i="3" s="1"/>
  <c r="H2257" i="3"/>
  <c r="G2257" i="3"/>
  <c r="F2257" i="3"/>
  <c r="D2257" i="3"/>
  <c r="C2257" i="3"/>
  <c r="H2256" i="3"/>
  <c r="G2256" i="3"/>
  <c r="F2256" i="3"/>
  <c r="D2256" i="3"/>
  <c r="C2256" i="3" s="1"/>
  <c r="H2255" i="3"/>
  <c r="G2255" i="3"/>
  <c r="F2255" i="3"/>
  <c r="D2255" i="3"/>
  <c r="C2255" i="3" s="1"/>
  <c r="H2254" i="3"/>
  <c r="G2254" i="3"/>
  <c r="F2254" i="3"/>
  <c r="D2254" i="3"/>
  <c r="C2254" i="3"/>
  <c r="H2253" i="3"/>
  <c r="G2253" i="3"/>
  <c r="F2253" i="3"/>
  <c r="D2253" i="3"/>
  <c r="C2253" i="3"/>
  <c r="H2252" i="3"/>
  <c r="G2252" i="3"/>
  <c r="F2252" i="3"/>
  <c r="D2252" i="3"/>
  <c r="C2252" i="3"/>
  <c r="H2251" i="3"/>
  <c r="G2251" i="3"/>
  <c r="F2251" i="3"/>
  <c r="D2251" i="3"/>
  <c r="C2251" i="3" s="1"/>
  <c r="H2250" i="3"/>
  <c r="G2250" i="3"/>
  <c r="F2250" i="3"/>
  <c r="D2250" i="3"/>
  <c r="C2250" i="3" s="1"/>
  <c r="H2249" i="3"/>
  <c r="G2249" i="3"/>
  <c r="F2249" i="3"/>
  <c r="D2249" i="3"/>
  <c r="C2249" i="3" s="1"/>
  <c r="H2248" i="3"/>
  <c r="G2248" i="3"/>
  <c r="F2248" i="3"/>
  <c r="D2248" i="3"/>
  <c r="C2248" i="3" s="1"/>
  <c r="H2247" i="3"/>
  <c r="G2247" i="3"/>
  <c r="F2247" i="3"/>
  <c r="D2247" i="3"/>
  <c r="C2247" i="3" s="1"/>
  <c r="H2246" i="3"/>
  <c r="G2246" i="3"/>
  <c r="F2246" i="3"/>
  <c r="D2246" i="3"/>
  <c r="C2246" i="3"/>
  <c r="H2245" i="3"/>
  <c r="G2245" i="3"/>
  <c r="F2245" i="3"/>
  <c r="D2245" i="3"/>
  <c r="C2245" i="3"/>
  <c r="H2244" i="3"/>
  <c r="G2244" i="3"/>
  <c r="F2244" i="3"/>
  <c r="D2244" i="3"/>
  <c r="C2244" i="3" s="1"/>
  <c r="H2243" i="3"/>
  <c r="G2243" i="3"/>
  <c r="F2243" i="3"/>
  <c r="D2243" i="3"/>
  <c r="C2243" i="3" s="1"/>
  <c r="H2242" i="3"/>
  <c r="G2242" i="3"/>
  <c r="F2242" i="3"/>
  <c r="D2242" i="3"/>
  <c r="C2242" i="3" s="1"/>
  <c r="H2241" i="3"/>
  <c r="G2241" i="3"/>
  <c r="F2241" i="3"/>
  <c r="D2241" i="3"/>
  <c r="C2241" i="3" s="1"/>
  <c r="H2240" i="3"/>
  <c r="G2240" i="3"/>
  <c r="F2240" i="3"/>
  <c r="D2240" i="3"/>
  <c r="C2240" i="3" s="1"/>
  <c r="H2239" i="3"/>
  <c r="G2239" i="3"/>
  <c r="F2239" i="3"/>
  <c r="D2239" i="3"/>
  <c r="C2239" i="3"/>
  <c r="H2238" i="3"/>
  <c r="G2238" i="3"/>
  <c r="F2238" i="3"/>
  <c r="D2238" i="3"/>
  <c r="C2238" i="3"/>
  <c r="H2237" i="3"/>
  <c r="G2237" i="3"/>
  <c r="F2237" i="3"/>
  <c r="D2237" i="3"/>
  <c r="C2237" i="3"/>
  <c r="H2236" i="3"/>
  <c r="G2236" i="3"/>
  <c r="F2236" i="3"/>
  <c r="D2236" i="3"/>
  <c r="C2236" i="3" s="1"/>
  <c r="H2235" i="3"/>
  <c r="G2235" i="3"/>
  <c r="F2235" i="3"/>
  <c r="D2235" i="3"/>
  <c r="C2235" i="3" s="1"/>
  <c r="H2234" i="3"/>
  <c r="G2234" i="3"/>
  <c r="F2234" i="3"/>
  <c r="D2234" i="3"/>
  <c r="C2234" i="3" s="1"/>
  <c r="H2233" i="3"/>
  <c r="G2233" i="3"/>
  <c r="F2233" i="3"/>
  <c r="D2233" i="3"/>
  <c r="C2233" i="3"/>
  <c r="H2232" i="3"/>
  <c r="G2232" i="3"/>
  <c r="F2232" i="3"/>
  <c r="D2232" i="3"/>
  <c r="C2232" i="3" s="1"/>
  <c r="H2231" i="3"/>
  <c r="G2231" i="3"/>
  <c r="F2231" i="3"/>
  <c r="D2231" i="3"/>
  <c r="C2231" i="3"/>
  <c r="H2230" i="3"/>
  <c r="G2230" i="3"/>
  <c r="F2230" i="3"/>
  <c r="D2230" i="3"/>
  <c r="C2230" i="3"/>
  <c r="H2229" i="3"/>
  <c r="G2229" i="3"/>
  <c r="F2229" i="3"/>
  <c r="D2229" i="3"/>
  <c r="C2229" i="3"/>
  <c r="H2228" i="3"/>
  <c r="G2228" i="3"/>
  <c r="F2228" i="3"/>
  <c r="D2228" i="3"/>
  <c r="C2228" i="3"/>
  <c r="H2227" i="3"/>
  <c r="G2227" i="3"/>
  <c r="F2227" i="3"/>
  <c r="D2227" i="3"/>
  <c r="C2227" i="3" s="1"/>
  <c r="H2226" i="3"/>
  <c r="G2226" i="3"/>
  <c r="F2226" i="3"/>
  <c r="D2226" i="3"/>
  <c r="C2226" i="3" s="1"/>
  <c r="H2225" i="3"/>
  <c r="G2225" i="3"/>
  <c r="F2225" i="3"/>
  <c r="D2225" i="3"/>
  <c r="C2225" i="3"/>
  <c r="H2224" i="3"/>
  <c r="G2224" i="3"/>
  <c r="F2224" i="3"/>
  <c r="D2224" i="3"/>
  <c r="C2224" i="3" s="1"/>
  <c r="H2223" i="3"/>
  <c r="G2223" i="3"/>
  <c r="F2223" i="3"/>
  <c r="D2223" i="3"/>
  <c r="C2223" i="3" s="1"/>
  <c r="H2222" i="3"/>
  <c r="G2222" i="3"/>
  <c r="F2222" i="3"/>
  <c r="D2222" i="3"/>
  <c r="C2222" i="3"/>
  <c r="H2221" i="3"/>
  <c r="G2221" i="3"/>
  <c r="F2221" i="3"/>
  <c r="D2221" i="3"/>
  <c r="C2221" i="3"/>
  <c r="H2220" i="3"/>
  <c r="G2220" i="3"/>
  <c r="F2220" i="3"/>
  <c r="D2220" i="3"/>
  <c r="C2220" i="3" s="1"/>
  <c r="H2219" i="3"/>
  <c r="G2219" i="3"/>
  <c r="F2219" i="3"/>
  <c r="D2219" i="3"/>
  <c r="C2219" i="3" s="1"/>
  <c r="H2218" i="3"/>
  <c r="G2218" i="3"/>
  <c r="F2218" i="3"/>
  <c r="D2218" i="3"/>
  <c r="C2218" i="3" s="1"/>
  <c r="H2217" i="3"/>
  <c r="G2217" i="3"/>
  <c r="F2217" i="3"/>
  <c r="D2217" i="3"/>
  <c r="C2217" i="3" s="1"/>
  <c r="H2216" i="3"/>
  <c r="G2216" i="3"/>
  <c r="F2216" i="3"/>
  <c r="D2216" i="3"/>
  <c r="C2216" i="3" s="1"/>
  <c r="H2215" i="3"/>
  <c r="G2215" i="3"/>
  <c r="F2215" i="3"/>
  <c r="D2215" i="3"/>
  <c r="C2215" i="3" s="1"/>
  <c r="H2214" i="3"/>
  <c r="G2214" i="3"/>
  <c r="F2214" i="3"/>
  <c r="D2214" i="3"/>
  <c r="C2214" i="3"/>
  <c r="H2213" i="3"/>
  <c r="G2213" i="3"/>
  <c r="F2213" i="3"/>
  <c r="D2213" i="3"/>
  <c r="C2213" i="3"/>
  <c r="H2212" i="3"/>
  <c r="G2212" i="3"/>
  <c r="F2212" i="3"/>
  <c r="D2212" i="3"/>
  <c r="C2212" i="3" s="1"/>
  <c r="H2211" i="3"/>
  <c r="G2211" i="3"/>
  <c r="F2211" i="3"/>
  <c r="D2211" i="3"/>
  <c r="C2211" i="3" s="1"/>
  <c r="H2210" i="3"/>
  <c r="G2210" i="3"/>
  <c r="F2210" i="3"/>
  <c r="D2210" i="3"/>
  <c r="C2210" i="3" s="1"/>
  <c r="H2209" i="3"/>
  <c r="G2209" i="3"/>
  <c r="F2209" i="3"/>
  <c r="D2209" i="3"/>
  <c r="C2209" i="3" s="1"/>
  <c r="H2208" i="3"/>
  <c r="G2208" i="3"/>
  <c r="F2208" i="3"/>
  <c r="D2208" i="3"/>
  <c r="C2208" i="3" s="1"/>
  <c r="H2207" i="3"/>
  <c r="G2207" i="3"/>
  <c r="F2207" i="3"/>
  <c r="D2207" i="3"/>
  <c r="C2207" i="3"/>
  <c r="H2206" i="3"/>
  <c r="G2206" i="3"/>
  <c r="F2206" i="3"/>
  <c r="D2206" i="3"/>
  <c r="C2206" i="3"/>
  <c r="H2205" i="3"/>
  <c r="G2205" i="3"/>
  <c r="F2205" i="3"/>
  <c r="D2205" i="3"/>
  <c r="C2205" i="3"/>
  <c r="H2204" i="3"/>
  <c r="G2204" i="3"/>
  <c r="F2204" i="3"/>
  <c r="D2204" i="3"/>
  <c r="C2204" i="3" s="1"/>
  <c r="H2203" i="3"/>
  <c r="G2203" i="3"/>
  <c r="F2203" i="3"/>
  <c r="D2203" i="3"/>
  <c r="C2203" i="3" s="1"/>
  <c r="H2202" i="3"/>
  <c r="G2202" i="3"/>
  <c r="F2202" i="3"/>
  <c r="D2202" i="3"/>
  <c r="C2202" i="3" s="1"/>
  <c r="H2201" i="3"/>
  <c r="G2201" i="3"/>
  <c r="F2201" i="3"/>
  <c r="D2201" i="3"/>
  <c r="C2201" i="3"/>
  <c r="H2200" i="3"/>
  <c r="G2200" i="3"/>
  <c r="F2200" i="3"/>
  <c r="D2200" i="3"/>
  <c r="C2200" i="3" s="1"/>
  <c r="H2199" i="3"/>
  <c r="G2199" i="3"/>
  <c r="F2199" i="3"/>
  <c r="D2199" i="3"/>
  <c r="C2199" i="3"/>
  <c r="H2198" i="3"/>
  <c r="G2198" i="3"/>
  <c r="F2198" i="3"/>
  <c r="D2198" i="3"/>
  <c r="C2198" i="3"/>
  <c r="H2197" i="3"/>
  <c r="G2197" i="3"/>
  <c r="F2197" i="3"/>
  <c r="D2197" i="3"/>
  <c r="C2197" i="3"/>
  <c r="H2196" i="3"/>
  <c r="G2196" i="3"/>
  <c r="F2196" i="3"/>
  <c r="D2196" i="3"/>
  <c r="C2196" i="3"/>
  <c r="H2195" i="3"/>
  <c r="G2195" i="3"/>
  <c r="F2195" i="3"/>
  <c r="D2195" i="3"/>
  <c r="C2195" i="3" s="1"/>
  <c r="H2194" i="3"/>
  <c r="G2194" i="3"/>
  <c r="F2194" i="3"/>
  <c r="D2194" i="3"/>
  <c r="C2194" i="3" s="1"/>
  <c r="H2193" i="3"/>
  <c r="G2193" i="3"/>
  <c r="F2193" i="3"/>
  <c r="D2193" i="3"/>
  <c r="C2193" i="3"/>
  <c r="H2192" i="3"/>
  <c r="G2192" i="3"/>
  <c r="F2192" i="3"/>
  <c r="D2192" i="3"/>
  <c r="C2192" i="3" s="1"/>
  <c r="H2191" i="3"/>
  <c r="G2191" i="3"/>
  <c r="F2191" i="3"/>
  <c r="D2191" i="3"/>
  <c r="C2191" i="3" s="1"/>
  <c r="H2190" i="3"/>
  <c r="G2190" i="3"/>
  <c r="F2190" i="3"/>
  <c r="D2190" i="3"/>
  <c r="C2190" i="3"/>
  <c r="H2189" i="3"/>
  <c r="G2189" i="3"/>
  <c r="F2189" i="3"/>
  <c r="D2189" i="3"/>
  <c r="C2189" i="3"/>
  <c r="H2188" i="3"/>
  <c r="G2188" i="3"/>
  <c r="F2188" i="3"/>
  <c r="D2188" i="3"/>
  <c r="C2188" i="3"/>
  <c r="H2187" i="3"/>
  <c r="G2187" i="3"/>
  <c r="F2187" i="3"/>
  <c r="D2187" i="3"/>
  <c r="C2187" i="3" s="1"/>
  <c r="H2186" i="3"/>
  <c r="G2186" i="3"/>
  <c r="F2186" i="3"/>
  <c r="D2186" i="3"/>
  <c r="C2186" i="3" s="1"/>
  <c r="H2185" i="3"/>
  <c r="G2185" i="3"/>
  <c r="F2185" i="3"/>
  <c r="D2185" i="3"/>
  <c r="C2185" i="3" s="1"/>
  <c r="H2184" i="3"/>
  <c r="G2184" i="3"/>
  <c r="F2184" i="3"/>
  <c r="D2184" i="3"/>
  <c r="C2184" i="3" s="1"/>
  <c r="H2183" i="3"/>
  <c r="G2183" i="3"/>
  <c r="F2183" i="3"/>
  <c r="D2183" i="3"/>
  <c r="C2183" i="3" s="1"/>
  <c r="H2182" i="3"/>
  <c r="G2182" i="3"/>
  <c r="F2182" i="3"/>
  <c r="D2182" i="3"/>
  <c r="C2182" i="3"/>
  <c r="H2181" i="3"/>
  <c r="G2181" i="3"/>
  <c r="F2181" i="3"/>
  <c r="D2181" i="3"/>
  <c r="C2181" i="3"/>
  <c r="H2180" i="3"/>
  <c r="G2180" i="3"/>
  <c r="F2180" i="3"/>
  <c r="D2180" i="3"/>
  <c r="C2180" i="3" s="1"/>
  <c r="H2179" i="3"/>
  <c r="G2179" i="3"/>
  <c r="F2179" i="3"/>
  <c r="D2179" i="3"/>
  <c r="C2179" i="3" s="1"/>
  <c r="H2178" i="3"/>
  <c r="G2178" i="3"/>
  <c r="F2178" i="3"/>
  <c r="D2178" i="3"/>
  <c r="C2178" i="3" s="1"/>
  <c r="H2177" i="3"/>
  <c r="G2177" i="3"/>
  <c r="F2177" i="3"/>
  <c r="D2177" i="3"/>
  <c r="C2177" i="3" s="1"/>
  <c r="H2176" i="3"/>
  <c r="G2176" i="3"/>
  <c r="F2176" i="3"/>
  <c r="D2176" i="3"/>
  <c r="C2176" i="3" s="1"/>
  <c r="H2175" i="3"/>
  <c r="G2175" i="3"/>
  <c r="F2175" i="3"/>
  <c r="D2175" i="3"/>
  <c r="C2175" i="3"/>
  <c r="H2174" i="3"/>
  <c r="G2174" i="3"/>
  <c r="F2174" i="3"/>
  <c r="D2174" i="3"/>
  <c r="C2174" i="3"/>
  <c r="H2173" i="3"/>
  <c r="G2173" i="3"/>
  <c r="F2173" i="3"/>
  <c r="D2173" i="3"/>
  <c r="C2173" i="3"/>
  <c r="H2172" i="3"/>
  <c r="G2172" i="3"/>
  <c r="F2172" i="3"/>
  <c r="D2172" i="3"/>
  <c r="C2172" i="3" s="1"/>
  <c r="H2171" i="3"/>
  <c r="G2171" i="3"/>
  <c r="F2171" i="3"/>
  <c r="D2171" i="3"/>
  <c r="C2171" i="3" s="1"/>
  <c r="H2170" i="3"/>
  <c r="G2170" i="3"/>
  <c r="F2170" i="3"/>
  <c r="D2170" i="3"/>
  <c r="C2170" i="3" s="1"/>
  <c r="H2169" i="3"/>
  <c r="G2169" i="3"/>
  <c r="F2169" i="3"/>
  <c r="D2169" i="3"/>
  <c r="C2169" i="3"/>
  <c r="H2168" i="3"/>
  <c r="G2168" i="3"/>
  <c r="F2168" i="3"/>
  <c r="D2168" i="3"/>
  <c r="C2168" i="3" s="1"/>
  <c r="H2167" i="3"/>
  <c r="G2167" i="3"/>
  <c r="F2167" i="3"/>
  <c r="D2167" i="3"/>
  <c r="C2167" i="3"/>
  <c r="H2166" i="3"/>
  <c r="G2166" i="3"/>
  <c r="F2166" i="3"/>
  <c r="D2166" i="3"/>
  <c r="C2166" i="3"/>
  <c r="H2165" i="3"/>
  <c r="G2165" i="3"/>
  <c r="F2165" i="3"/>
  <c r="D2165" i="3"/>
  <c r="C2165" i="3"/>
  <c r="H2164" i="3"/>
  <c r="G2164" i="3"/>
  <c r="F2164" i="3"/>
  <c r="D2164" i="3"/>
  <c r="C2164" i="3"/>
  <c r="H2163" i="3"/>
  <c r="G2163" i="3"/>
  <c r="F2163" i="3"/>
  <c r="D2163" i="3"/>
  <c r="C2163" i="3" s="1"/>
  <c r="H2162" i="3"/>
  <c r="G2162" i="3"/>
  <c r="F2162" i="3"/>
  <c r="D2162" i="3"/>
  <c r="C2162" i="3" s="1"/>
  <c r="H2161" i="3"/>
  <c r="G2161" i="3"/>
  <c r="F2161" i="3"/>
  <c r="D2161" i="3"/>
  <c r="C2161" i="3"/>
  <c r="H2160" i="3"/>
  <c r="G2160" i="3"/>
  <c r="F2160" i="3"/>
  <c r="D2160" i="3"/>
  <c r="C2160" i="3" s="1"/>
  <c r="H2159" i="3"/>
  <c r="G2159" i="3"/>
  <c r="F2159" i="3"/>
  <c r="D2159" i="3"/>
  <c r="C2159" i="3" s="1"/>
  <c r="H2158" i="3"/>
  <c r="G2158" i="3"/>
  <c r="F2158" i="3"/>
  <c r="D2158" i="3"/>
  <c r="C2158" i="3"/>
  <c r="H2157" i="3"/>
  <c r="G2157" i="3"/>
  <c r="F2157" i="3"/>
  <c r="D2157" i="3"/>
  <c r="C2157" i="3"/>
  <c r="H2156" i="3"/>
  <c r="G2156" i="3"/>
  <c r="F2156" i="3"/>
  <c r="D2156" i="3"/>
  <c r="C2156" i="3" s="1"/>
  <c r="H2155" i="3"/>
  <c r="G2155" i="3"/>
  <c r="F2155" i="3"/>
  <c r="D2155" i="3"/>
  <c r="C2155" i="3" s="1"/>
  <c r="H2154" i="3"/>
  <c r="G2154" i="3"/>
  <c r="F2154" i="3"/>
  <c r="D2154" i="3"/>
  <c r="C2154" i="3" s="1"/>
  <c r="H2153" i="3"/>
  <c r="G2153" i="3"/>
  <c r="F2153" i="3"/>
  <c r="D2153" i="3"/>
  <c r="C2153" i="3" s="1"/>
  <c r="H2152" i="3"/>
  <c r="G2152" i="3"/>
  <c r="F2152" i="3"/>
  <c r="D2152" i="3"/>
  <c r="C2152" i="3" s="1"/>
  <c r="H2151" i="3"/>
  <c r="G2151" i="3"/>
  <c r="F2151" i="3"/>
  <c r="D2151" i="3"/>
  <c r="C2151" i="3" s="1"/>
  <c r="H2150" i="3"/>
  <c r="G2150" i="3"/>
  <c r="F2150" i="3"/>
  <c r="D2150" i="3"/>
  <c r="C2150" i="3"/>
  <c r="H2149" i="3"/>
  <c r="G2149" i="3"/>
  <c r="F2149" i="3"/>
  <c r="D2149" i="3"/>
  <c r="C2149" i="3"/>
  <c r="H2148" i="3"/>
  <c r="G2148" i="3"/>
  <c r="F2148" i="3"/>
  <c r="D2148" i="3"/>
  <c r="C2148" i="3" s="1"/>
  <c r="H2147" i="3"/>
  <c r="G2147" i="3"/>
  <c r="F2147" i="3"/>
  <c r="D2147" i="3"/>
  <c r="C2147" i="3" s="1"/>
  <c r="H2146" i="3"/>
  <c r="G2146" i="3"/>
  <c r="F2146" i="3"/>
  <c r="D2146" i="3"/>
  <c r="C2146" i="3" s="1"/>
  <c r="H2145" i="3"/>
  <c r="G2145" i="3"/>
  <c r="F2145" i="3"/>
  <c r="D2145" i="3"/>
  <c r="C2145" i="3" s="1"/>
  <c r="H2144" i="3"/>
  <c r="G2144" i="3"/>
  <c r="F2144" i="3"/>
  <c r="D2144" i="3"/>
  <c r="C2144" i="3" s="1"/>
  <c r="H2143" i="3"/>
  <c r="G2143" i="3"/>
  <c r="F2143" i="3"/>
  <c r="D2143" i="3"/>
  <c r="C2143" i="3"/>
  <c r="H2142" i="3"/>
  <c r="G2142" i="3"/>
  <c r="F2142" i="3"/>
  <c r="D2142" i="3"/>
  <c r="C2142" i="3"/>
  <c r="H2141" i="3"/>
  <c r="G2141" i="3"/>
  <c r="F2141" i="3"/>
  <c r="D2141" i="3"/>
  <c r="C2141" i="3"/>
  <c r="H2140" i="3"/>
  <c r="G2140" i="3"/>
  <c r="F2140" i="3"/>
  <c r="D2140" i="3"/>
  <c r="C2140" i="3" s="1"/>
  <c r="H2139" i="3"/>
  <c r="G2139" i="3"/>
  <c r="F2139" i="3"/>
  <c r="D2139" i="3"/>
  <c r="C2139" i="3" s="1"/>
  <c r="H2138" i="3"/>
  <c r="G2138" i="3"/>
  <c r="F2138" i="3"/>
  <c r="D2138" i="3"/>
  <c r="C2138" i="3" s="1"/>
  <c r="H2137" i="3"/>
  <c r="G2137" i="3"/>
  <c r="F2137" i="3"/>
  <c r="D2137" i="3"/>
  <c r="C2137" i="3"/>
  <c r="H2136" i="3"/>
  <c r="G2136" i="3"/>
  <c r="F2136" i="3"/>
  <c r="D2136" i="3"/>
  <c r="C2136" i="3" s="1"/>
  <c r="H2135" i="3"/>
  <c r="G2135" i="3"/>
  <c r="F2135" i="3"/>
  <c r="D2135" i="3"/>
  <c r="C2135" i="3"/>
  <c r="H2134" i="3"/>
  <c r="G2134" i="3"/>
  <c r="F2134" i="3"/>
  <c r="D2134" i="3"/>
  <c r="C2134" i="3"/>
  <c r="H2133" i="3"/>
  <c r="G2133" i="3"/>
  <c r="F2133" i="3"/>
  <c r="D2133" i="3"/>
  <c r="C2133" i="3"/>
  <c r="H2132" i="3"/>
  <c r="G2132" i="3"/>
  <c r="F2132" i="3"/>
  <c r="D2132" i="3"/>
  <c r="C2132" i="3"/>
  <c r="H2131" i="3"/>
  <c r="G2131" i="3"/>
  <c r="F2131" i="3"/>
  <c r="D2131" i="3"/>
  <c r="C2131" i="3" s="1"/>
  <c r="H2130" i="3"/>
  <c r="G2130" i="3"/>
  <c r="F2130" i="3"/>
  <c r="D2130" i="3"/>
  <c r="C2130" i="3" s="1"/>
  <c r="H2129" i="3"/>
  <c r="G2129" i="3"/>
  <c r="F2129" i="3"/>
  <c r="D2129" i="3"/>
  <c r="C2129" i="3"/>
  <c r="H2128" i="3"/>
  <c r="G2128" i="3"/>
  <c r="F2128" i="3"/>
  <c r="D2128" i="3"/>
  <c r="C2128" i="3" s="1"/>
  <c r="H2127" i="3"/>
  <c r="G2127" i="3"/>
  <c r="F2127" i="3"/>
  <c r="D2127" i="3"/>
  <c r="C2127" i="3" s="1"/>
  <c r="H2126" i="3"/>
  <c r="G2126" i="3"/>
  <c r="F2126" i="3"/>
  <c r="D2126" i="3"/>
  <c r="C2126" i="3"/>
  <c r="H2125" i="3"/>
  <c r="G2125" i="3"/>
  <c r="F2125" i="3"/>
  <c r="D2125" i="3"/>
  <c r="C2125" i="3"/>
  <c r="H2124" i="3"/>
  <c r="G2124" i="3"/>
  <c r="F2124" i="3"/>
  <c r="D2124" i="3"/>
  <c r="C2124" i="3"/>
  <c r="H2123" i="3"/>
  <c r="G2123" i="3"/>
  <c r="F2123" i="3"/>
  <c r="D2123" i="3"/>
  <c r="C2123" i="3" s="1"/>
  <c r="H2122" i="3"/>
  <c r="G2122" i="3"/>
  <c r="F2122" i="3"/>
  <c r="D2122" i="3"/>
  <c r="C2122" i="3" s="1"/>
  <c r="H2121" i="3"/>
  <c r="G2121" i="3"/>
  <c r="F2121" i="3"/>
  <c r="D2121" i="3"/>
  <c r="C2121" i="3" s="1"/>
  <c r="H2120" i="3"/>
  <c r="G2120" i="3"/>
  <c r="F2120" i="3"/>
  <c r="D2120" i="3"/>
  <c r="C2120" i="3" s="1"/>
  <c r="H2119" i="3"/>
  <c r="G2119" i="3"/>
  <c r="F2119" i="3"/>
  <c r="D2119" i="3"/>
  <c r="C2119" i="3" s="1"/>
  <c r="H2118" i="3"/>
  <c r="G2118" i="3"/>
  <c r="F2118" i="3"/>
  <c r="D2118" i="3"/>
  <c r="C2118" i="3"/>
  <c r="H2117" i="3"/>
  <c r="G2117" i="3"/>
  <c r="F2117" i="3"/>
  <c r="D2117" i="3"/>
  <c r="C2117" i="3"/>
  <c r="H2116" i="3"/>
  <c r="G2116" i="3"/>
  <c r="F2116" i="3"/>
  <c r="D2116" i="3"/>
  <c r="C2116" i="3" s="1"/>
  <c r="H2115" i="3"/>
  <c r="G2115" i="3"/>
  <c r="F2115" i="3"/>
  <c r="D2115" i="3"/>
  <c r="C2115" i="3" s="1"/>
  <c r="H2114" i="3"/>
  <c r="G2114" i="3"/>
  <c r="F2114" i="3"/>
  <c r="D2114" i="3"/>
  <c r="C2114" i="3" s="1"/>
  <c r="H2113" i="3"/>
  <c r="G2113" i="3"/>
  <c r="F2113" i="3"/>
  <c r="D2113" i="3"/>
  <c r="C2113" i="3" s="1"/>
  <c r="H2112" i="3"/>
  <c r="G2112" i="3"/>
  <c r="F2112" i="3"/>
  <c r="D2112" i="3"/>
  <c r="C2112" i="3" s="1"/>
  <c r="H2111" i="3"/>
  <c r="G2111" i="3"/>
  <c r="F2111" i="3"/>
  <c r="D2111" i="3"/>
  <c r="C2111" i="3"/>
  <c r="H2110" i="3"/>
  <c r="G2110" i="3"/>
  <c r="F2110" i="3"/>
  <c r="D2110" i="3"/>
  <c r="C2110" i="3"/>
  <c r="H2109" i="3"/>
  <c r="G2109" i="3"/>
  <c r="F2109" i="3"/>
  <c r="D2109" i="3"/>
  <c r="C2109" i="3"/>
  <c r="H2108" i="3"/>
  <c r="G2108" i="3"/>
  <c r="F2108" i="3"/>
  <c r="D2108" i="3"/>
  <c r="C2108" i="3" s="1"/>
  <c r="H2107" i="3"/>
  <c r="G2107" i="3"/>
  <c r="F2107" i="3"/>
  <c r="D2107" i="3"/>
  <c r="C2107" i="3" s="1"/>
  <c r="H2106" i="3"/>
  <c r="G2106" i="3"/>
  <c r="F2106" i="3"/>
  <c r="D2106" i="3"/>
  <c r="C2106" i="3" s="1"/>
  <c r="H2105" i="3"/>
  <c r="G2105" i="3"/>
  <c r="F2105" i="3"/>
  <c r="D2105" i="3"/>
  <c r="C2105" i="3"/>
  <c r="H2104" i="3"/>
  <c r="G2104" i="3"/>
  <c r="F2104" i="3"/>
  <c r="D2104" i="3"/>
  <c r="C2104" i="3" s="1"/>
  <c r="H2103" i="3"/>
  <c r="G2103" i="3"/>
  <c r="F2103" i="3"/>
  <c r="D2103" i="3"/>
  <c r="C2103" i="3"/>
  <c r="H2102" i="3"/>
  <c r="G2102" i="3"/>
  <c r="F2102" i="3"/>
  <c r="D2102" i="3"/>
  <c r="C2102" i="3"/>
  <c r="H2101" i="3"/>
  <c r="G2101" i="3"/>
  <c r="F2101" i="3"/>
  <c r="D2101" i="3"/>
  <c r="C2101" i="3"/>
  <c r="H2100" i="3"/>
  <c r="G2100" i="3"/>
  <c r="F2100" i="3"/>
  <c r="D2100" i="3"/>
  <c r="C2100" i="3"/>
  <c r="H2099" i="3"/>
  <c r="G2099" i="3"/>
  <c r="F2099" i="3"/>
  <c r="D2099" i="3"/>
  <c r="C2099" i="3" s="1"/>
  <c r="H2098" i="3"/>
  <c r="G2098" i="3"/>
  <c r="F2098" i="3"/>
  <c r="D2098" i="3"/>
  <c r="C2098" i="3" s="1"/>
  <c r="H2097" i="3"/>
  <c r="G2097" i="3"/>
  <c r="F2097" i="3"/>
  <c r="D2097" i="3"/>
  <c r="C2097" i="3"/>
  <c r="H2096" i="3"/>
  <c r="G2096" i="3"/>
  <c r="F2096" i="3"/>
  <c r="D2096" i="3"/>
  <c r="C2096" i="3" s="1"/>
  <c r="H2095" i="3"/>
  <c r="G2095" i="3"/>
  <c r="F2095" i="3"/>
  <c r="D2095" i="3"/>
  <c r="C2095" i="3" s="1"/>
  <c r="H2094" i="3"/>
  <c r="G2094" i="3"/>
  <c r="F2094" i="3"/>
  <c r="D2094" i="3"/>
  <c r="C2094" i="3"/>
  <c r="H2093" i="3"/>
  <c r="G2093" i="3"/>
  <c r="F2093" i="3"/>
  <c r="D2093" i="3"/>
  <c r="C2093" i="3"/>
  <c r="H2092" i="3"/>
  <c r="G2092" i="3"/>
  <c r="F2092" i="3"/>
  <c r="D2092" i="3"/>
  <c r="C2092" i="3" s="1"/>
  <c r="H2091" i="3"/>
  <c r="G2091" i="3"/>
  <c r="F2091" i="3"/>
  <c r="D2091" i="3"/>
  <c r="C2091" i="3" s="1"/>
  <c r="H2090" i="3"/>
  <c r="G2090" i="3"/>
  <c r="F2090" i="3"/>
  <c r="D2090" i="3"/>
  <c r="C2090" i="3" s="1"/>
  <c r="H2089" i="3"/>
  <c r="G2089" i="3"/>
  <c r="F2089" i="3"/>
  <c r="D2089" i="3"/>
  <c r="C2089" i="3" s="1"/>
  <c r="H2088" i="3"/>
  <c r="G2088" i="3"/>
  <c r="F2088" i="3"/>
  <c r="D2088" i="3"/>
  <c r="C2088" i="3" s="1"/>
  <c r="H2087" i="3"/>
  <c r="G2087" i="3"/>
  <c r="F2087" i="3"/>
  <c r="D2087" i="3"/>
  <c r="C2087" i="3" s="1"/>
  <c r="H2086" i="3"/>
  <c r="G2086" i="3"/>
  <c r="F2086" i="3"/>
  <c r="D2086" i="3"/>
  <c r="C2086" i="3"/>
  <c r="H2085" i="3"/>
  <c r="G2085" i="3"/>
  <c r="F2085" i="3"/>
  <c r="D2085" i="3"/>
  <c r="C2085" i="3"/>
  <c r="H2084" i="3"/>
  <c r="G2084" i="3"/>
  <c r="F2084" i="3"/>
  <c r="D2084" i="3"/>
  <c r="C2084" i="3" s="1"/>
  <c r="H2083" i="3"/>
  <c r="G2083" i="3"/>
  <c r="F2083" i="3"/>
  <c r="D2083" i="3"/>
  <c r="C2083" i="3" s="1"/>
  <c r="H2082" i="3"/>
  <c r="G2082" i="3"/>
  <c r="F2082" i="3"/>
  <c r="D2082" i="3"/>
  <c r="C2082" i="3" s="1"/>
  <c r="H2081" i="3"/>
  <c r="G2081" i="3"/>
  <c r="F2081" i="3"/>
  <c r="D2081" i="3"/>
  <c r="C2081" i="3" s="1"/>
  <c r="H2080" i="3"/>
  <c r="G2080" i="3"/>
  <c r="F2080" i="3"/>
  <c r="D2080" i="3"/>
  <c r="C2080" i="3" s="1"/>
  <c r="H2079" i="3"/>
  <c r="G2079" i="3"/>
  <c r="F2079" i="3"/>
  <c r="D2079" i="3"/>
  <c r="C2079" i="3"/>
  <c r="H2078" i="3"/>
  <c r="G2078" i="3"/>
  <c r="F2078" i="3"/>
  <c r="D2078" i="3"/>
  <c r="C2078" i="3"/>
  <c r="H2077" i="3"/>
  <c r="G2077" i="3"/>
  <c r="F2077" i="3"/>
  <c r="D2077" i="3"/>
  <c r="C2077" i="3"/>
  <c r="H2076" i="3"/>
  <c r="G2076" i="3"/>
  <c r="F2076" i="3"/>
  <c r="D2076" i="3"/>
  <c r="C2076" i="3" s="1"/>
  <c r="H2075" i="3"/>
  <c r="G2075" i="3"/>
  <c r="F2075" i="3"/>
  <c r="D2075" i="3"/>
  <c r="C2075" i="3" s="1"/>
  <c r="H2074" i="3"/>
  <c r="G2074" i="3"/>
  <c r="F2074" i="3"/>
  <c r="D2074" i="3"/>
  <c r="C2074" i="3" s="1"/>
  <c r="H2073" i="3"/>
  <c r="G2073" i="3"/>
  <c r="F2073" i="3"/>
  <c r="D2073" i="3"/>
  <c r="C2073" i="3"/>
  <c r="H2072" i="3"/>
  <c r="G2072" i="3"/>
  <c r="F2072" i="3"/>
  <c r="D2072" i="3"/>
  <c r="C2072" i="3" s="1"/>
  <c r="H2071" i="3"/>
  <c r="G2071" i="3"/>
  <c r="F2071" i="3"/>
  <c r="D2071" i="3"/>
  <c r="C2071" i="3"/>
  <c r="H2070" i="3"/>
  <c r="G2070" i="3"/>
  <c r="F2070" i="3"/>
  <c r="D2070" i="3"/>
  <c r="C2070" i="3"/>
  <c r="H2069" i="3"/>
  <c r="G2069" i="3"/>
  <c r="F2069" i="3"/>
  <c r="D2069" i="3"/>
  <c r="C2069" i="3"/>
  <c r="H2068" i="3"/>
  <c r="G2068" i="3"/>
  <c r="F2068" i="3"/>
  <c r="D2068" i="3"/>
  <c r="C2068" i="3"/>
  <c r="H2067" i="3"/>
  <c r="G2067" i="3"/>
  <c r="F2067" i="3"/>
  <c r="D2067" i="3"/>
  <c r="C2067" i="3" s="1"/>
  <c r="H2066" i="3"/>
  <c r="G2066" i="3"/>
  <c r="F2066" i="3"/>
  <c r="D2066" i="3"/>
  <c r="C2066" i="3" s="1"/>
  <c r="H2065" i="3"/>
  <c r="G2065" i="3"/>
  <c r="F2065" i="3"/>
  <c r="D2065" i="3"/>
  <c r="C2065" i="3"/>
  <c r="H2064" i="3"/>
  <c r="G2064" i="3"/>
  <c r="F2064" i="3"/>
  <c r="D2064" i="3"/>
  <c r="C2064" i="3" s="1"/>
  <c r="H2063" i="3"/>
  <c r="G2063" i="3"/>
  <c r="F2063" i="3"/>
  <c r="D2063" i="3"/>
  <c r="C2063" i="3" s="1"/>
  <c r="H2062" i="3"/>
  <c r="G2062" i="3"/>
  <c r="F2062" i="3"/>
  <c r="D2062" i="3"/>
  <c r="C2062" i="3"/>
  <c r="H2061" i="3"/>
  <c r="G2061" i="3"/>
  <c r="F2061" i="3"/>
  <c r="D2061" i="3"/>
  <c r="C2061" i="3"/>
  <c r="H2060" i="3"/>
  <c r="G2060" i="3"/>
  <c r="F2060" i="3"/>
  <c r="D2060" i="3"/>
  <c r="C2060" i="3"/>
  <c r="H2059" i="3"/>
  <c r="G2059" i="3"/>
  <c r="F2059" i="3"/>
  <c r="D2059" i="3"/>
  <c r="C2059" i="3" s="1"/>
  <c r="H2058" i="3"/>
  <c r="G2058" i="3"/>
  <c r="F2058" i="3"/>
  <c r="D2058" i="3"/>
  <c r="C2058" i="3" s="1"/>
  <c r="H2057" i="3"/>
  <c r="G2057" i="3"/>
  <c r="F2057" i="3"/>
  <c r="D2057" i="3"/>
  <c r="C2057" i="3" s="1"/>
  <c r="H2056" i="3"/>
  <c r="G2056" i="3"/>
  <c r="F2056" i="3"/>
  <c r="D2056" i="3"/>
  <c r="C2056" i="3" s="1"/>
  <c r="H2055" i="3"/>
  <c r="G2055" i="3"/>
  <c r="F2055" i="3"/>
  <c r="D2055" i="3"/>
  <c r="C2055" i="3" s="1"/>
  <c r="H2054" i="3"/>
  <c r="G2054" i="3"/>
  <c r="F2054" i="3"/>
  <c r="D2054" i="3"/>
  <c r="C2054" i="3"/>
  <c r="H2053" i="3"/>
  <c r="G2053" i="3"/>
  <c r="F2053" i="3"/>
  <c r="D2053" i="3"/>
  <c r="C2053" i="3"/>
  <c r="H2052" i="3"/>
  <c r="G2052" i="3"/>
  <c r="F2052" i="3"/>
  <c r="D2052" i="3"/>
  <c r="C2052" i="3" s="1"/>
  <c r="H2051" i="3"/>
  <c r="G2051" i="3"/>
  <c r="F2051" i="3"/>
  <c r="D2051" i="3"/>
  <c r="C2051" i="3" s="1"/>
  <c r="H2050" i="3"/>
  <c r="G2050" i="3"/>
  <c r="F2050" i="3"/>
  <c r="D2050" i="3"/>
  <c r="C2050" i="3" s="1"/>
  <c r="H2049" i="3"/>
  <c r="G2049" i="3"/>
  <c r="F2049" i="3"/>
  <c r="D2049" i="3"/>
  <c r="C2049" i="3" s="1"/>
  <c r="H2048" i="3"/>
  <c r="G2048" i="3"/>
  <c r="F2048" i="3"/>
  <c r="D2048" i="3"/>
  <c r="C2048" i="3" s="1"/>
  <c r="H2047" i="3"/>
  <c r="G2047" i="3"/>
  <c r="F2047" i="3"/>
  <c r="D2047" i="3"/>
  <c r="C2047" i="3"/>
  <c r="H2046" i="3"/>
  <c r="G2046" i="3"/>
  <c r="F2046" i="3"/>
  <c r="D2046" i="3"/>
  <c r="C2046" i="3"/>
  <c r="H2045" i="3"/>
  <c r="G2045" i="3"/>
  <c r="F2045" i="3"/>
  <c r="D2045" i="3"/>
  <c r="C2045" i="3"/>
  <c r="H2044" i="3"/>
  <c r="G2044" i="3"/>
  <c r="F2044" i="3"/>
  <c r="D2044" i="3"/>
  <c r="C2044" i="3" s="1"/>
  <c r="H2043" i="3"/>
  <c r="G2043" i="3"/>
  <c r="F2043" i="3"/>
  <c r="D2043" i="3"/>
  <c r="C2043" i="3" s="1"/>
  <c r="H2042" i="3"/>
  <c r="G2042" i="3"/>
  <c r="F2042" i="3"/>
  <c r="D2042" i="3"/>
  <c r="C2042" i="3" s="1"/>
  <c r="H2041" i="3"/>
  <c r="G2041" i="3"/>
  <c r="F2041" i="3"/>
  <c r="D2041" i="3"/>
  <c r="C2041" i="3"/>
  <c r="H2040" i="3"/>
  <c r="G2040" i="3"/>
  <c r="F2040" i="3"/>
  <c r="D2040" i="3"/>
  <c r="C2040" i="3" s="1"/>
  <c r="H2039" i="3"/>
  <c r="G2039" i="3"/>
  <c r="F2039" i="3"/>
  <c r="D2039" i="3"/>
  <c r="C2039" i="3"/>
  <c r="H2038" i="3"/>
  <c r="G2038" i="3"/>
  <c r="F2038" i="3"/>
  <c r="D2038" i="3"/>
  <c r="C2038" i="3"/>
  <c r="H2037" i="3"/>
  <c r="G2037" i="3"/>
  <c r="F2037" i="3"/>
  <c r="D2037" i="3"/>
  <c r="C2037" i="3"/>
  <c r="H2036" i="3"/>
  <c r="G2036" i="3"/>
  <c r="F2036" i="3"/>
  <c r="D2036" i="3"/>
  <c r="C2036" i="3"/>
  <c r="H2035" i="3"/>
  <c r="G2035" i="3"/>
  <c r="F2035" i="3"/>
  <c r="D2035" i="3"/>
  <c r="C2035" i="3" s="1"/>
  <c r="H2034" i="3"/>
  <c r="G2034" i="3"/>
  <c r="F2034" i="3"/>
  <c r="D2034" i="3"/>
  <c r="C2034" i="3" s="1"/>
  <c r="H2033" i="3"/>
  <c r="G2033" i="3"/>
  <c r="F2033" i="3"/>
  <c r="D2033" i="3"/>
  <c r="C2033" i="3"/>
  <c r="H2032" i="3"/>
  <c r="G2032" i="3"/>
  <c r="F2032" i="3"/>
  <c r="D2032" i="3"/>
  <c r="C2032" i="3" s="1"/>
  <c r="H2031" i="3"/>
  <c r="G2031" i="3"/>
  <c r="F2031" i="3"/>
  <c r="D2031" i="3"/>
  <c r="C2031" i="3" s="1"/>
  <c r="H2030" i="3"/>
  <c r="G2030" i="3"/>
  <c r="F2030" i="3"/>
  <c r="D2030" i="3"/>
  <c r="C2030" i="3"/>
  <c r="H2029" i="3"/>
  <c r="G2029" i="3"/>
  <c r="F2029" i="3"/>
  <c r="D2029" i="3"/>
  <c r="C2029" i="3"/>
  <c r="H2028" i="3"/>
  <c r="G2028" i="3"/>
  <c r="F2028" i="3"/>
  <c r="D2028" i="3"/>
  <c r="C2028" i="3" s="1"/>
  <c r="H2027" i="3"/>
  <c r="G2027" i="3"/>
  <c r="F2027" i="3"/>
  <c r="D2027" i="3"/>
  <c r="C2027" i="3" s="1"/>
  <c r="H2026" i="3"/>
  <c r="G2026" i="3"/>
  <c r="F2026" i="3"/>
  <c r="D2026" i="3"/>
  <c r="C2026" i="3" s="1"/>
  <c r="H2025" i="3"/>
  <c r="G2025" i="3"/>
  <c r="F2025" i="3"/>
  <c r="D2025" i="3"/>
  <c r="C2025" i="3" s="1"/>
  <c r="H2024" i="3"/>
  <c r="G2024" i="3"/>
  <c r="F2024" i="3"/>
  <c r="D2024" i="3"/>
  <c r="C2024" i="3" s="1"/>
  <c r="H2023" i="3"/>
  <c r="G2023" i="3"/>
  <c r="F2023" i="3"/>
  <c r="D2023" i="3"/>
  <c r="C2023" i="3" s="1"/>
  <c r="H2022" i="3"/>
  <c r="G2022" i="3"/>
  <c r="F2022" i="3"/>
  <c r="D2022" i="3"/>
  <c r="C2022" i="3"/>
  <c r="H2021" i="3"/>
  <c r="G2021" i="3"/>
  <c r="F2021" i="3"/>
  <c r="D2021" i="3"/>
  <c r="C2021" i="3"/>
  <c r="H2020" i="3"/>
  <c r="G2020" i="3"/>
  <c r="F2020" i="3"/>
  <c r="D2020" i="3"/>
  <c r="C2020" i="3" s="1"/>
  <c r="H2019" i="3"/>
  <c r="G2019" i="3"/>
  <c r="F2019" i="3"/>
  <c r="D2019" i="3"/>
  <c r="C2019" i="3" s="1"/>
  <c r="H2018" i="3"/>
  <c r="G2018" i="3"/>
  <c r="F2018" i="3"/>
  <c r="D2018" i="3"/>
  <c r="C2018" i="3" s="1"/>
  <c r="H2017" i="3"/>
  <c r="G2017" i="3"/>
  <c r="F2017" i="3"/>
  <c r="D2017" i="3"/>
  <c r="C2017" i="3"/>
  <c r="H2016" i="3"/>
  <c r="G2016" i="3"/>
  <c r="F2016" i="3"/>
  <c r="D2016" i="3"/>
  <c r="C2016" i="3" s="1"/>
  <c r="H2015" i="3"/>
  <c r="G2015" i="3"/>
  <c r="F2015" i="3"/>
  <c r="D2015" i="3"/>
  <c r="C2015" i="3" s="1"/>
  <c r="H2014" i="3"/>
  <c r="G2014" i="3"/>
  <c r="F2014" i="3"/>
  <c r="D2014" i="3"/>
  <c r="C2014" i="3"/>
  <c r="H2013" i="3"/>
  <c r="G2013" i="3"/>
  <c r="F2013" i="3"/>
  <c r="D2013" i="3"/>
  <c r="C2013" i="3"/>
  <c r="H2012" i="3"/>
  <c r="G2012" i="3"/>
  <c r="F2012" i="3"/>
  <c r="D2012" i="3"/>
  <c r="C2012" i="3"/>
  <c r="H2011" i="3"/>
  <c r="G2011" i="3"/>
  <c r="F2011" i="3"/>
  <c r="D2011" i="3"/>
  <c r="C2011" i="3" s="1"/>
  <c r="H2010" i="3"/>
  <c r="G2010" i="3"/>
  <c r="F2010" i="3"/>
  <c r="D2010" i="3"/>
  <c r="C2010" i="3" s="1"/>
  <c r="H2009" i="3"/>
  <c r="G2009" i="3"/>
  <c r="F2009" i="3"/>
  <c r="D2009" i="3"/>
  <c r="C2009" i="3" s="1"/>
  <c r="H2008" i="3"/>
  <c r="G2008" i="3"/>
  <c r="F2008" i="3"/>
  <c r="D2008" i="3"/>
  <c r="C2008" i="3"/>
  <c r="H2007" i="3"/>
  <c r="G2007" i="3"/>
  <c r="F2007" i="3"/>
  <c r="D2007" i="3"/>
  <c r="C2007" i="3"/>
  <c r="H2006" i="3"/>
  <c r="G2006" i="3"/>
  <c r="F2006" i="3"/>
  <c r="D2006" i="3"/>
  <c r="C2006" i="3"/>
  <c r="H2005" i="3"/>
  <c r="G2005" i="3"/>
  <c r="F2005" i="3"/>
  <c r="D2005" i="3"/>
  <c r="C2005" i="3" s="1"/>
  <c r="H2004" i="3"/>
  <c r="G2004" i="3"/>
  <c r="F2004" i="3"/>
  <c r="D2004" i="3"/>
  <c r="C2004" i="3"/>
  <c r="H2003" i="3"/>
  <c r="G2003" i="3"/>
  <c r="F2003" i="3"/>
  <c r="D2003" i="3"/>
  <c r="C2003" i="3" s="1"/>
  <c r="H2002" i="3"/>
  <c r="G2002" i="3"/>
  <c r="F2002" i="3"/>
  <c r="D2002" i="3"/>
  <c r="C2002" i="3"/>
  <c r="H2001" i="3"/>
  <c r="G2001" i="3"/>
  <c r="F2001" i="3"/>
  <c r="D2001" i="3"/>
  <c r="C2001" i="3" s="1"/>
  <c r="H2000" i="3"/>
  <c r="G2000" i="3"/>
  <c r="F2000" i="3"/>
  <c r="D2000" i="3"/>
  <c r="C2000" i="3" s="1"/>
  <c r="H1999" i="3"/>
  <c r="G1999" i="3"/>
  <c r="F1999" i="3"/>
  <c r="D1999" i="3"/>
  <c r="C1999" i="3"/>
  <c r="H1998" i="3"/>
  <c r="G1998" i="3"/>
  <c r="F1998" i="3"/>
  <c r="D1998" i="3"/>
  <c r="C1998" i="3"/>
  <c r="H1997" i="3"/>
  <c r="G1997" i="3"/>
  <c r="F1997" i="3"/>
  <c r="D1997" i="3"/>
  <c r="C1997" i="3" s="1"/>
  <c r="H1996" i="3"/>
  <c r="G1996" i="3"/>
  <c r="F1996" i="3"/>
  <c r="D1996" i="3"/>
  <c r="C1996" i="3" s="1"/>
  <c r="H1995" i="3"/>
  <c r="G1995" i="3"/>
  <c r="F1995" i="3"/>
  <c r="D1995" i="3"/>
  <c r="C1995" i="3" s="1"/>
  <c r="H1994" i="3"/>
  <c r="G1994" i="3"/>
  <c r="F1994" i="3"/>
  <c r="D1994" i="3"/>
  <c r="C1994" i="3"/>
  <c r="H1993" i="3"/>
  <c r="G1993" i="3"/>
  <c r="F1993" i="3"/>
  <c r="D1993" i="3"/>
  <c r="C1993" i="3" s="1"/>
  <c r="H1992" i="3"/>
  <c r="G1992" i="3"/>
  <c r="F1992" i="3"/>
  <c r="D1992" i="3"/>
  <c r="C1992" i="3" s="1"/>
  <c r="H1991" i="3"/>
  <c r="G1991" i="3"/>
  <c r="F1991" i="3"/>
  <c r="D1991" i="3"/>
  <c r="C1991" i="3" s="1"/>
  <c r="H1990" i="3"/>
  <c r="G1990" i="3"/>
  <c r="F1990" i="3"/>
  <c r="D1990" i="3"/>
  <c r="C1990" i="3"/>
  <c r="H1989" i="3"/>
  <c r="G1989" i="3"/>
  <c r="F1989" i="3"/>
  <c r="D1989" i="3"/>
  <c r="C1989" i="3"/>
  <c r="H1988" i="3"/>
  <c r="G1988" i="3"/>
  <c r="F1988" i="3"/>
  <c r="D1988" i="3"/>
  <c r="C1988" i="3" s="1"/>
  <c r="H1987" i="3"/>
  <c r="G1987" i="3"/>
  <c r="F1987" i="3"/>
  <c r="D1987" i="3"/>
  <c r="C1987" i="3" s="1"/>
  <c r="H1986" i="3"/>
  <c r="G1986" i="3"/>
  <c r="F1986" i="3"/>
  <c r="D1986" i="3"/>
  <c r="C1986" i="3" s="1"/>
  <c r="H1985" i="3"/>
  <c r="G1985" i="3"/>
  <c r="F1985" i="3"/>
  <c r="D1985" i="3"/>
  <c r="C1985" i="3"/>
  <c r="H1984" i="3"/>
  <c r="G1984" i="3"/>
  <c r="F1984" i="3"/>
  <c r="D1984" i="3"/>
  <c r="C1984" i="3"/>
  <c r="H1983" i="3"/>
  <c r="G1983" i="3"/>
  <c r="F1983" i="3"/>
  <c r="D1983" i="3"/>
  <c r="C1983" i="3" s="1"/>
  <c r="H1982" i="3"/>
  <c r="G1982" i="3"/>
  <c r="F1982" i="3"/>
  <c r="D1982" i="3"/>
  <c r="C1982" i="3" s="1"/>
  <c r="H1981" i="3"/>
  <c r="G1981" i="3"/>
  <c r="F1981" i="3"/>
  <c r="D1981" i="3"/>
  <c r="C1981" i="3"/>
  <c r="H1980" i="3"/>
  <c r="G1980" i="3"/>
  <c r="F1980" i="3"/>
  <c r="D1980" i="3"/>
  <c r="C1980" i="3"/>
  <c r="H1979" i="3"/>
  <c r="G1979" i="3"/>
  <c r="F1979" i="3"/>
  <c r="D1979" i="3"/>
  <c r="C1979" i="3" s="1"/>
  <c r="H1978" i="3"/>
  <c r="G1978" i="3"/>
  <c r="F1978" i="3"/>
  <c r="D1978" i="3"/>
  <c r="C1978" i="3" s="1"/>
  <c r="H1977" i="3"/>
  <c r="G1977" i="3"/>
  <c r="F1977" i="3"/>
  <c r="D1977" i="3"/>
  <c r="C1977" i="3"/>
  <c r="H1976" i="3"/>
  <c r="G1976" i="3"/>
  <c r="F1976" i="3"/>
  <c r="D1976" i="3"/>
  <c r="C1976" i="3"/>
  <c r="H1975" i="3"/>
  <c r="G1975" i="3"/>
  <c r="F1975" i="3"/>
  <c r="D1975" i="3"/>
  <c r="C1975" i="3" s="1"/>
  <c r="H1974" i="3"/>
  <c r="G1974" i="3"/>
  <c r="F1974" i="3"/>
  <c r="D1974" i="3"/>
  <c r="C1974" i="3" s="1"/>
  <c r="H1973" i="3"/>
  <c r="G1973" i="3"/>
  <c r="F1973" i="3"/>
  <c r="D1973" i="3"/>
  <c r="C1973" i="3"/>
  <c r="H1972" i="3"/>
  <c r="G1972" i="3"/>
  <c r="F1972" i="3"/>
  <c r="D1972" i="3"/>
  <c r="C1972" i="3"/>
  <c r="H1971" i="3"/>
  <c r="G1971" i="3"/>
  <c r="F1971" i="3"/>
  <c r="D1971" i="3"/>
  <c r="C1971" i="3" s="1"/>
  <c r="H1970" i="3"/>
  <c r="G1970" i="3"/>
  <c r="F1970" i="3"/>
  <c r="D1970" i="3"/>
  <c r="C1970" i="3" s="1"/>
  <c r="H1969" i="3"/>
  <c r="G1969" i="3"/>
  <c r="F1969" i="3"/>
  <c r="D1969" i="3"/>
  <c r="C1969" i="3"/>
  <c r="H1968" i="3"/>
  <c r="G1968" i="3"/>
  <c r="F1968" i="3"/>
  <c r="D1968" i="3"/>
  <c r="C1968" i="3"/>
  <c r="H1967" i="3"/>
  <c r="G1967" i="3"/>
  <c r="F1967" i="3"/>
  <c r="D1967" i="3"/>
  <c r="C1967" i="3" s="1"/>
  <c r="H1966" i="3"/>
  <c r="G1966" i="3"/>
  <c r="F1966" i="3"/>
  <c r="D1966" i="3"/>
  <c r="C1966" i="3" s="1"/>
  <c r="H1965" i="3"/>
  <c r="G1965" i="3"/>
  <c r="F1965" i="3"/>
  <c r="D1965" i="3"/>
  <c r="C1965" i="3"/>
  <c r="H1964" i="3"/>
  <c r="G1964" i="3"/>
  <c r="F1964" i="3"/>
  <c r="D1964" i="3"/>
  <c r="C1964" i="3"/>
  <c r="H1963" i="3"/>
  <c r="G1963" i="3"/>
  <c r="F1963" i="3"/>
  <c r="D1963" i="3"/>
  <c r="C1963" i="3" s="1"/>
  <c r="H1962" i="3"/>
  <c r="G1962" i="3"/>
  <c r="F1962" i="3"/>
  <c r="D1962" i="3"/>
  <c r="C1962" i="3" s="1"/>
  <c r="H1961" i="3"/>
  <c r="G1961" i="3"/>
  <c r="F1961" i="3"/>
  <c r="D1961" i="3"/>
  <c r="C1961" i="3"/>
  <c r="H1960" i="3"/>
  <c r="G1960" i="3"/>
  <c r="F1960" i="3"/>
  <c r="D1960" i="3"/>
  <c r="C1960" i="3"/>
  <c r="H1959" i="3"/>
  <c r="G1959" i="3"/>
  <c r="F1959" i="3"/>
  <c r="D1959" i="3"/>
  <c r="C1959" i="3" s="1"/>
  <c r="H1958" i="3"/>
  <c r="G1958" i="3"/>
  <c r="F1958" i="3"/>
  <c r="D1958" i="3"/>
  <c r="C1958" i="3" s="1"/>
  <c r="H1957" i="3"/>
  <c r="G1957" i="3"/>
  <c r="F1957" i="3"/>
  <c r="D1957" i="3"/>
  <c r="C1957" i="3"/>
  <c r="H1956" i="3"/>
  <c r="G1956" i="3"/>
  <c r="F1956" i="3"/>
  <c r="D1956" i="3"/>
  <c r="C1956" i="3"/>
  <c r="H1955" i="3"/>
  <c r="G1955" i="3"/>
  <c r="F1955" i="3"/>
  <c r="D1955" i="3"/>
  <c r="C1955" i="3" s="1"/>
  <c r="H1954" i="3"/>
  <c r="G1954" i="3"/>
  <c r="F1954" i="3"/>
  <c r="D1954" i="3"/>
  <c r="C1954" i="3" s="1"/>
  <c r="H1953" i="3"/>
  <c r="G1953" i="3"/>
  <c r="F1953" i="3"/>
  <c r="D1953" i="3"/>
  <c r="C1953" i="3"/>
  <c r="H1952" i="3"/>
  <c r="G1952" i="3"/>
  <c r="F1952" i="3"/>
  <c r="D1952" i="3"/>
  <c r="C1952" i="3" s="1"/>
  <c r="H1951" i="3"/>
  <c r="G1951" i="3"/>
  <c r="F1951" i="3"/>
  <c r="D1951" i="3"/>
  <c r="C1951" i="3" s="1"/>
  <c r="H1950" i="3"/>
  <c r="G1950" i="3"/>
  <c r="F1950" i="3"/>
  <c r="D1950" i="3"/>
  <c r="C1950" i="3" s="1"/>
  <c r="H1949" i="3"/>
  <c r="G1949" i="3"/>
  <c r="F1949" i="3"/>
  <c r="D1949" i="3"/>
  <c r="C1949" i="3"/>
  <c r="H1948" i="3"/>
  <c r="G1948" i="3"/>
  <c r="F1948" i="3"/>
  <c r="D1948" i="3"/>
  <c r="C1948" i="3" s="1"/>
  <c r="H1947" i="3"/>
  <c r="G1947" i="3"/>
  <c r="F1947" i="3"/>
  <c r="D1947" i="3"/>
  <c r="C1947" i="3" s="1"/>
  <c r="H1946" i="3"/>
  <c r="G1946" i="3"/>
  <c r="F1946" i="3"/>
  <c r="D1946" i="3"/>
  <c r="C1946" i="3" s="1"/>
  <c r="H1945" i="3"/>
  <c r="G1945" i="3"/>
  <c r="F1945" i="3"/>
  <c r="D1945" i="3"/>
  <c r="C1945" i="3"/>
  <c r="H1944" i="3"/>
  <c r="G1944" i="3"/>
  <c r="F1944" i="3"/>
  <c r="D1944" i="3"/>
  <c r="C1944" i="3" s="1"/>
  <c r="H1943" i="3"/>
  <c r="G1943" i="3"/>
  <c r="F1943" i="3"/>
  <c r="D1943" i="3"/>
  <c r="C1943" i="3" s="1"/>
  <c r="H1942" i="3"/>
  <c r="G1942" i="3"/>
  <c r="F1942" i="3"/>
  <c r="D1942" i="3"/>
  <c r="C1942" i="3" s="1"/>
  <c r="H1941" i="3"/>
  <c r="G1941" i="3"/>
  <c r="F1941" i="3"/>
  <c r="D1941" i="3"/>
  <c r="C1941" i="3"/>
  <c r="H1940" i="3"/>
  <c r="G1940" i="3"/>
  <c r="F1940" i="3"/>
  <c r="D1940" i="3"/>
  <c r="C1940" i="3" s="1"/>
  <c r="H1939" i="3"/>
  <c r="G1939" i="3"/>
  <c r="F1939" i="3"/>
  <c r="D1939" i="3"/>
  <c r="C1939" i="3" s="1"/>
  <c r="H1938" i="3"/>
  <c r="G1938" i="3"/>
  <c r="F1938" i="3"/>
  <c r="D1938" i="3"/>
  <c r="C1938" i="3" s="1"/>
  <c r="H1937" i="3"/>
  <c r="G1937" i="3"/>
  <c r="F1937" i="3"/>
  <c r="D1937" i="3"/>
  <c r="C1937" i="3"/>
  <c r="H1936" i="3"/>
  <c r="G1936" i="3"/>
  <c r="F1936" i="3"/>
  <c r="D1936" i="3"/>
  <c r="C1936" i="3" s="1"/>
  <c r="H1935" i="3"/>
  <c r="G1935" i="3"/>
  <c r="F1935" i="3"/>
  <c r="D1935" i="3"/>
  <c r="C1935" i="3" s="1"/>
  <c r="H1934" i="3"/>
  <c r="G1934" i="3"/>
  <c r="F1934" i="3"/>
  <c r="D1934" i="3"/>
  <c r="C1934" i="3" s="1"/>
  <c r="H1933" i="3"/>
  <c r="G1933" i="3"/>
  <c r="F1933" i="3"/>
  <c r="D1933" i="3"/>
  <c r="C1933" i="3"/>
  <c r="H1932" i="3"/>
  <c r="G1932" i="3"/>
  <c r="F1932" i="3"/>
  <c r="D1932" i="3"/>
  <c r="C1932" i="3"/>
  <c r="H1931" i="3"/>
  <c r="G1931" i="3"/>
  <c r="F1931" i="3"/>
  <c r="D1931" i="3"/>
  <c r="C1931" i="3" s="1"/>
  <c r="H1930" i="3"/>
  <c r="G1930" i="3"/>
  <c r="F1930" i="3"/>
  <c r="D1930" i="3"/>
  <c r="C1930" i="3" s="1"/>
  <c r="H1929" i="3"/>
  <c r="G1929" i="3"/>
  <c r="F1929" i="3"/>
  <c r="D1929" i="3"/>
  <c r="C1929" i="3"/>
  <c r="H1928" i="3"/>
  <c r="G1928" i="3"/>
  <c r="F1928" i="3"/>
  <c r="D1928" i="3"/>
  <c r="C1928" i="3" s="1"/>
  <c r="H1927" i="3"/>
  <c r="G1927" i="3"/>
  <c r="F1927" i="3"/>
  <c r="D1927" i="3"/>
  <c r="C1927" i="3" s="1"/>
  <c r="H1926" i="3"/>
  <c r="G1926" i="3"/>
  <c r="F1926" i="3"/>
  <c r="D1926" i="3"/>
  <c r="C1926" i="3" s="1"/>
  <c r="H1925" i="3"/>
  <c r="G1925" i="3"/>
  <c r="F1925" i="3"/>
  <c r="D1925" i="3"/>
  <c r="C1925" i="3"/>
  <c r="H1924" i="3"/>
  <c r="G1924" i="3"/>
  <c r="F1924" i="3"/>
  <c r="D1924" i="3"/>
  <c r="C1924" i="3"/>
  <c r="H1923" i="3"/>
  <c r="G1923" i="3"/>
  <c r="F1923" i="3"/>
  <c r="D1923" i="3"/>
  <c r="C1923" i="3" s="1"/>
  <c r="H1922" i="3"/>
  <c r="G1922" i="3"/>
  <c r="F1922" i="3"/>
  <c r="D1922" i="3"/>
  <c r="C1922" i="3" s="1"/>
  <c r="H1921" i="3"/>
  <c r="G1921" i="3"/>
  <c r="F1921" i="3"/>
  <c r="D1921" i="3"/>
  <c r="C1921" i="3"/>
  <c r="H1920" i="3"/>
  <c r="G1920" i="3"/>
  <c r="F1920" i="3"/>
  <c r="D1920" i="3"/>
  <c r="C1920" i="3" s="1"/>
  <c r="H1919" i="3"/>
  <c r="G1919" i="3"/>
  <c r="F1919" i="3"/>
  <c r="D1919" i="3"/>
  <c r="C1919" i="3" s="1"/>
  <c r="H1918" i="3"/>
  <c r="G1918" i="3"/>
  <c r="F1918" i="3"/>
  <c r="D1918" i="3"/>
  <c r="C1918" i="3" s="1"/>
  <c r="H1917" i="3"/>
  <c r="G1917" i="3"/>
  <c r="F1917" i="3"/>
  <c r="D1917" i="3"/>
  <c r="C1917" i="3"/>
  <c r="H1916" i="3"/>
  <c r="G1916" i="3"/>
  <c r="F1916" i="3"/>
  <c r="D1916" i="3"/>
  <c r="C1916" i="3"/>
  <c r="H1915" i="3"/>
  <c r="G1915" i="3"/>
  <c r="F1915" i="3"/>
  <c r="D1915" i="3"/>
  <c r="C1915" i="3" s="1"/>
  <c r="H1914" i="3"/>
  <c r="G1914" i="3"/>
  <c r="F1914" i="3"/>
  <c r="D1914" i="3"/>
  <c r="C1914" i="3" s="1"/>
  <c r="H1913" i="3"/>
  <c r="G1913" i="3"/>
  <c r="F1913" i="3"/>
  <c r="D1913" i="3"/>
  <c r="C1913" i="3"/>
  <c r="H1912" i="3"/>
  <c r="G1912" i="3"/>
  <c r="F1912" i="3"/>
  <c r="D1912" i="3"/>
  <c r="C1912" i="3" s="1"/>
  <c r="H1911" i="3"/>
  <c r="G1911" i="3"/>
  <c r="F1911" i="3"/>
  <c r="D1911" i="3"/>
  <c r="C1911" i="3" s="1"/>
  <c r="H1910" i="3"/>
  <c r="G1910" i="3"/>
  <c r="F1910" i="3"/>
  <c r="D1910" i="3"/>
  <c r="C1910" i="3" s="1"/>
  <c r="H1909" i="3"/>
  <c r="G1909" i="3"/>
  <c r="F1909" i="3"/>
  <c r="D1909" i="3"/>
  <c r="C1909" i="3"/>
  <c r="H1908" i="3"/>
  <c r="G1908" i="3"/>
  <c r="F1908" i="3"/>
  <c r="D1908" i="3"/>
  <c r="C1908" i="3" s="1"/>
  <c r="H1907" i="3"/>
  <c r="G1907" i="3"/>
  <c r="F1907" i="3"/>
  <c r="D1907" i="3"/>
  <c r="C1907" i="3" s="1"/>
  <c r="H1906" i="3"/>
  <c r="G1906" i="3"/>
  <c r="F1906" i="3"/>
  <c r="D1906" i="3"/>
  <c r="C1906" i="3" s="1"/>
  <c r="H1905" i="3"/>
  <c r="G1905" i="3"/>
  <c r="F1905" i="3"/>
  <c r="D1905" i="3"/>
  <c r="C1905" i="3"/>
  <c r="H1904" i="3"/>
  <c r="G1904" i="3"/>
  <c r="F1904" i="3"/>
  <c r="D1904" i="3"/>
  <c r="C1904" i="3" s="1"/>
  <c r="H1903" i="3"/>
  <c r="G1903" i="3"/>
  <c r="F1903" i="3"/>
  <c r="D1903" i="3"/>
  <c r="C1903" i="3" s="1"/>
  <c r="H1902" i="3"/>
  <c r="G1902" i="3"/>
  <c r="F1902" i="3"/>
  <c r="D1902" i="3"/>
  <c r="C1902" i="3" s="1"/>
  <c r="H1901" i="3"/>
  <c r="G1901" i="3"/>
  <c r="F1901" i="3"/>
  <c r="D1901" i="3"/>
  <c r="C1901" i="3"/>
  <c r="H1900" i="3"/>
  <c r="G1900" i="3"/>
  <c r="F1900" i="3"/>
  <c r="D1900" i="3"/>
  <c r="C1900" i="3"/>
  <c r="H1899" i="3"/>
  <c r="G1899" i="3"/>
  <c r="F1899" i="3"/>
  <c r="D1899" i="3"/>
  <c r="C1899" i="3" s="1"/>
  <c r="H1898" i="3"/>
  <c r="G1898" i="3"/>
  <c r="F1898" i="3"/>
  <c r="D1898" i="3"/>
  <c r="C1898" i="3" s="1"/>
  <c r="H1897" i="3"/>
  <c r="G1897" i="3"/>
  <c r="F1897" i="3"/>
  <c r="D1897" i="3"/>
  <c r="C1897" i="3"/>
  <c r="H1896" i="3"/>
  <c r="G1896" i="3"/>
  <c r="F1896" i="3"/>
  <c r="D1896" i="3"/>
  <c r="C1896" i="3" s="1"/>
  <c r="H1895" i="3"/>
  <c r="G1895" i="3"/>
  <c r="F1895" i="3"/>
  <c r="D1895" i="3"/>
  <c r="C1895" i="3" s="1"/>
  <c r="H1894" i="3"/>
  <c r="G1894" i="3"/>
  <c r="F1894" i="3"/>
  <c r="D1894" i="3"/>
  <c r="C1894" i="3" s="1"/>
  <c r="H1893" i="3"/>
  <c r="G1893" i="3"/>
  <c r="F1893" i="3"/>
  <c r="D1893" i="3"/>
  <c r="C1893" i="3"/>
  <c r="H1892" i="3"/>
  <c r="G1892" i="3"/>
  <c r="F1892" i="3"/>
  <c r="D1892" i="3"/>
  <c r="C1892" i="3"/>
  <c r="H1891" i="3"/>
  <c r="G1891" i="3"/>
  <c r="F1891" i="3"/>
  <c r="D1891" i="3"/>
  <c r="C1891" i="3" s="1"/>
  <c r="H1890" i="3"/>
  <c r="G1890" i="3"/>
  <c r="F1890" i="3"/>
  <c r="D1890" i="3"/>
  <c r="C1890" i="3" s="1"/>
  <c r="H1889" i="3"/>
  <c r="G1889" i="3"/>
  <c r="F1889" i="3"/>
  <c r="D1889" i="3"/>
  <c r="C1889" i="3"/>
  <c r="H1888" i="3"/>
  <c r="G1888" i="3"/>
  <c r="F1888" i="3"/>
  <c r="D1888" i="3"/>
  <c r="C1888" i="3" s="1"/>
  <c r="H1887" i="3"/>
  <c r="G1887" i="3"/>
  <c r="F1887" i="3"/>
  <c r="D1887" i="3"/>
  <c r="C1887" i="3" s="1"/>
  <c r="H1886" i="3"/>
  <c r="G1886" i="3"/>
  <c r="F1886" i="3"/>
  <c r="D1886" i="3"/>
  <c r="C1886" i="3" s="1"/>
  <c r="H1885" i="3"/>
  <c r="G1885" i="3"/>
  <c r="F1885" i="3"/>
  <c r="D1885" i="3"/>
  <c r="C1885" i="3"/>
  <c r="H1884" i="3"/>
  <c r="G1884" i="3"/>
  <c r="F1884" i="3"/>
  <c r="D1884" i="3"/>
  <c r="C1884" i="3" s="1"/>
  <c r="H1883" i="3"/>
  <c r="G1883" i="3"/>
  <c r="F1883" i="3"/>
  <c r="D1883" i="3"/>
  <c r="C1883" i="3" s="1"/>
  <c r="H1882" i="3"/>
  <c r="G1882" i="3"/>
  <c r="F1882" i="3"/>
  <c r="D1882" i="3"/>
  <c r="C1882" i="3" s="1"/>
  <c r="H1881" i="3"/>
  <c r="G1881" i="3"/>
  <c r="F1881" i="3"/>
  <c r="D1881" i="3"/>
  <c r="C1881" i="3"/>
  <c r="H1880" i="3"/>
  <c r="G1880" i="3"/>
  <c r="F1880" i="3"/>
  <c r="D1880" i="3"/>
  <c r="C1880" i="3" s="1"/>
  <c r="H1879" i="3"/>
  <c r="G1879" i="3"/>
  <c r="F1879" i="3"/>
  <c r="D1879" i="3"/>
  <c r="C1879" i="3" s="1"/>
  <c r="H1878" i="3"/>
  <c r="G1878" i="3"/>
  <c r="F1878" i="3"/>
  <c r="D1878" i="3"/>
  <c r="C1878" i="3" s="1"/>
  <c r="H1877" i="3"/>
  <c r="G1877" i="3"/>
  <c r="F1877" i="3"/>
  <c r="D1877" i="3"/>
  <c r="C1877" i="3"/>
  <c r="H1876" i="3"/>
  <c r="G1876" i="3"/>
  <c r="F1876" i="3"/>
  <c r="D1876" i="3"/>
  <c r="C1876" i="3" s="1"/>
  <c r="H1875" i="3"/>
  <c r="G1875" i="3"/>
  <c r="F1875" i="3"/>
  <c r="D1875" i="3"/>
  <c r="C1875" i="3" s="1"/>
  <c r="H1874" i="3"/>
  <c r="G1874" i="3"/>
  <c r="F1874" i="3"/>
  <c r="D1874" i="3"/>
  <c r="C1874" i="3" s="1"/>
  <c r="H1873" i="3"/>
  <c r="G1873" i="3"/>
  <c r="F1873" i="3"/>
  <c r="D1873" i="3"/>
  <c r="C1873" i="3"/>
  <c r="H1872" i="3"/>
  <c r="G1872" i="3"/>
  <c r="F1872" i="3"/>
  <c r="D1872" i="3"/>
  <c r="C1872" i="3" s="1"/>
  <c r="H1871" i="3"/>
  <c r="G1871" i="3"/>
  <c r="F1871" i="3"/>
  <c r="D1871" i="3"/>
  <c r="C1871" i="3" s="1"/>
  <c r="H1870" i="3"/>
  <c r="G1870" i="3"/>
  <c r="F1870" i="3"/>
  <c r="D1870" i="3"/>
  <c r="C1870" i="3" s="1"/>
  <c r="H1869" i="3"/>
  <c r="G1869" i="3"/>
  <c r="F1869" i="3"/>
  <c r="D1869" i="3"/>
  <c r="C1869" i="3"/>
  <c r="H1868" i="3"/>
  <c r="G1868" i="3"/>
  <c r="F1868" i="3"/>
  <c r="D1868" i="3"/>
  <c r="C1868" i="3"/>
  <c r="H1867" i="3"/>
  <c r="G1867" i="3"/>
  <c r="F1867" i="3"/>
  <c r="D1867" i="3"/>
  <c r="C1867" i="3" s="1"/>
  <c r="H1866" i="3"/>
  <c r="G1866" i="3"/>
  <c r="F1866" i="3"/>
  <c r="D1866" i="3"/>
  <c r="C1866" i="3" s="1"/>
  <c r="H1865" i="3"/>
  <c r="G1865" i="3"/>
  <c r="F1865" i="3"/>
  <c r="D1865" i="3"/>
  <c r="C1865" i="3"/>
  <c r="H1864" i="3"/>
  <c r="G1864" i="3"/>
  <c r="F1864" i="3"/>
  <c r="D1864" i="3"/>
  <c r="C1864" i="3" s="1"/>
  <c r="H1863" i="3"/>
  <c r="G1863" i="3"/>
  <c r="F1863" i="3"/>
  <c r="D1863" i="3"/>
  <c r="C1863" i="3" s="1"/>
  <c r="H1862" i="3"/>
  <c r="G1862" i="3"/>
  <c r="F1862" i="3"/>
  <c r="D1862" i="3"/>
  <c r="C1862" i="3" s="1"/>
  <c r="H1861" i="3"/>
  <c r="G1861" i="3"/>
  <c r="F1861" i="3"/>
  <c r="D1861" i="3"/>
  <c r="C1861" i="3"/>
  <c r="H1860" i="3"/>
  <c r="G1860" i="3"/>
  <c r="F1860" i="3"/>
  <c r="D1860" i="3"/>
  <c r="C1860" i="3"/>
  <c r="H1859" i="3"/>
  <c r="G1859" i="3"/>
  <c r="F1859" i="3"/>
  <c r="D1859" i="3"/>
  <c r="C1859" i="3" s="1"/>
  <c r="H1858" i="3"/>
  <c r="G1858" i="3"/>
  <c r="F1858" i="3"/>
  <c r="D1858" i="3"/>
  <c r="C1858" i="3" s="1"/>
  <c r="H1857" i="3"/>
  <c r="G1857" i="3"/>
  <c r="F1857" i="3"/>
  <c r="D1857" i="3"/>
  <c r="C1857" i="3"/>
  <c r="H1856" i="3"/>
  <c r="G1856" i="3"/>
  <c r="F1856" i="3"/>
  <c r="D1856" i="3"/>
  <c r="C1856" i="3" s="1"/>
  <c r="H1855" i="3"/>
  <c r="G1855" i="3"/>
  <c r="F1855" i="3"/>
  <c r="D1855" i="3"/>
  <c r="C1855" i="3" s="1"/>
  <c r="H1854" i="3"/>
  <c r="G1854" i="3"/>
  <c r="F1854" i="3"/>
  <c r="D1854" i="3"/>
  <c r="C1854" i="3" s="1"/>
  <c r="H1853" i="3"/>
  <c r="G1853" i="3"/>
  <c r="F1853" i="3"/>
  <c r="D1853" i="3"/>
  <c r="C1853" i="3"/>
  <c r="H1852" i="3"/>
  <c r="G1852" i="3"/>
  <c r="F1852" i="3"/>
  <c r="D1852" i="3"/>
  <c r="C1852" i="3"/>
  <c r="H1851" i="3"/>
  <c r="G1851" i="3"/>
  <c r="F1851" i="3"/>
  <c r="D1851" i="3"/>
  <c r="C1851" i="3" s="1"/>
  <c r="H1850" i="3"/>
  <c r="G1850" i="3"/>
  <c r="F1850" i="3"/>
  <c r="D1850" i="3"/>
  <c r="C1850" i="3" s="1"/>
  <c r="H1849" i="3"/>
  <c r="G1849" i="3"/>
  <c r="F1849" i="3"/>
  <c r="D1849" i="3"/>
  <c r="C1849" i="3"/>
  <c r="H1848" i="3"/>
  <c r="G1848" i="3"/>
  <c r="F1848" i="3"/>
  <c r="D1848" i="3"/>
  <c r="C1848" i="3" s="1"/>
  <c r="H1847" i="3"/>
  <c r="G1847" i="3"/>
  <c r="F1847" i="3"/>
  <c r="D1847" i="3"/>
  <c r="C1847" i="3" s="1"/>
  <c r="H1846" i="3"/>
  <c r="G1846" i="3"/>
  <c r="F1846" i="3"/>
  <c r="D1846" i="3"/>
  <c r="C1846" i="3" s="1"/>
  <c r="H1845" i="3"/>
  <c r="G1845" i="3"/>
  <c r="F1845" i="3"/>
  <c r="D1845" i="3"/>
  <c r="C1845" i="3"/>
  <c r="H1844" i="3"/>
  <c r="G1844" i="3"/>
  <c r="F1844" i="3"/>
  <c r="D1844" i="3"/>
  <c r="C1844" i="3" s="1"/>
  <c r="H1843" i="3"/>
  <c r="G1843" i="3"/>
  <c r="F1843" i="3"/>
  <c r="D1843" i="3"/>
  <c r="C1843" i="3" s="1"/>
  <c r="H1842" i="3"/>
  <c r="G1842" i="3"/>
  <c r="F1842" i="3"/>
  <c r="D1842" i="3"/>
  <c r="C1842" i="3" s="1"/>
  <c r="H1841" i="3"/>
  <c r="G1841" i="3"/>
  <c r="F1841" i="3"/>
  <c r="D1841" i="3"/>
  <c r="C1841" i="3"/>
  <c r="H1840" i="3"/>
  <c r="G1840" i="3"/>
  <c r="F1840" i="3"/>
  <c r="D1840" i="3"/>
  <c r="C1840" i="3" s="1"/>
  <c r="H1839" i="3"/>
  <c r="G1839" i="3"/>
  <c r="F1839" i="3"/>
  <c r="D1839" i="3"/>
  <c r="C1839" i="3" s="1"/>
  <c r="H1838" i="3"/>
  <c r="G1838" i="3"/>
  <c r="F1838" i="3"/>
  <c r="D1838" i="3"/>
  <c r="C1838" i="3" s="1"/>
  <c r="H1837" i="3"/>
  <c r="G1837" i="3"/>
  <c r="F1837" i="3"/>
  <c r="D1837" i="3"/>
  <c r="C1837" i="3"/>
  <c r="H1836" i="3"/>
  <c r="G1836" i="3"/>
  <c r="F1836" i="3"/>
  <c r="D1836" i="3"/>
  <c r="C1836" i="3"/>
  <c r="H1835" i="3"/>
  <c r="G1835" i="3"/>
  <c r="F1835" i="3"/>
  <c r="D1835" i="3"/>
  <c r="C1835" i="3" s="1"/>
  <c r="H1834" i="3"/>
  <c r="G1834" i="3"/>
  <c r="F1834" i="3"/>
  <c r="D1834" i="3"/>
  <c r="C1834" i="3" s="1"/>
  <c r="H1833" i="3"/>
  <c r="G1833" i="3"/>
  <c r="F1833" i="3"/>
  <c r="D1833" i="3"/>
  <c r="C1833" i="3"/>
  <c r="H1832" i="3"/>
  <c r="G1832" i="3"/>
  <c r="F1832" i="3"/>
  <c r="D1832" i="3"/>
  <c r="C1832" i="3" s="1"/>
  <c r="H1831" i="3"/>
  <c r="G1831" i="3"/>
  <c r="F1831" i="3"/>
  <c r="D1831" i="3"/>
  <c r="C1831" i="3" s="1"/>
  <c r="H1830" i="3"/>
  <c r="G1830" i="3"/>
  <c r="F1830" i="3"/>
  <c r="D1830" i="3"/>
  <c r="C1830" i="3" s="1"/>
  <c r="H1829" i="3"/>
  <c r="G1829" i="3"/>
  <c r="F1829" i="3"/>
  <c r="D1829" i="3"/>
  <c r="C1829" i="3"/>
  <c r="H1828" i="3"/>
  <c r="G1828" i="3"/>
  <c r="F1828" i="3"/>
  <c r="D1828" i="3"/>
  <c r="C1828" i="3"/>
  <c r="H1827" i="3"/>
  <c r="G1827" i="3"/>
  <c r="F1827" i="3"/>
  <c r="D1827" i="3"/>
  <c r="C1827" i="3" s="1"/>
  <c r="H1826" i="3"/>
  <c r="G1826" i="3"/>
  <c r="F1826" i="3"/>
  <c r="D1826" i="3"/>
  <c r="C1826" i="3" s="1"/>
  <c r="H1825" i="3"/>
  <c r="G1825" i="3"/>
  <c r="F1825" i="3"/>
  <c r="D1825" i="3"/>
  <c r="C1825" i="3"/>
  <c r="H1824" i="3"/>
  <c r="G1824" i="3"/>
  <c r="F1824" i="3"/>
  <c r="D1824" i="3"/>
  <c r="C1824" i="3" s="1"/>
  <c r="H1823" i="3"/>
  <c r="G1823" i="3"/>
  <c r="F1823" i="3"/>
  <c r="D1823" i="3"/>
  <c r="C1823" i="3" s="1"/>
  <c r="H1822" i="3"/>
  <c r="G1822" i="3"/>
  <c r="F1822" i="3"/>
  <c r="D1822" i="3"/>
  <c r="C1822" i="3" s="1"/>
  <c r="H1821" i="3"/>
  <c r="G1821" i="3"/>
  <c r="F1821" i="3"/>
  <c r="D1821" i="3"/>
  <c r="C1821" i="3"/>
  <c r="H1820" i="3"/>
  <c r="G1820" i="3"/>
  <c r="F1820" i="3"/>
  <c r="D1820" i="3"/>
  <c r="C1820" i="3" s="1"/>
  <c r="H1819" i="3"/>
  <c r="G1819" i="3"/>
  <c r="F1819" i="3"/>
  <c r="D1819" i="3"/>
  <c r="C1819" i="3" s="1"/>
  <c r="H1818" i="3"/>
  <c r="G1818" i="3"/>
  <c r="F1818" i="3"/>
  <c r="D1818" i="3"/>
  <c r="C1818" i="3" s="1"/>
  <c r="H1817" i="3"/>
  <c r="G1817" i="3"/>
  <c r="F1817" i="3"/>
  <c r="D1817" i="3"/>
  <c r="C1817" i="3"/>
  <c r="H1816" i="3"/>
  <c r="G1816" i="3"/>
  <c r="F1816" i="3"/>
  <c r="D1816" i="3"/>
  <c r="C1816" i="3" s="1"/>
  <c r="H1815" i="3"/>
  <c r="G1815" i="3"/>
  <c r="F1815" i="3"/>
  <c r="D1815" i="3"/>
  <c r="C1815" i="3" s="1"/>
  <c r="H1814" i="3"/>
  <c r="G1814" i="3"/>
  <c r="F1814" i="3"/>
  <c r="D1814" i="3"/>
  <c r="C1814" i="3" s="1"/>
  <c r="H1813" i="3"/>
  <c r="G1813" i="3"/>
  <c r="F1813" i="3"/>
  <c r="D1813" i="3"/>
  <c r="C1813" i="3"/>
  <c r="H1812" i="3"/>
  <c r="G1812" i="3"/>
  <c r="F1812" i="3"/>
  <c r="D1812" i="3"/>
  <c r="C1812" i="3" s="1"/>
  <c r="H1811" i="3"/>
  <c r="G1811" i="3"/>
  <c r="F1811" i="3"/>
  <c r="D1811" i="3"/>
  <c r="C1811" i="3" s="1"/>
  <c r="H1810" i="3"/>
  <c r="G1810" i="3"/>
  <c r="F1810" i="3"/>
  <c r="D1810" i="3"/>
  <c r="C1810" i="3" s="1"/>
  <c r="H1809" i="3"/>
  <c r="G1809" i="3"/>
  <c r="F1809" i="3"/>
  <c r="D1809" i="3"/>
  <c r="C1809" i="3"/>
  <c r="H1808" i="3"/>
  <c r="G1808" i="3"/>
  <c r="F1808" i="3"/>
  <c r="D1808" i="3"/>
  <c r="C1808" i="3" s="1"/>
  <c r="H1807" i="3"/>
  <c r="G1807" i="3"/>
  <c r="F1807" i="3"/>
  <c r="D1807" i="3"/>
  <c r="C1807" i="3" s="1"/>
  <c r="H1806" i="3"/>
  <c r="G1806" i="3"/>
  <c r="F1806" i="3"/>
  <c r="D1806" i="3"/>
  <c r="C1806" i="3" s="1"/>
  <c r="H1805" i="3"/>
  <c r="G1805" i="3"/>
  <c r="F1805" i="3"/>
  <c r="D1805" i="3"/>
  <c r="C1805" i="3"/>
  <c r="H1804" i="3"/>
  <c r="G1804" i="3"/>
  <c r="F1804" i="3"/>
  <c r="D1804" i="3"/>
  <c r="C1804" i="3"/>
  <c r="H1803" i="3"/>
  <c r="G1803" i="3"/>
  <c r="F1803" i="3"/>
  <c r="D1803" i="3"/>
  <c r="C1803" i="3" s="1"/>
  <c r="H1802" i="3"/>
  <c r="G1802" i="3"/>
  <c r="F1802" i="3"/>
  <c r="D1802" i="3"/>
  <c r="C1802" i="3" s="1"/>
  <c r="H1801" i="3"/>
  <c r="G1801" i="3"/>
  <c r="F1801" i="3"/>
  <c r="D1801" i="3"/>
  <c r="C1801" i="3"/>
  <c r="H1800" i="3"/>
  <c r="G1800" i="3"/>
  <c r="F1800" i="3"/>
  <c r="D1800" i="3"/>
  <c r="C1800" i="3" s="1"/>
  <c r="H1799" i="3"/>
  <c r="G1799" i="3"/>
  <c r="F1799" i="3"/>
  <c r="D1799" i="3"/>
  <c r="C1799" i="3" s="1"/>
  <c r="H1798" i="3"/>
  <c r="G1798" i="3"/>
  <c r="F1798" i="3"/>
  <c r="D1798" i="3"/>
  <c r="C1798" i="3" s="1"/>
  <c r="H1797" i="3"/>
  <c r="G1797" i="3"/>
  <c r="F1797" i="3"/>
  <c r="D1797" i="3"/>
  <c r="C1797" i="3"/>
  <c r="H1796" i="3"/>
  <c r="G1796" i="3"/>
  <c r="F1796" i="3"/>
  <c r="D1796" i="3"/>
  <c r="C1796" i="3"/>
  <c r="H1795" i="3"/>
  <c r="G1795" i="3"/>
  <c r="F1795" i="3"/>
  <c r="D1795" i="3"/>
  <c r="C1795" i="3" s="1"/>
  <c r="H1794" i="3"/>
  <c r="G1794" i="3"/>
  <c r="F1794" i="3"/>
  <c r="D1794" i="3"/>
  <c r="C1794" i="3" s="1"/>
  <c r="H1793" i="3"/>
  <c r="G1793" i="3"/>
  <c r="F1793" i="3"/>
  <c r="D1793" i="3"/>
  <c r="C1793" i="3"/>
  <c r="H1792" i="3"/>
  <c r="G1792" i="3"/>
  <c r="F1792" i="3"/>
  <c r="D1792" i="3"/>
  <c r="C1792" i="3"/>
  <c r="H1791" i="3"/>
  <c r="G1791" i="3"/>
  <c r="F1791" i="3"/>
  <c r="D1791" i="3"/>
  <c r="C1791" i="3" s="1"/>
  <c r="H1790" i="3"/>
  <c r="G1790" i="3"/>
  <c r="F1790" i="3"/>
  <c r="D1790" i="3"/>
  <c r="C1790" i="3" s="1"/>
  <c r="H1789" i="3"/>
  <c r="G1789" i="3"/>
  <c r="F1789" i="3"/>
  <c r="D1789" i="3"/>
  <c r="C1789" i="3"/>
  <c r="H1788" i="3"/>
  <c r="G1788" i="3"/>
  <c r="F1788" i="3"/>
  <c r="D1788" i="3"/>
  <c r="C1788" i="3"/>
  <c r="H1787" i="3"/>
  <c r="G1787" i="3"/>
  <c r="F1787" i="3"/>
  <c r="D1787" i="3"/>
  <c r="C1787" i="3" s="1"/>
  <c r="H1786" i="3"/>
  <c r="G1786" i="3"/>
  <c r="F1786" i="3"/>
  <c r="D1786" i="3"/>
  <c r="C1786" i="3" s="1"/>
  <c r="H1785" i="3"/>
  <c r="G1785" i="3"/>
  <c r="F1785" i="3"/>
  <c r="D1785" i="3"/>
  <c r="C1785" i="3"/>
  <c r="H1784" i="3"/>
  <c r="G1784" i="3"/>
  <c r="F1784" i="3"/>
  <c r="D1784" i="3"/>
  <c r="C1784" i="3" s="1"/>
  <c r="H1783" i="3"/>
  <c r="G1783" i="3"/>
  <c r="F1783" i="3"/>
  <c r="D1783" i="3"/>
  <c r="C1783" i="3" s="1"/>
  <c r="H1782" i="3"/>
  <c r="G1782" i="3"/>
  <c r="F1782" i="3"/>
  <c r="D1782" i="3"/>
  <c r="C1782" i="3" s="1"/>
  <c r="H1781" i="3"/>
  <c r="G1781" i="3"/>
  <c r="F1781" i="3"/>
  <c r="D1781" i="3"/>
  <c r="C1781" i="3"/>
  <c r="H1780" i="3"/>
  <c r="G1780" i="3"/>
  <c r="F1780" i="3"/>
  <c r="D1780" i="3"/>
  <c r="C1780" i="3"/>
  <c r="H1779" i="3"/>
  <c r="G1779" i="3"/>
  <c r="F1779" i="3"/>
  <c r="D1779" i="3"/>
  <c r="C1779" i="3" s="1"/>
  <c r="H1778" i="3"/>
  <c r="G1778" i="3"/>
  <c r="F1778" i="3"/>
  <c r="D1778" i="3"/>
  <c r="C1778" i="3" s="1"/>
  <c r="H1777" i="3"/>
  <c r="G1777" i="3"/>
  <c r="F1777" i="3"/>
  <c r="D1777" i="3"/>
  <c r="C1777" i="3"/>
  <c r="H1776" i="3"/>
  <c r="G1776" i="3"/>
  <c r="F1776" i="3"/>
  <c r="D1776" i="3"/>
  <c r="C1776" i="3"/>
  <c r="H1775" i="3"/>
  <c r="G1775" i="3"/>
  <c r="F1775" i="3"/>
  <c r="D1775" i="3"/>
  <c r="C1775" i="3" s="1"/>
  <c r="H1774" i="3"/>
  <c r="G1774" i="3"/>
  <c r="F1774" i="3"/>
  <c r="D1774" i="3"/>
  <c r="C1774" i="3" s="1"/>
  <c r="H1773" i="3"/>
  <c r="G1773" i="3"/>
  <c r="F1773" i="3"/>
  <c r="D1773" i="3"/>
  <c r="C1773" i="3"/>
  <c r="H1772" i="3"/>
  <c r="G1772" i="3"/>
  <c r="F1772" i="3"/>
  <c r="D1772" i="3"/>
  <c r="C1772" i="3"/>
  <c r="H1771" i="3"/>
  <c r="G1771" i="3"/>
  <c r="F1771" i="3"/>
  <c r="D1771" i="3"/>
  <c r="C1771" i="3" s="1"/>
  <c r="H1770" i="3"/>
  <c r="G1770" i="3"/>
  <c r="F1770" i="3"/>
  <c r="D1770" i="3"/>
  <c r="C1770" i="3" s="1"/>
  <c r="H1769" i="3"/>
  <c r="G1769" i="3"/>
  <c r="F1769" i="3"/>
  <c r="D1769" i="3"/>
  <c r="C1769" i="3"/>
  <c r="H1768" i="3"/>
  <c r="G1768" i="3"/>
  <c r="F1768" i="3"/>
  <c r="D1768" i="3"/>
  <c r="C1768" i="3" s="1"/>
  <c r="H1767" i="3"/>
  <c r="G1767" i="3"/>
  <c r="F1767" i="3"/>
  <c r="D1767" i="3"/>
  <c r="C1767" i="3" s="1"/>
  <c r="H1766" i="3"/>
  <c r="G1766" i="3"/>
  <c r="F1766" i="3"/>
  <c r="D1766" i="3"/>
  <c r="C1766" i="3" s="1"/>
  <c r="H1765" i="3"/>
  <c r="G1765" i="3"/>
  <c r="F1765" i="3"/>
  <c r="D1765" i="3"/>
  <c r="C1765" i="3"/>
  <c r="H1764" i="3"/>
  <c r="G1764" i="3"/>
  <c r="F1764" i="3"/>
  <c r="D1764" i="3"/>
  <c r="C1764" i="3"/>
  <c r="H1763" i="3"/>
  <c r="G1763" i="3"/>
  <c r="F1763" i="3"/>
  <c r="D1763" i="3"/>
  <c r="C1763" i="3" s="1"/>
  <c r="H1762" i="3"/>
  <c r="G1762" i="3"/>
  <c r="F1762" i="3"/>
  <c r="D1762" i="3"/>
  <c r="C1762" i="3" s="1"/>
  <c r="H1761" i="3"/>
  <c r="G1761" i="3"/>
  <c r="F1761" i="3"/>
  <c r="D1761" i="3"/>
  <c r="C1761" i="3"/>
  <c r="H1760" i="3"/>
  <c r="G1760" i="3"/>
  <c r="F1760" i="3"/>
  <c r="D1760" i="3"/>
  <c r="C1760" i="3"/>
  <c r="H1759" i="3"/>
  <c r="G1759" i="3"/>
  <c r="F1759" i="3"/>
  <c r="D1759" i="3"/>
  <c r="C1759" i="3" s="1"/>
  <c r="H1758" i="3"/>
  <c r="G1758" i="3"/>
  <c r="F1758" i="3"/>
  <c r="D1758" i="3"/>
  <c r="C1758" i="3" s="1"/>
  <c r="H1757" i="3"/>
  <c r="G1757" i="3"/>
  <c r="F1757" i="3"/>
  <c r="D1757" i="3"/>
  <c r="C1757" i="3"/>
  <c r="H1756" i="3"/>
  <c r="G1756" i="3"/>
  <c r="F1756" i="3"/>
  <c r="D1756" i="3"/>
  <c r="C1756" i="3"/>
  <c r="H1755" i="3"/>
  <c r="G1755" i="3"/>
  <c r="F1755" i="3"/>
  <c r="D1755" i="3"/>
  <c r="C1755" i="3" s="1"/>
  <c r="H1754" i="3"/>
  <c r="G1754" i="3"/>
  <c r="F1754" i="3"/>
  <c r="D1754" i="3"/>
  <c r="C1754" i="3" s="1"/>
  <c r="H1753" i="3"/>
  <c r="G1753" i="3"/>
  <c r="F1753" i="3"/>
  <c r="D1753" i="3"/>
  <c r="C1753" i="3"/>
  <c r="H1752" i="3"/>
  <c r="G1752" i="3"/>
  <c r="F1752" i="3"/>
  <c r="D1752" i="3"/>
  <c r="C1752" i="3" s="1"/>
  <c r="H1751" i="3"/>
  <c r="G1751" i="3"/>
  <c r="F1751" i="3"/>
  <c r="D1751" i="3"/>
  <c r="C1751" i="3" s="1"/>
  <c r="H1750" i="3"/>
  <c r="G1750" i="3"/>
  <c r="F1750" i="3"/>
  <c r="D1750" i="3"/>
  <c r="C1750" i="3" s="1"/>
  <c r="H1749" i="3"/>
  <c r="G1749" i="3"/>
  <c r="F1749" i="3"/>
  <c r="D1749" i="3"/>
  <c r="C1749" i="3"/>
  <c r="H1748" i="3"/>
  <c r="G1748" i="3"/>
  <c r="F1748" i="3"/>
  <c r="D1748" i="3"/>
  <c r="C1748" i="3"/>
  <c r="H1747" i="3"/>
  <c r="G1747" i="3"/>
  <c r="F1747" i="3"/>
  <c r="D1747" i="3"/>
  <c r="C1747" i="3" s="1"/>
  <c r="H1746" i="3"/>
  <c r="G1746" i="3"/>
  <c r="F1746" i="3"/>
  <c r="D1746" i="3"/>
  <c r="C1746" i="3" s="1"/>
  <c r="H1745" i="3"/>
  <c r="G1745" i="3"/>
  <c r="F1745" i="3"/>
  <c r="D1745" i="3"/>
  <c r="C1745" i="3"/>
  <c r="H1744" i="3"/>
  <c r="G1744" i="3"/>
  <c r="F1744" i="3"/>
  <c r="D1744" i="3"/>
  <c r="C1744" i="3"/>
  <c r="H1743" i="3"/>
  <c r="G1743" i="3"/>
  <c r="F1743" i="3"/>
  <c r="D1743" i="3"/>
  <c r="C1743" i="3" s="1"/>
  <c r="H1742" i="3"/>
  <c r="G1742" i="3"/>
  <c r="F1742" i="3"/>
  <c r="D1742" i="3"/>
  <c r="C1742" i="3" s="1"/>
  <c r="H1741" i="3"/>
  <c r="G1741" i="3"/>
  <c r="F1741" i="3"/>
  <c r="D1741" i="3"/>
  <c r="C1741" i="3"/>
  <c r="H1740" i="3"/>
  <c r="G1740" i="3"/>
  <c r="F1740" i="3"/>
  <c r="D1740" i="3"/>
  <c r="C1740" i="3"/>
  <c r="H1739" i="3"/>
  <c r="G1739" i="3"/>
  <c r="F1739" i="3"/>
  <c r="D1739" i="3"/>
  <c r="C1739" i="3" s="1"/>
  <c r="H1738" i="3"/>
  <c r="G1738" i="3"/>
  <c r="F1738" i="3"/>
  <c r="D1738" i="3"/>
  <c r="C1738" i="3" s="1"/>
  <c r="H1737" i="3"/>
  <c r="G1737" i="3"/>
  <c r="F1737" i="3"/>
  <c r="D1737" i="3"/>
  <c r="C1737" i="3"/>
  <c r="H1736" i="3"/>
  <c r="G1736" i="3"/>
  <c r="F1736" i="3"/>
  <c r="D1736" i="3"/>
  <c r="C1736" i="3" s="1"/>
  <c r="H1735" i="3"/>
  <c r="G1735" i="3"/>
  <c r="F1735" i="3"/>
  <c r="D1735" i="3"/>
  <c r="C1735" i="3" s="1"/>
  <c r="H1734" i="3"/>
  <c r="G1734" i="3"/>
  <c r="F1734" i="3"/>
  <c r="D1734" i="3"/>
  <c r="C1734" i="3" s="1"/>
  <c r="H1733" i="3"/>
  <c r="G1733" i="3"/>
  <c r="F1733" i="3"/>
  <c r="D1733" i="3"/>
  <c r="C1733" i="3"/>
  <c r="H1732" i="3"/>
  <c r="G1732" i="3"/>
  <c r="F1732" i="3"/>
  <c r="D1732" i="3"/>
  <c r="C1732" i="3"/>
  <c r="H1731" i="3"/>
  <c r="G1731" i="3"/>
  <c r="F1731" i="3"/>
  <c r="D1731" i="3"/>
  <c r="C1731" i="3" s="1"/>
  <c r="H1730" i="3"/>
  <c r="G1730" i="3"/>
  <c r="F1730" i="3"/>
  <c r="D1730" i="3"/>
  <c r="C1730" i="3" s="1"/>
  <c r="H1729" i="3"/>
  <c r="G1729" i="3"/>
  <c r="F1729" i="3"/>
  <c r="D1729" i="3"/>
  <c r="C1729" i="3"/>
  <c r="H1728" i="3"/>
  <c r="G1728" i="3"/>
  <c r="F1728" i="3"/>
  <c r="D1728" i="3"/>
  <c r="C1728" i="3" s="1"/>
  <c r="H1727" i="3"/>
  <c r="G1727" i="3"/>
  <c r="F1727" i="3"/>
  <c r="D1727" i="3"/>
  <c r="C1727" i="3" s="1"/>
  <c r="H1726" i="3"/>
  <c r="G1726" i="3"/>
  <c r="F1726" i="3"/>
  <c r="D1726" i="3"/>
  <c r="C1726" i="3" s="1"/>
  <c r="H1725" i="3"/>
  <c r="G1725" i="3"/>
  <c r="F1725" i="3"/>
  <c r="D1725" i="3"/>
  <c r="C1725" i="3"/>
  <c r="H1724" i="3"/>
  <c r="G1724" i="3"/>
  <c r="F1724" i="3"/>
  <c r="D1724" i="3"/>
  <c r="C1724" i="3" s="1"/>
  <c r="H1723" i="3"/>
  <c r="G1723" i="3"/>
  <c r="F1723" i="3"/>
  <c r="D1723" i="3"/>
  <c r="C1723" i="3"/>
  <c r="H1722" i="3"/>
  <c r="G1722" i="3"/>
  <c r="F1722" i="3"/>
  <c r="D1722" i="3"/>
  <c r="C1722" i="3" s="1"/>
  <c r="H1721" i="3"/>
  <c r="G1721" i="3"/>
  <c r="F1721" i="3"/>
  <c r="D1721" i="3"/>
  <c r="C1721" i="3"/>
  <c r="H1720" i="3"/>
  <c r="G1720" i="3"/>
  <c r="F1720" i="3"/>
  <c r="D1720" i="3"/>
  <c r="C1720" i="3"/>
  <c r="H1719" i="3"/>
  <c r="G1719" i="3"/>
  <c r="F1719" i="3"/>
  <c r="D1719" i="3"/>
  <c r="C1719" i="3" s="1"/>
  <c r="H1718" i="3"/>
  <c r="G1718" i="3"/>
  <c r="F1718" i="3"/>
  <c r="D1718" i="3"/>
  <c r="C1718" i="3" s="1"/>
  <c r="H1717" i="3"/>
  <c r="G1717" i="3"/>
  <c r="F1717" i="3"/>
  <c r="D1717" i="3"/>
  <c r="C1717" i="3"/>
  <c r="H1716" i="3"/>
  <c r="G1716" i="3"/>
  <c r="F1716" i="3"/>
  <c r="D1716" i="3"/>
  <c r="C1716" i="3" s="1"/>
  <c r="H1715" i="3"/>
  <c r="G1715" i="3"/>
  <c r="F1715" i="3"/>
  <c r="D1715" i="3"/>
  <c r="C1715" i="3"/>
  <c r="H1714" i="3"/>
  <c r="G1714" i="3"/>
  <c r="F1714" i="3"/>
  <c r="D1714" i="3"/>
  <c r="C1714" i="3" s="1"/>
  <c r="H1713" i="3"/>
  <c r="G1713" i="3"/>
  <c r="F1713" i="3"/>
  <c r="D1713" i="3"/>
  <c r="C1713" i="3"/>
  <c r="H1712" i="3"/>
  <c r="G1712" i="3"/>
  <c r="F1712" i="3"/>
  <c r="D1712" i="3"/>
  <c r="C1712" i="3" s="1"/>
  <c r="H1711" i="3"/>
  <c r="G1711" i="3"/>
  <c r="F1711" i="3"/>
  <c r="D1711" i="3"/>
  <c r="C1711" i="3" s="1"/>
  <c r="H1710" i="3"/>
  <c r="G1710" i="3"/>
  <c r="F1710" i="3"/>
  <c r="D1710" i="3"/>
  <c r="C1710" i="3" s="1"/>
  <c r="H1709" i="3"/>
  <c r="G1709" i="3"/>
  <c r="F1709" i="3"/>
  <c r="D1709" i="3"/>
  <c r="C1709" i="3"/>
  <c r="H1708" i="3"/>
  <c r="G1708" i="3"/>
  <c r="F1708" i="3"/>
  <c r="D1708" i="3"/>
  <c r="C1708" i="3" s="1"/>
  <c r="H1707" i="3"/>
  <c r="G1707" i="3"/>
  <c r="F1707" i="3"/>
  <c r="D1707" i="3"/>
  <c r="C1707" i="3" s="1"/>
  <c r="H1706" i="3"/>
  <c r="G1706" i="3"/>
  <c r="F1706" i="3"/>
  <c r="D1706" i="3"/>
  <c r="C1706" i="3" s="1"/>
  <c r="H1705" i="3"/>
  <c r="G1705" i="3"/>
  <c r="F1705" i="3"/>
  <c r="D1705" i="3"/>
  <c r="C1705" i="3"/>
  <c r="H1704" i="3"/>
  <c r="G1704" i="3"/>
  <c r="F1704" i="3"/>
  <c r="D1704" i="3"/>
  <c r="C1704" i="3"/>
  <c r="H1703" i="3"/>
  <c r="G1703" i="3"/>
  <c r="F1703" i="3"/>
  <c r="D1703" i="3"/>
  <c r="C1703" i="3" s="1"/>
  <c r="H1702" i="3"/>
  <c r="G1702" i="3"/>
  <c r="F1702" i="3"/>
  <c r="D1702" i="3"/>
  <c r="C1702" i="3" s="1"/>
  <c r="H1701" i="3"/>
  <c r="G1701" i="3"/>
  <c r="F1701" i="3"/>
  <c r="D1701" i="3"/>
  <c r="C1701" i="3"/>
  <c r="H1700" i="3"/>
  <c r="G1700" i="3"/>
  <c r="F1700" i="3"/>
  <c r="D1700" i="3"/>
  <c r="C1700" i="3"/>
  <c r="H1699" i="3"/>
  <c r="G1699" i="3"/>
  <c r="F1699" i="3"/>
  <c r="D1699" i="3"/>
  <c r="C1699" i="3" s="1"/>
  <c r="H1698" i="3"/>
  <c r="G1698" i="3"/>
  <c r="F1698" i="3"/>
  <c r="D1698" i="3"/>
  <c r="C1698" i="3" s="1"/>
  <c r="H1697" i="3"/>
  <c r="G1697" i="3"/>
  <c r="F1697" i="3"/>
  <c r="D1697" i="3"/>
  <c r="C1697" i="3" s="1"/>
  <c r="H1696" i="3"/>
  <c r="G1696" i="3"/>
  <c r="F1696" i="3"/>
  <c r="D1696" i="3"/>
  <c r="C1696" i="3" s="1"/>
  <c r="H1695" i="3"/>
  <c r="G1695" i="3"/>
  <c r="F1695" i="3"/>
  <c r="D1695" i="3"/>
  <c r="C1695" i="3"/>
  <c r="H1694" i="3"/>
  <c r="G1694" i="3"/>
  <c r="F1694" i="3"/>
  <c r="D1694" i="3"/>
  <c r="C1694" i="3" s="1"/>
  <c r="H1693" i="3"/>
  <c r="G1693" i="3"/>
  <c r="F1693" i="3"/>
  <c r="D1693" i="3"/>
  <c r="C1693" i="3"/>
  <c r="H1692" i="3"/>
  <c r="G1692" i="3"/>
  <c r="F1692" i="3"/>
  <c r="D1692" i="3"/>
  <c r="C1692" i="3"/>
  <c r="H1691" i="3"/>
  <c r="G1691" i="3"/>
  <c r="F1691" i="3"/>
  <c r="D1691" i="3"/>
  <c r="C1691" i="3"/>
  <c r="H1690" i="3"/>
  <c r="G1690" i="3"/>
  <c r="F1690" i="3"/>
  <c r="D1690" i="3"/>
  <c r="C1690" i="3" s="1"/>
  <c r="H1689" i="3"/>
  <c r="G1689" i="3"/>
  <c r="F1689" i="3"/>
  <c r="D1689" i="3"/>
  <c r="C1689" i="3" s="1"/>
  <c r="H1688" i="3"/>
  <c r="G1688" i="3"/>
  <c r="F1688" i="3"/>
  <c r="D1688" i="3"/>
  <c r="C1688" i="3"/>
  <c r="H1687" i="3"/>
  <c r="G1687" i="3"/>
  <c r="F1687" i="3"/>
  <c r="D1687" i="3"/>
  <c r="C1687" i="3"/>
  <c r="H1686" i="3"/>
  <c r="G1686" i="3"/>
  <c r="F1686" i="3"/>
  <c r="D1686" i="3"/>
  <c r="C1686" i="3"/>
  <c r="H1685" i="3"/>
  <c r="G1685" i="3"/>
  <c r="F1685" i="3"/>
  <c r="D1685" i="3"/>
  <c r="C1685" i="3"/>
  <c r="H1684" i="3"/>
  <c r="G1684" i="3"/>
  <c r="F1684" i="3"/>
  <c r="D1684" i="3"/>
  <c r="C1684" i="3" s="1"/>
  <c r="H1683" i="3"/>
  <c r="G1683" i="3"/>
  <c r="F1683" i="3"/>
  <c r="D1683" i="3"/>
  <c r="C1683" i="3" s="1"/>
  <c r="H1682" i="3"/>
  <c r="G1682" i="3"/>
  <c r="F1682" i="3"/>
  <c r="D1682" i="3"/>
  <c r="C1682" i="3" s="1"/>
  <c r="H1681" i="3"/>
  <c r="G1681" i="3"/>
  <c r="F1681" i="3"/>
  <c r="D1681" i="3"/>
  <c r="C1681" i="3"/>
  <c r="H1680" i="3"/>
  <c r="G1680" i="3"/>
  <c r="F1680" i="3"/>
  <c r="D1680" i="3"/>
  <c r="C1680" i="3" s="1"/>
  <c r="H1679" i="3"/>
  <c r="G1679" i="3"/>
  <c r="F1679" i="3"/>
  <c r="D1679" i="3"/>
  <c r="C1679" i="3" s="1"/>
  <c r="H1678" i="3"/>
  <c r="G1678" i="3"/>
  <c r="F1678" i="3"/>
  <c r="D1678" i="3"/>
  <c r="C1678" i="3" s="1"/>
  <c r="H1677" i="3"/>
  <c r="G1677" i="3"/>
  <c r="F1677" i="3"/>
  <c r="D1677" i="3"/>
  <c r="C1677" i="3"/>
  <c r="H1676" i="3"/>
  <c r="G1676" i="3"/>
  <c r="F1676" i="3"/>
  <c r="D1676" i="3"/>
  <c r="C1676" i="3" s="1"/>
  <c r="H1675" i="3"/>
  <c r="G1675" i="3"/>
  <c r="F1675" i="3"/>
  <c r="D1675" i="3"/>
  <c r="C1675" i="3"/>
  <c r="H1674" i="3"/>
  <c r="G1674" i="3"/>
  <c r="F1674" i="3"/>
  <c r="D1674" i="3"/>
  <c r="C1674" i="3" s="1"/>
  <c r="H1673" i="3"/>
  <c r="G1673" i="3"/>
  <c r="F1673" i="3"/>
  <c r="D1673" i="3"/>
  <c r="C1673" i="3" s="1"/>
  <c r="H1672" i="3"/>
  <c r="G1672" i="3"/>
  <c r="F1672" i="3"/>
  <c r="D1672" i="3"/>
  <c r="C1672" i="3"/>
  <c r="H1671" i="3"/>
  <c r="G1671" i="3"/>
  <c r="F1671" i="3"/>
  <c r="D1671" i="3"/>
  <c r="C1671" i="3" s="1"/>
  <c r="H1670" i="3"/>
  <c r="G1670" i="3"/>
  <c r="F1670" i="3"/>
  <c r="D1670" i="3"/>
  <c r="C1670" i="3"/>
  <c r="H1669" i="3"/>
  <c r="G1669" i="3"/>
  <c r="F1669" i="3"/>
  <c r="D1669" i="3"/>
  <c r="C1669" i="3"/>
  <c r="H1668" i="3"/>
  <c r="G1668" i="3"/>
  <c r="F1668" i="3"/>
  <c r="D1668" i="3"/>
  <c r="C1668" i="3"/>
  <c r="H1667" i="3"/>
  <c r="G1667" i="3"/>
  <c r="F1667" i="3"/>
  <c r="D1667" i="3"/>
  <c r="C1667" i="3" s="1"/>
  <c r="H1666" i="3"/>
  <c r="G1666" i="3"/>
  <c r="F1666" i="3"/>
  <c r="D1666" i="3"/>
  <c r="C1666" i="3" s="1"/>
  <c r="H1665" i="3"/>
  <c r="G1665" i="3"/>
  <c r="F1665" i="3"/>
  <c r="D1665" i="3"/>
  <c r="C1665" i="3"/>
  <c r="H1664" i="3"/>
  <c r="G1664" i="3"/>
  <c r="F1664" i="3"/>
  <c r="D1664" i="3"/>
  <c r="C1664" i="3"/>
  <c r="H1663" i="3"/>
  <c r="G1663" i="3"/>
  <c r="F1663" i="3"/>
  <c r="D1663" i="3"/>
  <c r="C1663" i="3"/>
  <c r="H1662" i="3"/>
  <c r="G1662" i="3"/>
  <c r="F1662" i="3"/>
  <c r="D1662" i="3"/>
  <c r="C1662" i="3" s="1"/>
  <c r="H1661" i="3"/>
  <c r="G1661" i="3"/>
  <c r="F1661" i="3"/>
  <c r="D1661" i="3"/>
  <c r="C1661" i="3"/>
  <c r="H1660" i="3"/>
  <c r="G1660" i="3"/>
  <c r="F1660" i="3"/>
  <c r="D1660" i="3"/>
  <c r="C1660" i="3" s="1"/>
  <c r="H1659" i="3"/>
  <c r="G1659" i="3"/>
  <c r="F1659" i="3"/>
  <c r="D1659" i="3"/>
  <c r="C1659" i="3"/>
  <c r="H1658" i="3"/>
  <c r="G1658" i="3"/>
  <c r="F1658" i="3"/>
  <c r="D1658" i="3"/>
  <c r="C1658" i="3" s="1"/>
  <c r="H1657" i="3"/>
  <c r="G1657" i="3"/>
  <c r="F1657" i="3"/>
  <c r="D1657" i="3"/>
  <c r="C1657" i="3" s="1"/>
  <c r="H1656" i="3"/>
  <c r="G1656" i="3"/>
  <c r="F1656" i="3"/>
  <c r="D1656" i="3"/>
  <c r="C1656" i="3"/>
  <c r="H1655" i="3"/>
  <c r="G1655" i="3"/>
  <c r="F1655" i="3"/>
  <c r="D1655" i="3"/>
  <c r="C1655" i="3" s="1"/>
  <c r="H1654" i="3"/>
  <c r="G1654" i="3"/>
  <c r="F1654" i="3"/>
  <c r="D1654" i="3"/>
  <c r="C1654" i="3"/>
  <c r="H1653" i="3"/>
  <c r="G1653" i="3"/>
  <c r="F1653" i="3"/>
  <c r="D1653" i="3"/>
  <c r="C1653" i="3" s="1"/>
  <c r="H1652" i="3"/>
  <c r="G1652" i="3"/>
  <c r="F1652" i="3"/>
  <c r="D1652" i="3"/>
  <c r="C1652" i="3"/>
  <c r="H1651" i="3"/>
  <c r="G1651" i="3"/>
  <c r="F1651" i="3"/>
  <c r="D1651" i="3"/>
  <c r="C1651" i="3"/>
  <c r="H1650" i="3"/>
  <c r="G1650" i="3"/>
  <c r="F1650" i="3"/>
  <c r="D1650" i="3"/>
  <c r="C1650" i="3"/>
  <c r="H1649" i="3"/>
  <c r="G1649" i="3"/>
  <c r="F1649" i="3"/>
  <c r="D1649" i="3"/>
  <c r="C1649" i="3" s="1"/>
  <c r="H1648" i="3"/>
  <c r="G1648" i="3"/>
  <c r="F1648" i="3"/>
  <c r="D1648" i="3"/>
  <c r="C1648" i="3"/>
  <c r="H1647" i="3"/>
  <c r="G1647" i="3"/>
  <c r="F1647" i="3"/>
  <c r="D1647" i="3"/>
  <c r="C1647" i="3" s="1"/>
  <c r="H1646" i="3"/>
  <c r="G1646" i="3"/>
  <c r="F1646" i="3"/>
  <c r="D1646" i="3"/>
  <c r="C1646" i="3"/>
  <c r="H1645" i="3"/>
  <c r="G1645" i="3"/>
  <c r="F1645" i="3"/>
  <c r="D1645" i="3"/>
  <c r="C1645" i="3" s="1"/>
  <c r="H1644" i="3"/>
  <c r="G1644" i="3"/>
  <c r="F1644" i="3"/>
  <c r="D1644" i="3"/>
  <c r="C1644" i="3"/>
  <c r="H1643" i="3"/>
  <c r="G1643" i="3"/>
  <c r="F1643" i="3"/>
  <c r="D1643" i="3"/>
  <c r="C1643" i="3"/>
  <c r="H1642" i="3"/>
  <c r="G1642" i="3"/>
  <c r="F1642" i="3"/>
  <c r="D1642" i="3"/>
  <c r="C1642" i="3"/>
  <c r="H1641" i="3"/>
  <c r="G1641" i="3"/>
  <c r="F1641" i="3"/>
  <c r="D1641" i="3"/>
  <c r="C1641" i="3" s="1"/>
  <c r="H1640" i="3"/>
  <c r="G1640" i="3"/>
  <c r="F1640" i="3"/>
  <c r="D1640" i="3"/>
  <c r="C1640" i="3"/>
  <c r="H1639" i="3"/>
  <c r="G1639" i="3"/>
  <c r="F1639" i="3"/>
  <c r="D1639" i="3"/>
  <c r="C1639" i="3" s="1"/>
  <c r="H1638" i="3"/>
  <c r="G1638" i="3"/>
  <c r="F1638" i="3"/>
  <c r="D1638" i="3"/>
  <c r="C1638" i="3"/>
  <c r="H1637" i="3"/>
  <c r="G1637" i="3"/>
  <c r="F1637" i="3"/>
  <c r="D1637" i="3"/>
  <c r="C1637" i="3" s="1"/>
  <c r="H1636" i="3"/>
  <c r="G1636" i="3"/>
  <c r="F1636" i="3"/>
  <c r="D1636" i="3"/>
  <c r="C1636" i="3"/>
  <c r="H1635" i="3"/>
  <c r="G1635" i="3"/>
  <c r="F1635" i="3"/>
  <c r="D1635" i="3"/>
  <c r="C1635" i="3"/>
  <c r="H1634" i="3"/>
  <c r="G1634" i="3"/>
  <c r="F1634" i="3"/>
  <c r="D1634" i="3"/>
  <c r="C1634" i="3"/>
  <c r="H1633" i="3"/>
  <c r="G1633" i="3"/>
  <c r="F1633" i="3"/>
  <c r="D1633" i="3"/>
  <c r="C1633" i="3" s="1"/>
  <c r="H1632" i="3"/>
  <c r="G1632" i="3"/>
  <c r="F1632" i="3"/>
  <c r="D1632" i="3"/>
  <c r="C1632" i="3"/>
  <c r="H1631" i="3"/>
  <c r="G1631" i="3"/>
  <c r="F1631" i="3"/>
  <c r="D1631" i="3"/>
  <c r="C1631" i="3" s="1"/>
  <c r="H1630" i="3"/>
  <c r="G1630" i="3"/>
  <c r="F1630" i="3"/>
  <c r="D1630" i="3"/>
  <c r="C1630" i="3"/>
  <c r="H1629" i="3"/>
  <c r="G1629" i="3"/>
  <c r="F1629" i="3"/>
  <c r="D1629" i="3"/>
  <c r="C1629" i="3" s="1"/>
  <c r="H1628" i="3"/>
  <c r="G1628" i="3"/>
  <c r="F1628" i="3"/>
  <c r="D1628" i="3"/>
  <c r="C1628" i="3"/>
  <c r="H1627" i="3"/>
  <c r="G1627" i="3"/>
  <c r="F1627" i="3"/>
  <c r="D1627" i="3"/>
  <c r="C1627" i="3" s="1"/>
  <c r="H1626" i="3"/>
  <c r="G1626" i="3"/>
  <c r="F1626" i="3"/>
  <c r="D1626" i="3"/>
  <c r="C1626" i="3"/>
  <c r="H1625" i="3"/>
  <c r="G1625" i="3"/>
  <c r="F1625" i="3"/>
  <c r="D1625" i="3"/>
  <c r="C1625" i="3" s="1"/>
  <c r="H1624" i="3"/>
  <c r="G1624" i="3"/>
  <c r="F1624" i="3"/>
  <c r="D1624" i="3"/>
  <c r="C1624" i="3"/>
  <c r="H1623" i="3"/>
  <c r="G1623" i="3"/>
  <c r="F1623" i="3"/>
  <c r="D1623" i="3"/>
  <c r="C1623" i="3" s="1"/>
  <c r="H1622" i="3"/>
  <c r="G1622" i="3"/>
  <c r="F1622" i="3"/>
  <c r="D1622" i="3"/>
  <c r="C1622" i="3"/>
  <c r="H1621" i="3"/>
  <c r="G1621" i="3"/>
  <c r="F1621" i="3"/>
  <c r="D1621" i="3"/>
  <c r="C1621" i="3" s="1"/>
  <c r="H1620" i="3"/>
  <c r="G1620" i="3"/>
  <c r="F1620" i="3"/>
  <c r="D1620" i="3"/>
  <c r="C1620" i="3"/>
  <c r="H1619" i="3"/>
  <c r="G1619" i="3"/>
  <c r="F1619" i="3"/>
  <c r="D1619" i="3"/>
  <c r="C1619" i="3" s="1"/>
  <c r="H1618" i="3"/>
  <c r="G1618" i="3"/>
  <c r="F1618" i="3"/>
  <c r="D1618" i="3"/>
  <c r="C1618" i="3"/>
  <c r="H1617" i="3"/>
  <c r="G1617" i="3"/>
  <c r="F1617" i="3"/>
  <c r="D1617" i="3"/>
  <c r="C1617" i="3" s="1"/>
  <c r="H1616" i="3"/>
  <c r="G1616" i="3"/>
  <c r="F1616" i="3"/>
  <c r="D1616" i="3"/>
  <c r="C1616" i="3"/>
  <c r="H1615" i="3"/>
  <c r="G1615" i="3"/>
  <c r="F1615" i="3"/>
  <c r="D1615" i="3"/>
  <c r="C1615" i="3" s="1"/>
  <c r="H1614" i="3"/>
  <c r="G1614" i="3"/>
  <c r="F1614" i="3"/>
  <c r="D1614" i="3"/>
  <c r="C1614" i="3"/>
  <c r="H1613" i="3"/>
  <c r="G1613" i="3"/>
  <c r="F1613" i="3"/>
  <c r="D1613" i="3"/>
  <c r="C1613" i="3" s="1"/>
  <c r="H1612" i="3"/>
  <c r="G1612" i="3"/>
  <c r="F1612" i="3"/>
  <c r="D1612" i="3"/>
  <c r="C1612" i="3"/>
  <c r="H1611" i="3"/>
  <c r="G1611" i="3"/>
  <c r="F1611" i="3"/>
  <c r="D1611" i="3"/>
  <c r="C1611" i="3" s="1"/>
  <c r="H1610" i="3"/>
  <c r="G1610" i="3"/>
  <c r="F1610" i="3"/>
  <c r="D1610" i="3"/>
  <c r="C1610" i="3"/>
  <c r="H1609" i="3"/>
  <c r="G1609" i="3"/>
  <c r="F1609" i="3"/>
  <c r="D1609" i="3"/>
  <c r="C1609" i="3" s="1"/>
  <c r="H1608" i="3"/>
  <c r="G1608" i="3"/>
  <c r="F1608" i="3"/>
  <c r="D1608" i="3"/>
  <c r="C1608" i="3"/>
  <c r="H1607" i="3"/>
  <c r="G1607" i="3"/>
  <c r="F1607" i="3"/>
  <c r="D1607" i="3"/>
  <c r="C1607" i="3" s="1"/>
  <c r="H1606" i="3"/>
  <c r="G1606" i="3"/>
  <c r="F1606" i="3"/>
  <c r="D1606" i="3"/>
  <c r="C1606" i="3"/>
  <c r="H1605" i="3"/>
  <c r="G1605" i="3"/>
  <c r="F1605" i="3"/>
  <c r="D1605" i="3"/>
  <c r="C1605" i="3" s="1"/>
  <c r="H1604" i="3"/>
  <c r="G1604" i="3"/>
  <c r="F1604" i="3"/>
  <c r="D1604" i="3"/>
  <c r="C1604" i="3"/>
  <c r="H1603" i="3"/>
  <c r="G1603" i="3"/>
  <c r="F1603" i="3"/>
  <c r="D1603" i="3"/>
  <c r="C1603" i="3" s="1"/>
  <c r="H1602" i="3"/>
  <c r="G1602" i="3"/>
  <c r="F1602" i="3"/>
  <c r="D1602" i="3"/>
  <c r="C1602" i="3"/>
  <c r="H1601" i="3"/>
  <c r="G1601" i="3"/>
  <c r="F1601" i="3"/>
  <c r="D1601" i="3"/>
  <c r="C1601" i="3" s="1"/>
  <c r="H1600" i="3"/>
  <c r="G1600" i="3"/>
  <c r="F1600" i="3"/>
  <c r="D1600" i="3"/>
  <c r="C1600" i="3"/>
  <c r="H1599" i="3"/>
  <c r="G1599" i="3"/>
  <c r="F1599" i="3"/>
  <c r="D1599" i="3"/>
  <c r="C1599" i="3" s="1"/>
  <c r="H1598" i="3"/>
  <c r="G1598" i="3"/>
  <c r="F1598" i="3"/>
  <c r="D1598" i="3"/>
  <c r="C1598" i="3"/>
  <c r="H1597" i="3"/>
  <c r="G1597" i="3"/>
  <c r="F1597" i="3"/>
  <c r="D1597" i="3"/>
  <c r="C1597" i="3" s="1"/>
  <c r="H1596" i="3"/>
  <c r="G1596" i="3"/>
  <c r="F1596" i="3"/>
  <c r="D1596" i="3"/>
  <c r="C1596" i="3"/>
  <c r="H1595" i="3"/>
  <c r="G1595" i="3"/>
  <c r="F1595" i="3"/>
  <c r="D1595" i="3"/>
  <c r="C1595" i="3" s="1"/>
  <c r="H1594" i="3"/>
  <c r="G1594" i="3"/>
  <c r="F1594" i="3"/>
  <c r="D1594" i="3"/>
  <c r="C1594" i="3"/>
  <c r="H1593" i="3"/>
  <c r="G1593" i="3"/>
  <c r="F1593" i="3"/>
  <c r="D1593" i="3"/>
  <c r="C1593" i="3" s="1"/>
  <c r="H1592" i="3"/>
  <c r="G1592" i="3"/>
  <c r="F1592" i="3"/>
  <c r="D1592" i="3"/>
  <c r="C1592" i="3"/>
  <c r="H1591" i="3"/>
  <c r="G1591" i="3"/>
  <c r="F1591" i="3"/>
  <c r="D1591" i="3"/>
  <c r="C1591" i="3" s="1"/>
  <c r="H1590" i="3"/>
  <c r="G1590" i="3"/>
  <c r="F1590" i="3"/>
  <c r="D1590" i="3"/>
  <c r="C1590" i="3"/>
  <c r="H1589" i="3"/>
  <c r="G1589" i="3"/>
  <c r="F1589" i="3"/>
  <c r="D1589" i="3"/>
  <c r="C1589" i="3" s="1"/>
  <c r="H1588" i="3"/>
  <c r="G1588" i="3"/>
  <c r="F1588" i="3"/>
  <c r="D1588" i="3"/>
  <c r="C1588" i="3"/>
  <c r="H1587" i="3"/>
  <c r="G1587" i="3"/>
  <c r="F1587" i="3"/>
  <c r="D1587" i="3"/>
  <c r="C1587" i="3" s="1"/>
  <c r="H1586" i="3"/>
  <c r="G1586" i="3"/>
  <c r="F1586" i="3"/>
  <c r="D1586" i="3"/>
  <c r="C1586" i="3"/>
  <c r="H1585" i="3"/>
  <c r="G1585" i="3"/>
  <c r="F1585" i="3"/>
  <c r="D1585" i="3"/>
  <c r="C1585" i="3" s="1"/>
  <c r="H1584" i="3"/>
  <c r="G1584" i="3"/>
  <c r="F1584" i="3"/>
  <c r="D1584" i="3"/>
  <c r="C1584" i="3"/>
  <c r="H1583" i="3"/>
  <c r="G1583" i="3"/>
  <c r="F1583" i="3"/>
  <c r="D1583" i="3"/>
  <c r="C1583" i="3" s="1"/>
  <c r="H1582" i="3"/>
  <c r="G1582" i="3"/>
  <c r="F1582" i="3"/>
  <c r="D1582" i="3"/>
  <c r="C1582" i="3"/>
  <c r="H1581" i="3"/>
  <c r="G1581" i="3"/>
  <c r="F1581" i="3"/>
  <c r="D1581" i="3"/>
  <c r="C1581" i="3" s="1"/>
  <c r="H1580" i="3"/>
  <c r="G1580" i="3"/>
  <c r="F1580" i="3"/>
  <c r="D1580" i="3"/>
  <c r="C1580" i="3"/>
  <c r="H1579" i="3"/>
  <c r="G1579" i="3"/>
  <c r="F1579" i="3"/>
  <c r="D1579" i="3"/>
  <c r="C1579" i="3" s="1"/>
  <c r="H1578" i="3"/>
  <c r="G1578" i="3"/>
  <c r="F1578" i="3"/>
  <c r="D1578" i="3"/>
  <c r="C1578" i="3"/>
  <c r="H1577" i="3"/>
  <c r="G1577" i="3"/>
  <c r="F1577" i="3"/>
  <c r="D1577" i="3"/>
  <c r="C1577" i="3" s="1"/>
  <c r="H1576" i="3"/>
  <c r="G1576" i="3"/>
  <c r="F1576" i="3"/>
  <c r="D1576" i="3"/>
  <c r="C1576" i="3"/>
  <c r="H1575" i="3"/>
  <c r="G1575" i="3"/>
  <c r="F1575" i="3"/>
  <c r="D1575" i="3"/>
  <c r="C1575" i="3" s="1"/>
  <c r="H1574" i="3"/>
  <c r="G1574" i="3"/>
  <c r="F1574" i="3"/>
  <c r="D1574" i="3"/>
  <c r="C1574" i="3"/>
  <c r="H1573" i="3"/>
  <c r="G1573" i="3"/>
  <c r="F1573" i="3"/>
  <c r="D1573" i="3"/>
  <c r="C1573" i="3" s="1"/>
  <c r="H1572" i="3"/>
  <c r="G1572" i="3"/>
  <c r="F1572" i="3"/>
  <c r="D1572" i="3"/>
  <c r="C1572" i="3"/>
  <c r="H1571" i="3"/>
  <c r="G1571" i="3"/>
  <c r="F1571" i="3"/>
  <c r="D1571" i="3"/>
  <c r="C1571" i="3" s="1"/>
  <c r="H1570" i="3"/>
  <c r="G1570" i="3"/>
  <c r="F1570" i="3"/>
  <c r="D1570" i="3"/>
  <c r="C1570" i="3"/>
  <c r="H1569" i="3"/>
  <c r="G1569" i="3"/>
  <c r="F1569" i="3"/>
  <c r="D1569" i="3"/>
  <c r="C1569" i="3" s="1"/>
  <c r="H1568" i="3"/>
  <c r="G1568" i="3"/>
  <c r="F1568" i="3"/>
  <c r="D1568" i="3"/>
  <c r="C1568" i="3"/>
  <c r="H1567" i="3"/>
  <c r="G1567" i="3"/>
  <c r="F1567" i="3"/>
  <c r="D1567" i="3"/>
  <c r="C1567" i="3" s="1"/>
  <c r="H1566" i="3"/>
  <c r="G1566" i="3"/>
  <c r="F1566" i="3"/>
  <c r="D1566" i="3"/>
  <c r="C1566" i="3"/>
  <c r="H1565" i="3"/>
  <c r="G1565" i="3"/>
  <c r="F1565" i="3"/>
  <c r="D1565" i="3"/>
  <c r="C1565" i="3" s="1"/>
  <c r="H1564" i="3"/>
  <c r="G1564" i="3"/>
  <c r="F1564" i="3"/>
  <c r="D1564" i="3"/>
  <c r="C1564" i="3"/>
  <c r="H1563" i="3"/>
  <c r="G1563" i="3"/>
  <c r="F1563" i="3"/>
  <c r="D1563" i="3"/>
  <c r="C1563" i="3" s="1"/>
  <c r="H1562" i="3"/>
  <c r="G1562" i="3"/>
  <c r="F1562" i="3"/>
  <c r="D1562" i="3"/>
  <c r="C1562" i="3"/>
  <c r="H1561" i="3"/>
  <c r="G1561" i="3"/>
  <c r="F1561" i="3"/>
  <c r="D1561" i="3"/>
  <c r="C1561" i="3" s="1"/>
  <c r="H1560" i="3"/>
  <c r="G1560" i="3"/>
  <c r="F1560" i="3"/>
  <c r="D1560" i="3"/>
  <c r="C1560" i="3"/>
  <c r="H1559" i="3"/>
  <c r="G1559" i="3"/>
  <c r="F1559" i="3"/>
  <c r="D1559" i="3"/>
  <c r="C1559" i="3" s="1"/>
  <c r="H1558" i="3"/>
  <c r="G1558" i="3"/>
  <c r="F1558" i="3"/>
  <c r="D1558" i="3"/>
  <c r="C1558" i="3"/>
  <c r="H1557" i="3"/>
  <c r="G1557" i="3"/>
  <c r="F1557" i="3"/>
  <c r="D1557" i="3"/>
  <c r="C1557" i="3" s="1"/>
  <c r="H1556" i="3"/>
  <c r="G1556" i="3"/>
  <c r="F1556" i="3"/>
  <c r="D1556" i="3"/>
  <c r="C1556" i="3"/>
  <c r="H1555" i="3"/>
  <c r="G1555" i="3"/>
  <c r="F1555" i="3"/>
  <c r="D1555" i="3"/>
  <c r="C1555" i="3" s="1"/>
  <c r="H1554" i="3"/>
  <c r="G1554" i="3"/>
  <c r="F1554" i="3"/>
  <c r="D1554" i="3"/>
  <c r="C1554" i="3"/>
  <c r="H1553" i="3"/>
  <c r="G1553" i="3"/>
  <c r="F1553" i="3"/>
  <c r="D1553" i="3"/>
  <c r="C1553" i="3" s="1"/>
  <c r="H1552" i="3"/>
  <c r="G1552" i="3"/>
  <c r="F1552" i="3"/>
  <c r="D1552" i="3"/>
  <c r="C1552" i="3"/>
  <c r="H1551" i="3"/>
  <c r="G1551" i="3"/>
  <c r="F1551" i="3"/>
  <c r="D1551" i="3"/>
  <c r="C1551" i="3" s="1"/>
  <c r="H1550" i="3"/>
  <c r="G1550" i="3"/>
  <c r="F1550" i="3"/>
  <c r="D1550" i="3"/>
  <c r="C1550" i="3"/>
  <c r="H1549" i="3"/>
  <c r="G1549" i="3"/>
  <c r="F1549" i="3"/>
  <c r="D1549" i="3"/>
  <c r="C1549" i="3" s="1"/>
  <c r="H1548" i="3"/>
  <c r="G1548" i="3"/>
  <c r="F1548" i="3"/>
  <c r="D1548" i="3"/>
  <c r="C1548" i="3"/>
  <c r="H1547" i="3"/>
  <c r="G1547" i="3"/>
  <c r="F1547" i="3"/>
  <c r="D1547" i="3"/>
  <c r="C1547" i="3" s="1"/>
  <c r="H1546" i="3"/>
  <c r="G1546" i="3"/>
  <c r="F1546" i="3"/>
  <c r="D1546" i="3"/>
  <c r="C1546" i="3"/>
  <c r="H1545" i="3"/>
  <c r="G1545" i="3"/>
  <c r="F1545" i="3"/>
  <c r="D1545" i="3"/>
  <c r="C1545" i="3" s="1"/>
  <c r="H1544" i="3"/>
  <c r="G1544" i="3"/>
  <c r="F1544" i="3"/>
  <c r="D1544" i="3"/>
  <c r="C1544" i="3"/>
  <c r="H1543" i="3"/>
  <c r="G1543" i="3"/>
  <c r="F1543" i="3"/>
  <c r="D1543" i="3"/>
  <c r="C1543" i="3" s="1"/>
  <c r="H1542" i="3"/>
  <c r="G1542" i="3"/>
  <c r="F1542" i="3"/>
  <c r="D1542" i="3"/>
  <c r="C1542" i="3"/>
  <c r="H1541" i="3"/>
  <c r="G1541" i="3"/>
  <c r="F1541" i="3"/>
  <c r="D1541" i="3"/>
  <c r="C1541" i="3" s="1"/>
  <c r="H1540" i="3"/>
  <c r="G1540" i="3"/>
  <c r="F1540" i="3"/>
  <c r="D1540" i="3"/>
  <c r="C1540" i="3"/>
  <c r="H1539" i="3"/>
  <c r="G1539" i="3"/>
  <c r="F1539" i="3"/>
  <c r="D1539" i="3"/>
  <c r="C1539" i="3" s="1"/>
  <c r="H1538" i="3"/>
  <c r="G1538" i="3"/>
  <c r="F1538" i="3"/>
  <c r="D1538" i="3"/>
  <c r="C1538" i="3"/>
  <c r="H1537" i="3"/>
  <c r="G1537" i="3"/>
  <c r="F1537" i="3"/>
  <c r="D1537" i="3"/>
  <c r="C1537" i="3" s="1"/>
  <c r="H1536" i="3"/>
  <c r="G1536" i="3"/>
  <c r="F1536" i="3"/>
  <c r="D1536" i="3"/>
  <c r="C1536" i="3"/>
  <c r="H1535" i="3"/>
  <c r="G1535" i="3"/>
  <c r="F1535" i="3"/>
  <c r="D1535" i="3"/>
  <c r="C1535" i="3" s="1"/>
  <c r="H1534" i="3"/>
  <c r="G1534" i="3"/>
  <c r="F1534" i="3"/>
  <c r="D1534" i="3"/>
  <c r="C1534" i="3"/>
  <c r="H1533" i="3"/>
  <c r="G1533" i="3"/>
  <c r="F1533" i="3"/>
  <c r="D1533" i="3"/>
  <c r="C1533" i="3" s="1"/>
  <c r="H1532" i="3"/>
  <c r="G1532" i="3"/>
  <c r="F1532" i="3"/>
  <c r="D1532" i="3"/>
  <c r="C1532" i="3"/>
  <c r="H1531" i="3"/>
  <c r="G1531" i="3"/>
  <c r="F1531" i="3"/>
  <c r="D1531" i="3"/>
  <c r="C1531" i="3" s="1"/>
  <c r="H1530" i="3"/>
  <c r="G1530" i="3"/>
  <c r="F1530" i="3"/>
  <c r="D1530" i="3"/>
  <c r="C1530" i="3"/>
  <c r="H1529" i="3"/>
  <c r="G1529" i="3"/>
  <c r="F1529" i="3"/>
  <c r="D1529" i="3"/>
  <c r="C1529" i="3" s="1"/>
  <c r="H1528" i="3"/>
  <c r="G1528" i="3"/>
  <c r="F1528" i="3"/>
  <c r="D1528" i="3"/>
  <c r="C1528" i="3"/>
  <c r="H1527" i="3"/>
  <c r="G1527" i="3"/>
  <c r="F1527" i="3"/>
  <c r="D1527" i="3"/>
  <c r="C1527" i="3" s="1"/>
  <c r="H1526" i="3"/>
  <c r="G1526" i="3"/>
  <c r="F1526" i="3"/>
  <c r="D1526" i="3"/>
  <c r="C1526" i="3"/>
  <c r="H1525" i="3"/>
  <c r="G1525" i="3"/>
  <c r="F1525" i="3"/>
  <c r="D1525" i="3"/>
  <c r="C1525" i="3" s="1"/>
  <c r="H1524" i="3"/>
  <c r="G1524" i="3"/>
  <c r="F1524" i="3"/>
  <c r="D1524" i="3"/>
  <c r="C1524" i="3"/>
  <c r="H1523" i="3"/>
  <c r="G1523" i="3"/>
  <c r="F1523" i="3"/>
  <c r="D1523" i="3"/>
  <c r="C1523" i="3" s="1"/>
  <c r="H1522" i="3"/>
  <c r="G1522" i="3"/>
  <c r="F1522" i="3"/>
  <c r="D1522" i="3"/>
  <c r="C1522" i="3"/>
  <c r="H1521" i="3"/>
  <c r="G1521" i="3"/>
  <c r="F1521" i="3"/>
  <c r="D1521" i="3"/>
  <c r="C1521" i="3" s="1"/>
  <c r="H1520" i="3"/>
  <c r="G1520" i="3"/>
  <c r="F1520" i="3"/>
  <c r="D1520" i="3"/>
  <c r="C1520" i="3"/>
  <c r="H1519" i="3"/>
  <c r="G1519" i="3"/>
  <c r="F1519" i="3"/>
  <c r="D1519" i="3"/>
  <c r="C1519" i="3" s="1"/>
  <c r="H1518" i="3"/>
  <c r="G1518" i="3"/>
  <c r="F1518" i="3"/>
  <c r="D1518" i="3"/>
  <c r="C1518" i="3"/>
  <c r="H1517" i="3"/>
  <c r="G1517" i="3"/>
  <c r="F1517" i="3"/>
  <c r="D1517" i="3"/>
  <c r="C1517" i="3" s="1"/>
  <c r="H1516" i="3"/>
  <c r="G1516" i="3"/>
  <c r="F1516" i="3"/>
  <c r="D1516" i="3"/>
  <c r="C1516" i="3"/>
  <c r="H1515" i="3"/>
  <c r="G1515" i="3"/>
  <c r="F1515" i="3"/>
  <c r="D1515" i="3"/>
  <c r="C1515" i="3" s="1"/>
  <c r="H1514" i="3"/>
  <c r="G1514" i="3"/>
  <c r="F1514" i="3"/>
  <c r="D1514" i="3"/>
  <c r="C1514" i="3"/>
  <c r="H1513" i="3"/>
  <c r="G1513" i="3"/>
  <c r="F1513" i="3"/>
  <c r="D1513" i="3"/>
  <c r="C1513" i="3" s="1"/>
  <c r="H1512" i="3"/>
  <c r="G1512" i="3"/>
  <c r="F1512" i="3"/>
  <c r="D1512" i="3"/>
  <c r="C1512" i="3"/>
  <c r="H1511" i="3"/>
  <c r="G1511" i="3"/>
  <c r="F1511" i="3"/>
  <c r="D1511" i="3"/>
  <c r="C1511" i="3" s="1"/>
  <c r="H1510" i="3"/>
  <c r="G1510" i="3"/>
  <c r="F1510" i="3"/>
  <c r="D1510" i="3"/>
  <c r="C1510" i="3"/>
  <c r="H1509" i="3"/>
  <c r="G1509" i="3"/>
  <c r="F1509" i="3"/>
  <c r="D1509" i="3"/>
  <c r="C1509" i="3" s="1"/>
  <c r="H1508" i="3"/>
  <c r="G1508" i="3"/>
  <c r="F1508" i="3"/>
  <c r="D1508" i="3"/>
  <c r="C1508" i="3"/>
  <c r="H1507" i="3"/>
  <c r="G1507" i="3"/>
  <c r="F1507" i="3"/>
  <c r="D1507" i="3"/>
  <c r="C1507" i="3" s="1"/>
  <c r="H1506" i="3"/>
  <c r="G1506" i="3"/>
  <c r="F1506" i="3"/>
  <c r="D1506" i="3"/>
  <c r="C1506" i="3"/>
  <c r="H1505" i="3"/>
  <c r="G1505" i="3"/>
  <c r="F1505" i="3"/>
  <c r="D1505" i="3"/>
  <c r="C1505" i="3" s="1"/>
  <c r="H1504" i="3"/>
  <c r="G1504" i="3"/>
  <c r="F1504" i="3"/>
  <c r="D1504" i="3"/>
  <c r="C1504" i="3"/>
  <c r="H1503" i="3"/>
  <c r="G1503" i="3"/>
  <c r="F1503" i="3"/>
  <c r="D1503" i="3"/>
  <c r="C1503" i="3" s="1"/>
  <c r="H1502" i="3"/>
  <c r="G1502" i="3"/>
  <c r="F1502" i="3"/>
  <c r="D1502" i="3"/>
  <c r="C1502" i="3"/>
  <c r="H1501" i="3"/>
  <c r="G1501" i="3"/>
  <c r="F1501" i="3"/>
  <c r="D1501" i="3"/>
  <c r="C1501" i="3" s="1"/>
  <c r="H1500" i="3"/>
  <c r="G1500" i="3"/>
  <c r="F1500" i="3"/>
  <c r="D1500" i="3"/>
  <c r="C1500" i="3"/>
  <c r="H1499" i="3"/>
  <c r="G1499" i="3"/>
  <c r="F1499" i="3"/>
  <c r="D1499" i="3"/>
  <c r="C1499" i="3" s="1"/>
  <c r="H1498" i="3"/>
  <c r="G1498" i="3"/>
  <c r="F1498" i="3"/>
  <c r="D1498" i="3"/>
  <c r="C1498" i="3"/>
  <c r="H1497" i="3"/>
  <c r="G1497" i="3"/>
  <c r="F1497" i="3"/>
  <c r="D1497" i="3"/>
  <c r="C1497" i="3" s="1"/>
  <c r="H1496" i="3"/>
  <c r="G1496" i="3"/>
  <c r="F1496" i="3"/>
  <c r="D1496" i="3"/>
  <c r="C1496" i="3"/>
  <c r="H1495" i="3"/>
  <c r="G1495" i="3"/>
  <c r="F1495" i="3"/>
  <c r="D1495" i="3"/>
  <c r="C1495" i="3" s="1"/>
  <c r="H1494" i="3"/>
  <c r="G1494" i="3"/>
  <c r="F1494" i="3"/>
  <c r="D1494" i="3"/>
  <c r="C1494" i="3"/>
  <c r="H1493" i="3"/>
  <c r="G1493" i="3"/>
  <c r="F1493" i="3"/>
  <c r="D1493" i="3"/>
  <c r="C1493" i="3" s="1"/>
  <c r="H1492" i="3"/>
  <c r="G1492" i="3"/>
  <c r="F1492" i="3"/>
  <c r="D1492" i="3"/>
  <c r="C1492" i="3"/>
  <c r="H1491" i="3"/>
  <c r="G1491" i="3"/>
  <c r="F1491" i="3"/>
  <c r="D1491" i="3"/>
  <c r="C1491" i="3" s="1"/>
  <c r="H1490" i="3"/>
  <c r="G1490" i="3"/>
  <c r="F1490" i="3"/>
  <c r="D1490" i="3"/>
  <c r="C1490" i="3"/>
  <c r="H1489" i="3"/>
  <c r="G1489" i="3"/>
  <c r="F1489" i="3"/>
  <c r="D1489" i="3"/>
  <c r="C1489" i="3" s="1"/>
  <c r="H1488" i="3"/>
  <c r="G1488" i="3"/>
  <c r="F1488" i="3"/>
  <c r="D1488" i="3"/>
  <c r="C1488" i="3"/>
  <c r="H1487" i="3"/>
  <c r="G1487" i="3"/>
  <c r="F1487" i="3"/>
  <c r="D1487" i="3"/>
  <c r="C1487" i="3" s="1"/>
  <c r="H1486" i="3"/>
  <c r="G1486" i="3"/>
  <c r="F1486" i="3"/>
  <c r="D1486" i="3"/>
  <c r="C1486" i="3"/>
  <c r="H1485" i="3"/>
  <c r="G1485" i="3"/>
  <c r="F1485" i="3"/>
  <c r="D1485" i="3"/>
  <c r="C1485" i="3" s="1"/>
  <c r="H1484" i="3"/>
  <c r="G1484" i="3"/>
  <c r="F1484" i="3"/>
  <c r="D1484" i="3"/>
  <c r="C1484" i="3"/>
  <c r="H1483" i="3"/>
  <c r="G1483" i="3"/>
  <c r="F1483" i="3"/>
  <c r="D1483" i="3"/>
  <c r="C1483" i="3" s="1"/>
  <c r="H1482" i="3"/>
  <c r="G1482" i="3"/>
  <c r="F1482" i="3"/>
  <c r="D1482" i="3"/>
  <c r="C1482" i="3"/>
  <c r="H1481" i="3"/>
  <c r="G1481" i="3"/>
  <c r="F1481" i="3"/>
  <c r="D1481" i="3"/>
  <c r="C1481" i="3" s="1"/>
  <c r="H1480" i="3"/>
  <c r="G1480" i="3"/>
  <c r="F1480" i="3"/>
  <c r="D1480" i="3"/>
  <c r="C1480" i="3"/>
  <c r="H1479" i="3"/>
  <c r="G1479" i="3"/>
  <c r="F1479" i="3"/>
  <c r="D1479" i="3"/>
  <c r="C1479" i="3" s="1"/>
  <c r="H1478" i="3"/>
  <c r="G1478" i="3"/>
  <c r="F1478" i="3"/>
  <c r="D1478" i="3"/>
  <c r="C1478" i="3"/>
  <c r="H1477" i="3"/>
  <c r="G1477" i="3"/>
  <c r="F1477" i="3"/>
  <c r="D1477" i="3"/>
  <c r="C1477" i="3" s="1"/>
  <c r="H1476" i="3"/>
  <c r="G1476" i="3"/>
  <c r="F1476" i="3"/>
  <c r="D1476" i="3"/>
  <c r="C1476" i="3"/>
  <c r="H1475" i="3"/>
  <c r="G1475" i="3"/>
  <c r="F1475" i="3"/>
  <c r="D1475" i="3"/>
  <c r="C1475" i="3" s="1"/>
  <c r="H1474" i="3"/>
  <c r="G1474" i="3"/>
  <c r="F1474" i="3"/>
  <c r="D1474" i="3"/>
  <c r="C1474" i="3"/>
  <c r="H1473" i="3"/>
  <c r="G1473" i="3"/>
  <c r="F1473" i="3"/>
  <c r="D1473" i="3"/>
  <c r="C1473" i="3" s="1"/>
  <c r="H1472" i="3"/>
  <c r="G1472" i="3"/>
  <c r="F1472" i="3"/>
  <c r="D1472" i="3"/>
  <c r="C1472" i="3"/>
  <c r="H1471" i="3"/>
  <c r="G1471" i="3"/>
  <c r="F1471" i="3"/>
  <c r="D1471" i="3"/>
  <c r="C1471" i="3" s="1"/>
  <c r="H1470" i="3"/>
  <c r="G1470" i="3"/>
  <c r="F1470" i="3"/>
  <c r="D1470" i="3"/>
  <c r="C1470" i="3"/>
  <c r="H1469" i="3"/>
  <c r="G1469" i="3"/>
  <c r="F1469" i="3"/>
  <c r="D1469" i="3"/>
  <c r="C1469" i="3" s="1"/>
  <c r="H1468" i="3"/>
  <c r="G1468" i="3"/>
  <c r="F1468" i="3"/>
  <c r="D1468" i="3"/>
  <c r="C1468" i="3"/>
  <c r="H1467" i="3"/>
  <c r="G1467" i="3"/>
  <c r="F1467" i="3"/>
  <c r="D1467" i="3"/>
  <c r="C1467" i="3" s="1"/>
  <c r="H1466" i="3"/>
  <c r="G1466" i="3"/>
  <c r="F1466" i="3"/>
  <c r="D1466" i="3"/>
  <c r="C1466" i="3"/>
  <c r="H1465" i="3"/>
  <c r="G1465" i="3"/>
  <c r="F1465" i="3"/>
  <c r="D1465" i="3"/>
  <c r="C1465" i="3" s="1"/>
  <c r="H1464" i="3"/>
  <c r="G1464" i="3"/>
  <c r="F1464" i="3"/>
  <c r="D1464" i="3"/>
  <c r="C1464" i="3"/>
  <c r="H1463" i="3"/>
  <c r="G1463" i="3"/>
  <c r="F1463" i="3"/>
  <c r="D1463" i="3"/>
  <c r="C1463" i="3" s="1"/>
  <c r="H1462" i="3"/>
  <c r="G1462" i="3"/>
  <c r="F1462" i="3"/>
  <c r="D1462" i="3"/>
  <c r="C1462" i="3"/>
  <c r="H1461" i="3"/>
  <c r="G1461" i="3"/>
  <c r="F1461" i="3"/>
  <c r="D1461" i="3"/>
  <c r="C1461" i="3" s="1"/>
  <c r="H1460" i="3"/>
  <c r="G1460" i="3"/>
  <c r="F1460" i="3"/>
  <c r="D1460" i="3"/>
  <c r="C1460" i="3"/>
  <c r="H1459" i="3"/>
  <c r="G1459" i="3"/>
  <c r="F1459" i="3"/>
  <c r="D1459" i="3"/>
  <c r="C1459" i="3" s="1"/>
  <c r="H1458" i="3"/>
  <c r="G1458" i="3"/>
  <c r="F1458" i="3"/>
  <c r="D1458" i="3"/>
  <c r="C1458" i="3"/>
  <c r="H1457" i="3"/>
  <c r="G1457" i="3"/>
  <c r="F1457" i="3"/>
  <c r="D1457" i="3"/>
  <c r="C1457" i="3" s="1"/>
  <c r="H1456" i="3"/>
  <c r="G1456" i="3"/>
  <c r="F1456" i="3"/>
  <c r="D1456" i="3"/>
  <c r="C1456" i="3"/>
  <c r="H1455" i="3"/>
  <c r="G1455" i="3"/>
  <c r="F1455" i="3"/>
  <c r="D1455" i="3"/>
  <c r="C1455" i="3" s="1"/>
  <c r="H1454" i="3"/>
  <c r="G1454" i="3"/>
  <c r="F1454" i="3"/>
  <c r="D1454" i="3"/>
  <c r="C1454" i="3"/>
  <c r="H1453" i="3"/>
  <c r="G1453" i="3"/>
  <c r="F1453" i="3"/>
  <c r="D1453" i="3"/>
  <c r="C1453" i="3" s="1"/>
  <c r="H1452" i="3"/>
  <c r="G1452" i="3"/>
  <c r="F1452" i="3"/>
  <c r="D1452" i="3"/>
  <c r="C1452" i="3"/>
  <c r="H1451" i="3"/>
  <c r="G1451" i="3"/>
  <c r="F1451" i="3"/>
  <c r="D1451" i="3"/>
  <c r="C1451" i="3" s="1"/>
  <c r="H1450" i="3"/>
  <c r="G1450" i="3"/>
  <c r="F1450" i="3"/>
  <c r="D1450" i="3"/>
  <c r="C1450" i="3"/>
  <c r="H1449" i="3"/>
  <c r="G1449" i="3"/>
  <c r="F1449" i="3"/>
  <c r="D1449" i="3"/>
  <c r="C1449" i="3" s="1"/>
  <c r="H1448" i="3"/>
  <c r="G1448" i="3"/>
  <c r="F1448" i="3"/>
  <c r="D1448" i="3"/>
  <c r="C1448" i="3"/>
  <c r="H1447" i="3"/>
  <c r="G1447" i="3"/>
  <c r="F1447" i="3"/>
  <c r="D1447" i="3"/>
  <c r="C1447" i="3" s="1"/>
  <c r="H1446" i="3"/>
  <c r="G1446" i="3"/>
  <c r="F1446" i="3"/>
  <c r="D1446" i="3"/>
  <c r="C1446" i="3"/>
  <c r="H1445" i="3"/>
  <c r="G1445" i="3"/>
  <c r="F1445" i="3"/>
  <c r="D1445" i="3"/>
  <c r="C1445" i="3" s="1"/>
  <c r="H1444" i="3"/>
  <c r="G1444" i="3"/>
  <c r="F1444" i="3"/>
  <c r="D1444" i="3"/>
  <c r="C1444" i="3"/>
  <c r="H1443" i="3"/>
  <c r="G1443" i="3"/>
  <c r="F1443" i="3"/>
  <c r="D1443" i="3"/>
  <c r="C1443" i="3" s="1"/>
  <c r="H1442" i="3"/>
  <c r="G1442" i="3"/>
  <c r="F1442" i="3"/>
  <c r="D1442" i="3"/>
  <c r="C1442" i="3"/>
  <c r="H1441" i="3"/>
  <c r="G1441" i="3"/>
  <c r="F1441" i="3"/>
  <c r="D1441" i="3"/>
  <c r="C1441" i="3" s="1"/>
  <c r="H1440" i="3"/>
  <c r="G1440" i="3"/>
  <c r="F1440" i="3"/>
  <c r="D1440" i="3"/>
  <c r="C1440" i="3"/>
  <c r="H1439" i="3"/>
  <c r="G1439" i="3"/>
  <c r="F1439" i="3"/>
  <c r="D1439" i="3"/>
  <c r="C1439" i="3" s="1"/>
  <c r="H1438" i="3"/>
  <c r="G1438" i="3"/>
  <c r="F1438" i="3"/>
  <c r="D1438" i="3"/>
  <c r="C1438" i="3"/>
  <c r="H1437" i="3"/>
  <c r="G1437" i="3"/>
  <c r="F1437" i="3"/>
  <c r="D1437" i="3"/>
  <c r="C1437" i="3" s="1"/>
  <c r="H1436" i="3"/>
  <c r="G1436" i="3"/>
  <c r="F1436" i="3"/>
  <c r="D1436" i="3"/>
  <c r="C1436" i="3"/>
  <c r="H1435" i="3"/>
  <c r="G1435" i="3"/>
  <c r="F1435" i="3"/>
  <c r="D1435" i="3"/>
  <c r="C1435" i="3" s="1"/>
  <c r="H1434" i="3"/>
  <c r="G1434" i="3"/>
  <c r="F1434" i="3"/>
  <c r="D1434" i="3"/>
  <c r="C1434" i="3"/>
  <c r="H1433" i="3"/>
  <c r="G1433" i="3"/>
  <c r="F1433" i="3"/>
  <c r="D1433" i="3"/>
  <c r="C1433" i="3" s="1"/>
  <c r="H1432" i="3"/>
  <c r="G1432" i="3"/>
  <c r="F1432" i="3"/>
  <c r="D1432" i="3"/>
  <c r="C1432" i="3"/>
  <c r="H1431" i="3"/>
  <c r="G1431" i="3"/>
  <c r="F1431" i="3"/>
  <c r="D1431" i="3"/>
  <c r="C1431" i="3" s="1"/>
  <c r="H1430" i="3"/>
  <c r="G1430" i="3"/>
  <c r="F1430" i="3"/>
  <c r="D1430" i="3"/>
  <c r="C1430" i="3"/>
  <c r="H1429" i="3"/>
  <c r="G1429" i="3"/>
  <c r="F1429" i="3"/>
  <c r="D1429" i="3"/>
  <c r="C1429" i="3" s="1"/>
  <c r="H1428" i="3"/>
  <c r="G1428" i="3"/>
  <c r="F1428" i="3"/>
  <c r="D1428" i="3"/>
  <c r="C1428" i="3"/>
  <c r="H1427" i="3"/>
  <c r="G1427" i="3"/>
  <c r="F1427" i="3"/>
  <c r="D1427" i="3"/>
  <c r="C1427" i="3" s="1"/>
  <c r="H1426" i="3"/>
  <c r="G1426" i="3"/>
  <c r="F1426" i="3"/>
  <c r="D1426" i="3"/>
  <c r="C1426" i="3"/>
  <c r="H1425" i="3"/>
  <c r="G1425" i="3"/>
  <c r="F1425" i="3"/>
  <c r="D1425" i="3"/>
  <c r="C1425" i="3" s="1"/>
  <c r="H1424" i="3"/>
  <c r="G1424" i="3"/>
  <c r="F1424" i="3"/>
  <c r="D1424" i="3"/>
  <c r="C1424" i="3"/>
  <c r="H1423" i="3"/>
  <c r="G1423" i="3"/>
  <c r="F1423" i="3"/>
  <c r="D1423" i="3"/>
  <c r="C1423" i="3" s="1"/>
  <c r="H1422" i="3"/>
  <c r="G1422" i="3"/>
  <c r="F1422" i="3"/>
  <c r="D1422" i="3"/>
  <c r="C1422" i="3"/>
  <c r="H1421" i="3"/>
  <c r="G1421" i="3"/>
  <c r="F1421" i="3"/>
  <c r="D1421" i="3"/>
  <c r="C1421" i="3" s="1"/>
  <c r="H1420" i="3"/>
  <c r="G1420" i="3"/>
  <c r="F1420" i="3"/>
  <c r="D1420" i="3"/>
  <c r="C1420" i="3"/>
  <c r="H1419" i="3"/>
  <c r="G1419" i="3"/>
  <c r="F1419" i="3"/>
  <c r="D1419" i="3"/>
  <c r="C1419" i="3" s="1"/>
  <c r="H1418" i="3"/>
  <c r="G1418" i="3"/>
  <c r="F1418" i="3"/>
  <c r="D1418" i="3"/>
  <c r="C1418" i="3"/>
  <c r="H1417" i="3"/>
  <c r="G1417" i="3"/>
  <c r="F1417" i="3"/>
  <c r="D1417" i="3"/>
  <c r="C1417" i="3" s="1"/>
  <c r="H1416" i="3"/>
  <c r="G1416" i="3"/>
  <c r="F1416" i="3"/>
  <c r="D1416" i="3"/>
  <c r="C1416" i="3"/>
  <c r="H1415" i="3"/>
  <c r="G1415" i="3"/>
  <c r="F1415" i="3"/>
  <c r="D1415" i="3"/>
  <c r="C1415" i="3" s="1"/>
  <c r="H1414" i="3"/>
  <c r="G1414" i="3"/>
  <c r="F1414" i="3"/>
  <c r="D1414" i="3"/>
  <c r="C1414" i="3"/>
  <c r="H1413" i="3"/>
  <c r="G1413" i="3"/>
  <c r="F1413" i="3"/>
  <c r="D1413" i="3"/>
  <c r="C1413" i="3" s="1"/>
  <c r="H1412" i="3"/>
  <c r="G1412" i="3"/>
  <c r="F1412" i="3"/>
  <c r="D1412" i="3"/>
  <c r="C1412" i="3"/>
  <c r="H1411" i="3"/>
  <c r="G1411" i="3"/>
  <c r="F1411" i="3"/>
  <c r="D1411" i="3"/>
  <c r="C1411" i="3" s="1"/>
  <c r="H1410" i="3"/>
  <c r="G1410" i="3"/>
  <c r="F1410" i="3"/>
  <c r="D1410" i="3"/>
  <c r="C1410" i="3"/>
  <c r="H1409" i="3"/>
  <c r="G1409" i="3"/>
  <c r="F1409" i="3"/>
  <c r="D1409" i="3"/>
  <c r="C1409" i="3" s="1"/>
  <c r="H1408" i="3"/>
  <c r="G1408" i="3"/>
  <c r="F1408" i="3"/>
  <c r="D1408" i="3"/>
  <c r="C1408" i="3"/>
  <c r="H1407" i="3"/>
  <c r="G1407" i="3"/>
  <c r="F1407" i="3"/>
  <c r="D1407" i="3"/>
  <c r="C1407" i="3" s="1"/>
  <c r="H1406" i="3"/>
  <c r="G1406" i="3"/>
  <c r="F1406" i="3"/>
  <c r="D1406" i="3"/>
  <c r="C1406" i="3"/>
  <c r="H1405" i="3"/>
  <c r="G1405" i="3"/>
  <c r="F1405" i="3"/>
  <c r="D1405" i="3"/>
  <c r="C1405" i="3" s="1"/>
  <c r="H1404" i="3"/>
  <c r="G1404" i="3"/>
  <c r="F1404" i="3"/>
  <c r="D1404" i="3"/>
  <c r="C1404" i="3"/>
  <c r="H1403" i="3"/>
  <c r="G1403" i="3"/>
  <c r="F1403" i="3"/>
  <c r="D1403" i="3"/>
  <c r="C1403" i="3" s="1"/>
  <c r="H1402" i="3"/>
  <c r="G1402" i="3"/>
  <c r="F1402" i="3"/>
  <c r="D1402" i="3"/>
  <c r="C1402" i="3"/>
  <c r="H1401" i="3"/>
  <c r="G1401" i="3"/>
  <c r="F1401" i="3"/>
  <c r="D1401" i="3"/>
  <c r="C1401" i="3" s="1"/>
  <c r="H1400" i="3"/>
  <c r="G1400" i="3"/>
  <c r="F1400" i="3"/>
  <c r="D1400" i="3"/>
  <c r="C1400" i="3"/>
  <c r="H1399" i="3"/>
  <c r="G1399" i="3"/>
  <c r="F1399" i="3"/>
  <c r="D1399" i="3"/>
  <c r="C1399" i="3" s="1"/>
  <c r="H1398" i="3"/>
  <c r="G1398" i="3"/>
  <c r="F1398" i="3"/>
  <c r="D1398" i="3"/>
  <c r="C1398" i="3"/>
  <c r="H1397" i="3"/>
  <c r="G1397" i="3"/>
  <c r="F1397" i="3"/>
  <c r="D1397" i="3"/>
  <c r="C1397" i="3" s="1"/>
  <c r="H1396" i="3"/>
  <c r="G1396" i="3"/>
  <c r="F1396" i="3"/>
  <c r="D1396" i="3"/>
  <c r="C1396" i="3"/>
  <c r="H1395" i="3"/>
  <c r="G1395" i="3"/>
  <c r="F1395" i="3"/>
  <c r="D1395" i="3"/>
  <c r="C1395" i="3" s="1"/>
  <c r="H1394" i="3"/>
  <c r="G1394" i="3"/>
  <c r="F1394" i="3"/>
  <c r="D1394" i="3"/>
  <c r="C1394" i="3"/>
  <c r="H1393" i="3"/>
  <c r="G1393" i="3"/>
  <c r="F1393" i="3"/>
  <c r="D1393" i="3"/>
  <c r="C1393" i="3" s="1"/>
  <c r="H1392" i="3"/>
  <c r="G1392" i="3"/>
  <c r="F1392" i="3"/>
  <c r="D1392" i="3"/>
  <c r="C1392" i="3"/>
  <c r="H1391" i="3"/>
  <c r="G1391" i="3"/>
  <c r="F1391" i="3"/>
  <c r="D1391" i="3"/>
  <c r="C1391" i="3" s="1"/>
  <c r="H1390" i="3"/>
  <c r="G1390" i="3"/>
  <c r="F1390" i="3"/>
  <c r="D1390" i="3"/>
  <c r="C1390" i="3"/>
  <c r="H1389" i="3"/>
  <c r="G1389" i="3"/>
  <c r="F1389" i="3"/>
  <c r="D1389" i="3"/>
  <c r="C1389" i="3" s="1"/>
  <c r="H1388" i="3"/>
  <c r="G1388" i="3"/>
  <c r="F1388" i="3"/>
  <c r="D1388" i="3"/>
  <c r="C1388" i="3"/>
  <c r="H1387" i="3"/>
  <c r="G1387" i="3"/>
  <c r="F1387" i="3"/>
  <c r="D1387" i="3"/>
  <c r="C1387" i="3" s="1"/>
  <c r="H1386" i="3"/>
  <c r="G1386" i="3"/>
  <c r="F1386" i="3"/>
  <c r="D1386" i="3"/>
  <c r="C1386" i="3"/>
  <c r="H1385" i="3"/>
  <c r="G1385" i="3"/>
  <c r="F1385" i="3"/>
  <c r="D1385" i="3"/>
  <c r="C1385" i="3" s="1"/>
  <c r="H1384" i="3"/>
  <c r="G1384" i="3"/>
  <c r="F1384" i="3"/>
  <c r="D1384" i="3"/>
  <c r="C1384" i="3"/>
  <c r="H1383" i="3"/>
  <c r="G1383" i="3"/>
  <c r="F1383" i="3"/>
  <c r="D1383" i="3"/>
  <c r="C1383" i="3" s="1"/>
  <c r="H1382" i="3"/>
  <c r="G1382" i="3"/>
  <c r="F1382" i="3"/>
  <c r="D1382" i="3"/>
  <c r="C1382" i="3"/>
  <c r="H1381" i="3"/>
  <c r="G1381" i="3"/>
  <c r="F1381" i="3"/>
  <c r="D1381" i="3"/>
  <c r="C1381" i="3" s="1"/>
  <c r="H1380" i="3"/>
  <c r="G1380" i="3"/>
  <c r="F1380" i="3"/>
  <c r="D1380" i="3"/>
  <c r="C1380" i="3"/>
  <c r="H1379" i="3"/>
  <c r="G1379" i="3"/>
  <c r="F1379" i="3"/>
  <c r="D1379" i="3"/>
  <c r="C1379" i="3" s="1"/>
  <c r="H1378" i="3"/>
  <c r="G1378" i="3"/>
  <c r="F1378" i="3"/>
  <c r="D1378" i="3"/>
  <c r="C1378" i="3"/>
  <c r="H1377" i="3"/>
  <c r="G1377" i="3"/>
  <c r="F1377" i="3"/>
  <c r="D1377" i="3"/>
  <c r="C1377" i="3" s="1"/>
  <c r="H1376" i="3"/>
  <c r="G1376" i="3"/>
  <c r="F1376" i="3"/>
  <c r="D1376" i="3"/>
  <c r="C1376" i="3"/>
  <c r="H1375" i="3"/>
  <c r="G1375" i="3"/>
  <c r="F1375" i="3"/>
  <c r="D1375" i="3"/>
  <c r="C1375" i="3" s="1"/>
  <c r="H1374" i="3"/>
  <c r="G1374" i="3"/>
  <c r="F1374" i="3"/>
  <c r="D1374" i="3"/>
  <c r="C1374" i="3"/>
  <c r="H1373" i="3"/>
  <c r="G1373" i="3"/>
  <c r="F1373" i="3"/>
  <c r="D1373" i="3"/>
  <c r="C1373" i="3" s="1"/>
  <c r="H1372" i="3"/>
  <c r="G1372" i="3"/>
  <c r="F1372" i="3"/>
  <c r="D1372" i="3"/>
  <c r="C1372" i="3"/>
  <c r="H1371" i="3"/>
  <c r="G1371" i="3"/>
  <c r="F1371" i="3"/>
  <c r="D1371" i="3"/>
  <c r="C1371" i="3" s="1"/>
  <c r="H1370" i="3"/>
  <c r="G1370" i="3"/>
  <c r="F1370" i="3"/>
  <c r="D1370" i="3"/>
  <c r="C1370" i="3"/>
  <c r="H1369" i="3"/>
  <c r="G1369" i="3"/>
  <c r="F1369" i="3"/>
  <c r="D1369" i="3"/>
  <c r="C1369" i="3" s="1"/>
  <c r="H1368" i="3"/>
  <c r="G1368" i="3"/>
  <c r="F1368" i="3"/>
  <c r="D1368" i="3"/>
  <c r="C1368" i="3"/>
  <c r="H1367" i="3"/>
  <c r="G1367" i="3"/>
  <c r="F1367" i="3"/>
  <c r="D1367" i="3"/>
  <c r="C1367" i="3" s="1"/>
  <c r="H1366" i="3"/>
  <c r="G1366" i="3"/>
  <c r="F1366" i="3"/>
  <c r="D1366" i="3"/>
  <c r="C1366" i="3"/>
  <c r="H1365" i="3"/>
  <c r="G1365" i="3"/>
  <c r="F1365" i="3"/>
  <c r="D1365" i="3"/>
  <c r="C1365" i="3" s="1"/>
  <c r="H1364" i="3"/>
  <c r="G1364" i="3"/>
  <c r="F1364" i="3"/>
  <c r="D1364" i="3"/>
  <c r="C1364" i="3"/>
  <c r="H1363" i="3"/>
  <c r="G1363" i="3"/>
  <c r="F1363" i="3"/>
  <c r="D1363" i="3"/>
  <c r="C1363" i="3" s="1"/>
  <c r="H1362" i="3"/>
  <c r="G1362" i="3"/>
  <c r="F1362" i="3"/>
  <c r="D1362" i="3"/>
  <c r="C1362" i="3"/>
  <c r="H1361" i="3"/>
  <c r="G1361" i="3"/>
  <c r="F1361" i="3"/>
  <c r="D1361" i="3"/>
  <c r="C1361" i="3" s="1"/>
  <c r="H1360" i="3"/>
  <c r="G1360" i="3"/>
  <c r="F1360" i="3"/>
  <c r="D1360" i="3"/>
  <c r="C1360" i="3"/>
  <c r="H1359" i="3"/>
  <c r="G1359" i="3"/>
  <c r="F1359" i="3"/>
  <c r="D1359" i="3"/>
  <c r="C1359" i="3" s="1"/>
  <c r="H1358" i="3"/>
  <c r="G1358" i="3"/>
  <c r="F1358" i="3"/>
  <c r="D1358" i="3"/>
  <c r="C1358" i="3"/>
  <c r="H1357" i="3"/>
  <c r="G1357" i="3"/>
  <c r="F1357" i="3"/>
  <c r="D1357" i="3"/>
  <c r="C1357" i="3" s="1"/>
  <c r="H1356" i="3"/>
  <c r="G1356" i="3"/>
  <c r="F1356" i="3"/>
  <c r="D1356" i="3"/>
  <c r="C1356" i="3"/>
  <c r="H1355" i="3"/>
  <c r="G1355" i="3"/>
  <c r="F1355" i="3"/>
  <c r="D1355" i="3"/>
  <c r="C1355" i="3" s="1"/>
  <c r="H1354" i="3"/>
  <c r="G1354" i="3"/>
  <c r="F1354" i="3"/>
  <c r="D1354" i="3"/>
  <c r="C1354" i="3"/>
  <c r="H1353" i="3"/>
  <c r="G1353" i="3"/>
  <c r="F1353" i="3"/>
  <c r="D1353" i="3"/>
  <c r="C1353" i="3" s="1"/>
  <c r="H1352" i="3"/>
  <c r="G1352" i="3"/>
  <c r="F1352" i="3"/>
  <c r="D1352" i="3"/>
  <c r="C1352" i="3"/>
  <c r="H1351" i="3"/>
  <c r="G1351" i="3"/>
  <c r="F1351" i="3"/>
  <c r="D1351" i="3"/>
  <c r="C1351" i="3" s="1"/>
  <c r="H1350" i="3"/>
  <c r="G1350" i="3"/>
  <c r="F1350" i="3"/>
  <c r="D1350" i="3"/>
  <c r="C1350" i="3"/>
  <c r="H1349" i="3"/>
  <c r="G1349" i="3"/>
  <c r="F1349" i="3"/>
  <c r="D1349" i="3"/>
  <c r="C1349" i="3" s="1"/>
  <c r="H1348" i="3"/>
  <c r="G1348" i="3"/>
  <c r="F1348" i="3"/>
  <c r="D1348" i="3"/>
  <c r="C1348" i="3"/>
  <c r="H1347" i="3"/>
  <c r="G1347" i="3"/>
  <c r="F1347" i="3"/>
  <c r="D1347" i="3"/>
  <c r="C1347" i="3" s="1"/>
  <c r="H1346" i="3"/>
  <c r="G1346" i="3"/>
  <c r="F1346" i="3"/>
  <c r="D1346" i="3"/>
  <c r="C1346" i="3"/>
  <c r="H1345" i="3"/>
  <c r="G1345" i="3"/>
  <c r="F1345" i="3"/>
  <c r="D1345" i="3"/>
  <c r="C1345" i="3" s="1"/>
  <c r="H1344" i="3"/>
  <c r="G1344" i="3"/>
  <c r="F1344" i="3"/>
  <c r="D1344" i="3"/>
  <c r="C1344" i="3"/>
  <c r="H1343" i="3"/>
  <c r="G1343" i="3"/>
  <c r="F1343" i="3"/>
  <c r="D1343" i="3"/>
  <c r="C1343" i="3" s="1"/>
  <c r="H1342" i="3"/>
  <c r="G1342" i="3"/>
  <c r="F1342" i="3"/>
  <c r="D1342" i="3"/>
  <c r="C1342" i="3"/>
  <c r="H1341" i="3"/>
  <c r="G1341" i="3"/>
  <c r="F1341" i="3"/>
  <c r="D1341" i="3"/>
  <c r="C1341" i="3" s="1"/>
  <c r="H1340" i="3"/>
  <c r="G1340" i="3"/>
  <c r="F1340" i="3"/>
  <c r="D1340" i="3"/>
  <c r="C1340" i="3"/>
  <c r="H1339" i="3"/>
  <c r="G1339" i="3"/>
  <c r="F1339" i="3"/>
  <c r="D1339" i="3"/>
  <c r="C1339" i="3" s="1"/>
  <c r="H1338" i="3"/>
  <c r="G1338" i="3"/>
  <c r="F1338" i="3"/>
  <c r="D1338" i="3"/>
  <c r="C1338" i="3"/>
  <c r="H1337" i="3"/>
  <c r="G1337" i="3"/>
  <c r="F1337" i="3"/>
  <c r="D1337" i="3"/>
  <c r="C1337" i="3" s="1"/>
  <c r="H1336" i="3"/>
  <c r="G1336" i="3"/>
  <c r="F1336" i="3"/>
  <c r="D1336" i="3"/>
  <c r="C1336" i="3"/>
  <c r="H1335" i="3"/>
  <c r="G1335" i="3"/>
  <c r="F1335" i="3"/>
  <c r="D1335" i="3"/>
  <c r="C1335" i="3" s="1"/>
  <c r="H1334" i="3"/>
  <c r="G1334" i="3"/>
  <c r="F1334" i="3"/>
  <c r="D1334" i="3"/>
  <c r="C1334" i="3"/>
  <c r="H1333" i="3"/>
  <c r="G1333" i="3"/>
  <c r="F1333" i="3"/>
  <c r="D1333" i="3"/>
  <c r="C1333" i="3" s="1"/>
  <c r="H1332" i="3"/>
  <c r="G1332" i="3"/>
  <c r="F1332" i="3"/>
  <c r="D1332" i="3"/>
  <c r="C1332" i="3"/>
  <c r="H1331" i="3"/>
  <c r="G1331" i="3"/>
  <c r="F1331" i="3"/>
  <c r="D1331" i="3"/>
  <c r="C1331" i="3" s="1"/>
  <c r="H1330" i="3"/>
  <c r="G1330" i="3"/>
  <c r="F1330" i="3"/>
  <c r="D1330" i="3"/>
  <c r="C1330" i="3"/>
  <c r="H1329" i="3"/>
  <c r="G1329" i="3"/>
  <c r="F1329" i="3"/>
  <c r="D1329" i="3"/>
  <c r="C1329" i="3" s="1"/>
  <c r="H1328" i="3"/>
  <c r="G1328" i="3"/>
  <c r="F1328" i="3"/>
  <c r="D1328" i="3"/>
  <c r="C1328" i="3"/>
  <c r="H1327" i="3"/>
  <c r="G1327" i="3"/>
  <c r="F1327" i="3"/>
  <c r="D1327" i="3"/>
  <c r="C1327" i="3" s="1"/>
  <c r="H1326" i="3"/>
  <c r="G1326" i="3"/>
  <c r="F1326" i="3"/>
  <c r="D1326" i="3"/>
  <c r="C1326" i="3"/>
  <c r="H1325" i="3"/>
  <c r="G1325" i="3"/>
  <c r="F1325" i="3"/>
  <c r="D1325" i="3"/>
  <c r="C1325" i="3" s="1"/>
  <c r="H1324" i="3"/>
  <c r="G1324" i="3"/>
  <c r="F1324" i="3"/>
  <c r="D1324" i="3"/>
  <c r="C1324" i="3"/>
  <c r="H1323" i="3"/>
  <c r="G1323" i="3"/>
  <c r="F1323" i="3"/>
  <c r="D1323" i="3"/>
  <c r="C1323" i="3" s="1"/>
  <c r="H1322" i="3"/>
  <c r="G1322" i="3"/>
  <c r="F1322" i="3"/>
  <c r="D1322" i="3"/>
  <c r="C1322" i="3"/>
  <c r="H1321" i="3"/>
  <c r="G1321" i="3"/>
  <c r="F1321" i="3"/>
  <c r="D1321" i="3"/>
  <c r="C1321" i="3" s="1"/>
  <c r="H1320" i="3"/>
  <c r="G1320" i="3"/>
  <c r="F1320" i="3"/>
  <c r="D1320" i="3"/>
  <c r="C1320" i="3"/>
  <c r="H1319" i="3"/>
  <c r="G1319" i="3"/>
  <c r="F1319" i="3"/>
  <c r="D1319" i="3"/>
  <c r="C1319" i="3" s="1"/>
  <c r="H1318" i="3"/>
  <c r="G1318" i="3"/>
  <c r="F1318" i="3"/>
  <c r="D1318" i="3"/>
  <c r="C1318" i="3"/>
  <c r="H1317" i="3"/>
  <c r="G1317" i="3"/>
  <c r="F1317" i="3"/>
  <c r="D1317" i="3"/>
  <c r="C1317" i="3" s="1"/>
  <c r="H1316" i="3"/>
  <c r="G1316" i="3"/>
  <c r="F1316" i="3"/>
  <c r="D1316" i="3"/>
  <c r="C1316" i="3"/>
  <c r="H1315" i="3"/>
  <c r="G1315" i="3"/>
  <c r="F1315" i="3"/>
  <c r="D1315" i="3"/>
  <c r="C1315" i="3" s="1"/>
  <c r="H1314" i="3"/>
  <c r="G1314" i="3"/>
  <c r="F1314" i="3"/>
  <c r="D1314" i="3"/>
  <c r="C1314" i="3"/>
  <c r="H1313" i="3"/>
  <c r="G1313" i="3"/>
  <c r="F1313" i="3"/>
  <c r="D1313" i="3"/>
  <c r="C1313" i="3" s="1"/>
  <c r="H1312" i="3"/>
  <c r="G1312" i="3"/>
  <c r="F1312" i="3"/>
  <c r="D1312" i="3"/>
  <c r="C1312" i="3"/>
  <c r="H1311" i="3"/>
  <c r="G1311" i="3"/>
  <c r="F1311" i="3"/>
  <c r="D1311" i="3"/>
  <c r="C1311" i="3" s="1"/>
  <c r="H1310" i="3"/>
  <c r="G1310" i="3"/>
  <c r="F1310" i="3"/>
  <c r="D1310" i="3"/>
  <c r="C1310" i="3"/>
  <c r="H1309" i="3"/>
  <c r="G1309" i="3"/>
  <c r="F1309" i="3"/>
  <c r="D1309" i="3"/>
  <c r="C1309" i="3" s="1"/>
  <c r="H1308" i="3"/>
  <c r="G1308" i="3"/>
  <c r="F1308" i="3"/>
  <c r="D1308" i="3"/>
  <c r="C1308" i="3"/>
  <c r="H1307" i="3"/>
  <c r="G1307" i="3"/>
  <c r="F1307" i="3"/>
  <c r="D1307" i="3"/>
  <c r="C1307" i="3" s="1"/>
  <c r="H1306" i="3"/>
  <c r="G1306" i="3"/>
  <c r="F1306" i="3"/>
  <c r="D1306" i="3"/>
  <c r="C1306" i="3"/>
  <c r="H1305" i="3"/>
  <c r="G1305" i="3"/>
  <c r="F1305" i="3"/>
  <c r="D1305" i="3"/>
  <c r="C1305" i="3" s="1"/>
  <c r="H1304" i="3"/>
  <c r="G1304" i="3"/>
  <c r="F1304" i="3"/>
  <c r="D1304" i="3"/>
  <c r="C1304" i="3"/>
  <c r="H1303" i="3"/>
  <c r="G1303" i="3"/>
  <c r="F1303" i="3"/>
  <c r="D1303" i="3"/>
  <c r="C1303" i="3" s="1"/>
  <c r="H1302" i="3"/>
  <c r="G1302" i="3"/>
  <c r="F1302" i="3"/>
  <c r="D1302" i="3"/>
  <c r="C1302" i="3"/>
  <c r="H1301" i="3"/>
  <c r="G1301" i="3"/>
  <c r="F1301" i="3"/>
  <c r="D1301" i="3"/>
  <c r="C1301" i="3" s="1"/>
  <c r="H1300" i="3"/>
  <c r="G1300" i="3"/>
  <c r="F1300" i="3"/>
  <c r="D1300" i="3"/>
  <c r="C1300" i="3"/>
  <c r="H1299" i="3"/>
  <c r="G1299" i="3"/>
  <c r="F1299" i="3"/>
  <c r="D1299" i="3"/>
  <c r="C1299" i="3" s="1"/>
  <c r="H1298" i="3"/>
  <c r="G1298" i="3"/>
  <c r="F1298" i="3"/>
  <c r="D1298" i="3"/>
  <c r="C1298" i="3"/>
  <c r="H1297" i="3"/>
  <c r="G1297" i="3"/>
  <c r="F1297" i="3"/>
  <c r="D1297" i="3"/>
  <c r="C1297" i="3" s="1"/>
  <c r="H1296" i="3"/>
  <c r="G1296" i="3"/>
  <c r="F1296" i="3"/>
  <c r="D1296" i="3"/>
  <c r="C1296" i="3"/>
  <c r="H1295" i="3"/>
  <c r="G1295" i="3"/>
  <c r="F1295" i="3"/>
  <c r="D1295" i="3"/>
  <c r="C1295" i="3" s="1"/>
  <c r="H1294" i="3"/>
  <c r="G1294" i="3"/>
  <c r="F1294" i="3"/>
  <c r="D1294" i="3"/>
  <c r="C1294" i="3"/>
  <c r="H1293" i="3"/>
  <c r="G1293" i="3"/>
  <c r="F1293" i="3"/>
  <c r="D1293" i="3"/>
  <c r="C1293" i="3" s="1"/>
  <c r="H1292" i="3"/>
  <c r="G1292" i="3"/>
  <c r="F1292" i="3"/>
  <c r="D1292" i="3"/>
  <c r="C1292" i="3"/>
  <c r="H1291" i="3"/>
  <c r="G1291" i="3"/>
  <c r="F1291" i="3"/>
  <c r="D1291" i="3"/>
  <c r="C1291" i="3" s="1"/>
  <c r="H1290" i="3"/>
  <c r="G1290" i="3"/>
  <c r="F1290" i="3"/>
  <c r="D1290" i="3"/>
  <c r="C1290" i="3"/>
  <c r="H1289" i="3"/>
  <c r="G1289" i="3"/>
  <c r="F1289" i="3"/>
  <c r="D1289" i="3"/>
  <c r="C1289" i="3" s="1"/>
  <c r="H1288" i="3"/>
  <c r="G1288" i="3"/>
  <c r="F1288" i="3"/>
  <c r="D1288" i="3"/>
  <c r="C1288" i="3"/>
  <c r="H1287" i="3"/>
  <c r="G1287" i="3"/>
  <c r="F1287" i="3"/>
  <c r="D1287" i="3"/>
  <c r="C1287" i="3" s="1"/>
  <c r="H1286" i="3"/>
  <c r="G1286" i="3"/>
  <c r="F1286" i="3"/>
  <c r="D1286" i="3"/>
  <c r="C1286" i="3"/>
  <c r="H1285" i="3"/>
  <c r="G1285" i="3"/>
  <c r="F1285" i="3"/>
  <c r="D1285" i="3"/>
  <c r="C1285" i="3" s="1"/>
  <c r="H1284" i="3"/>
  <c r="G1284" i="3"/>
  <c r="F1284" i="3"/>
  <c r="D1284" i="3"/>
  <c r="C1284" i="3"/>
  <c r="H1283" i="3"/>
  <c r="G1283" i="3"/>
  <c r="F1283" i="3"/>
  <c r="D1283" i="3"/>
  <c r="C1283" i="3" s="1"/>
  <c r="H1282" i="3"/>
  <c r="G1282" i="3"/>
  <c r="F1282" i="3"/>
  <c r="D1282" i="3"/>
  <c r="C1282" i="3"/>
  <c r="H1281" i="3"/>
  <c r="G1281" i="3"/>
  <c r="F1281" i="3"/>
  <c r="D1281" i="3"/>
  <c r="C1281" i="3" s="1"/>
  <c r="H1280" i="3"/>
  <c r="G1280" i="3"/>
  <c r="F1280" i="3"/>
  <c r="D1280" i="3"/>
  <c r="C1280" i="3"/>
  <c r="H1279" i="3"/>
  <c r="G1279" i="3"/>
  <c r="F1279" i="3"/>
  <c r="D1279" i="3"/>
  <c r="C1279" i="3" s="1"/>
  <c r="H1278" i="3"/>
  <c r="G1278" i="3"/>
  <c r="F1278" i="3"/>
  <c r="D1278" i="3"/>
  <c r="C1278" i="3"/>
  <c r="H1277" i="3"/>
  <c r="G1277" i="3"/>
  <c r="F1277" i="3"/>
  <c r="D1277" i="3"/>
  <c r="C1277" i="3" s="1"/>
  <c r="H1276" i="3"/>
  <c r="G1276" i="3"/>
  <c r="F1276" i="3"/>
  <c r="D1276" i="3"/>
  <c r="C1276" i="3"/>
  <c r="H1275" i="3"/>
  <c r="G1275" i="3"/>
  <c r="F1275" i="3"/>
  <c r="D1275" i="3"/>
  <c r="C1275" i="3" s="1"/>
  <c r="H1274" i="3"/>
  <c r="G1274" i="3"/>
  <c r="F1274" i="3"/>
  <c r="D1274" i="3"/>
  <c r="C1274" i="3"/>
  <c r="H1273" i="3"/>
  <c r="G1273" i="3"/>
  <c r="F1273" i="3"/>
  <c r="D1273" i="3"/>
  <c r="C1273" i="3" s="1"/>
  <c r="H1272" i="3"/>
  <c r="G1272" i="3"/>
  <c r="F1272" i="3"/>
  <c r="D1272" i="3"/>
  <c r="C1272" i="3"/>
  <c r="H1271" i="3"/>
  <c r="G1271" i="3"/>
  <c r="F1271" i="3"/>
  <c r="D1271" i="3"/>
  <c r="C1271" i="3" s="1"/>
  <c r="H1270" i="3"/>
  <c r="G1270" i="3"/>
  <c r="F1270" i="3"/>
  <c r="D1270" i="3"/>
  <c r="C1270" i="3"/>
  <c r="H1269" i="3"/>
  <c r="G1269" i="3"/>
  <c r="F1269" i="3"/>
  <c r="D1269" i="3"/>
  <c r="C1269" i="3" s="1"/>
  <c r="H1268" i="3"/>
  <c r="G1268" i="3"/>
  <c r="F1268" i="3"/>
  <c r="D1268" i="3"/>
  <c r="C1268" i="3"/>
  <c r="H1267" i="3"/>
  <c r="G1267" i="3"/>
  <c r="F1267" i="3"/>
  <c r="D1267" i="3"/>
  <c r="C1267" i="3" s="1"/>
  <c r="H1266" i="3"/>
  <c r="G1266" i="3"/>
  <c r="F1266" i="3"/>
  <c r="D1266" i="3"/>
  <c r="C1266" i="3"/>
  <c r="H1265" i="3"/>
  <c r="G1265" i="3"/>
  <c r="F1265" i="3"/>
  <c r="D1265" i="3"/>
  <c r="C1265" i="3" s="1"/>
  <c r="H1264" i="3"/>
  <c r="G1264" i="3"/>
  <c r="F1264" i="3"/>
  <c r="D1264" i="3"/>
  <c r="C1264" i="3"/>
  <c r="H1263" i="3"/>
  <c r="G1263" i="3"/>
  <c r="F1263" i="3"/>
  <c r="D1263" i="3"/>
  <c r="C1263" i="3" s="1"/>
  <c r="H1262" i="3"/>
  <c r="G1262" i="3"/>
  <c r="F1262" i="3"/>
  <c r="D1262" i="3"/>
  <c r="C1262" i="3"/>
  <c r="H1261" i="3"/>
  <c r="G1261" i="3"/>
  <c r="F1261" i="3"/>
  <c r="D1261" i="3"/>
  <c r="C1261" i="3" s="1"/>
  <c r="H1260" i="3"/>
  <c r="G1260" i="3"/>
  <c r="F1260" i="3"/>
  <c r="D1260" i="3"/>
  <c r="C1260" i="3"/>
  <c r="H1259" i="3"/>
  <c r="G1259" i="3"/>
  <c r="F1259" i="3"/>
  <c r="D1259" i="3"/>
  <c r="C1259" i="3" s="1"/>
  <c r="H1258" i="3"/>
  <c r="G1258" i="3"/>
  <c r="F1258" i="3"/>
  <c r="D1258" i="3"/>
  <c r="C1258" i="3"/>
  <c r="H1257" i="3"/>
  <c r="G1257" i="3"/>
  <c r="F1257" i="3"/>
  <c r="D1257" i="3"/>
  <c r="C1257" i="3" s="1"/>
  <c r="H1256" i="3"/>
  <c r="G1256" i="3"/>
  <c r="F1256" i="3"/>
  <c r="D1256" i="3"/>
  <c r="C1256" i="3"/>
  <c r="H1255" i="3"/>
  <c r="G1255" i="3"/>
  <c r="F1255" i="3"/>
  <c r="D1255" i="3"/>
  <c r="C1255" i="3" s="1"/>
  <c r="H1254" i="3"/>
  <c r="G1254" i="3"/>
  <c r="F1254" i="3"/>
  <c r="D1254" i="3"/>
  <c r="C1254" i="3"/>
  <c r="H1253" i="3"/>
  <c r="G1253" i="3"/>
  <c r="F1253" i="3"/>
  <c r="D1253" i="3"/>
  <c r="C1253" i="3" s="1"/>
  <c r="H1252" i="3"/>
  <c r="G1252" i="3"/>
  <c r="F1252" i="3"/>
  <c r="D1252" i="3"/>
  <c r="C1252" i="3"/>
  <c r="H1251" i="3"/>
  <c r="G1251" i="3"/>
  <c r="F1251" i="3"/>
  <c r="D1251" i="3"/>
  <c r="C1251" i="3" s="1"/>
  <c r="H1250" i="3"/>
  <c r="G1250" i="3"/>
  <c r="F1250" i="3"/>
  <c r="D1250" i="3"/>
  <c r="C1250" i="3"/>
  <c r="H1249" i="3"/>
  <c r="G1249" i="3"/>
  <c r="F1249" i="3"/>
  <c r="D1249" i="3"/>
  <c r="C1249" i="3" s="1"/>
  <c r="H1248" i="3"/>
  <c r="G1248" i="3"/>
  <c r="F1248" i="3"/>
  <c r="D1248" i="3"/>
  <c r="C1248" i="3"/>
  <c r="H1247" i="3"/>
  <c r="G1247" i="3"/>
  <c r="F1247" i="3"/>
  <c r="D1247" i="3"/>
  <c r="C1247" i="3" s="1"/>
  <c r="H1246" i="3"/>
  <c r="G1246" i="3"/>
  <c r="F1246" i="3"/>
  <c r="D1246" i="3"/>
  <c r="C1246" i="3"/>
  <c r="H1245" i="3"/>
  <c r="G1245" i="3"/>
  <c r="F1245" i="3"/>
  <c r="D1245" i="3"/>
  <c r="C1245" i="3" s="1"/>
  <c r="H1244" i="3"/>
  <c r="G1244" i="3"/>
  <c r="F1244" i="3"/>
  <c r="D1244" i="3"/>
  <c r="C1244" i="3"/>
  <c r="H1243" i="3"/>
  <c r="G1243" i="3"/>
  <c r="F1243" i="3"/>
  <c r="D1243" i="3"/>
  <c r="C1243" i="3" s="1"/>
  <c r="H1242" i="3"/>
  <c r="G1242" i="3"/>
  <c r="F1242" i="3"/>
  <c r="D1242" i="3"/>
  <c r="C1242" i="3"/>
  <c r="H1241" i="3"/>
  <c r="G1241" i="3"/>
  <c r="F1241" i="3"/>
  <c r="D1241" i="3"/>
  <c r="C1241" i="3" s="1"/>
  <c r="H1240" i="3"/>
  <c r="G1240" i="3"/>
  <c r="F1240" i="3"/>
  <c r="D1240" i="3"/>
  <c r="C1240" i="3"/>
  <c r="H1239" i="3"/>
  <c r="G1239" i="3"/>
  <c r="F1239" i="3"/>
  <c r="D1239" i="3"/>
  <c r="C1239" i="3" s="1"/>
  <c r="H1238" i="3"/>
  <c r="G1238" i="3"/>
  <c r="F1238" i="3"/>
  <c r="D1238" i="3"/>
  <c r="C1238" i="3"/>
  <c r="H1237" i="3"/>
  <c r="G1237" i="3"/>
  <c r="F1237" i="3"/>
  <c r="D1237" i="3"/>
  <c r="C1237" i="3" s="1"/>
  <c r="H1236" i="3"/>
  <c r="G1236" i="3"/>
  <c r="F1236" i="3"/>
  <c r="D1236" i="3"/>
  <c r="C1236" i="3"/>
  <c r="H1235" i="3"/>
  <c r="G1235" i="3"/>
  <c r="F1235" i="3"/>
  <c r="D1235" i="3"/>
  <c r="C1235" i="3" s="1"/>
  <c r="H1234" i="3"/>
  <c r="G1234" i="3"/>
  <c r="F1234" i="3"/>
  <c r="D1234" i="3"/>
  <c r="C1234" i="3"/>
  <c r="H1233" i="3"/>
  <c r="G1233" i="3"/>
  <c r="F1233" i="3"/>
  <c r="D1233" i="3"/>
  <c r="C1233" i="3" s="1"/>
  <c r="H1232" i="3"/>
  <c r="G1232" i="3"/>
  <c r="F1232" i="3"/>
  <c r="D1232" i="3"/>
  <c r="C1232" i="3"/>
  <c r="H1231" i="3"/>
  <c r="G1231" i="3"/>
  <c r="F1231" i="3"/>
  <c r="D1231" i="3"/>
  <c r="C1231" i="3" s="1"/>
  <c r="H1230" i="3"/>
  <c r="G1230" i="3"/>
  <c r="F1230" i="3"/>
  <c r="D1230" i="3"/>
  <c r="C1230" i="3"/>
  <c r="H1229" i="3"/>
  <c r="G1229" i="3"/>
  <c r="F1229" i="3"/>
  <c r="D1229" i="3"/>
  <c r="C1229" i="3" s="1"/>
  <c r="H1228" i="3"/>
  <c r="G1228" i="3"/>
  <c r="F1228" i="3"/>
  <c r="D1228" i="3"/>
  <c r="C1228" i="3"/>
  <c r="H1227" i="3"/>
  <c r="G1227" i="3"/>
  <c r="F1227" i="3"/>
  <c r="D1227" i="3"/>
  <c r="C1227" i="3"/>
  <c r="H1226" i="3"/>
  <c r="G1226" i="3"/>
  <c r="F1226" i="3"/>
  <c r="D1226" i="3"/>
  <c r="C1226" i="3"/>
  <c r="H1225" i="3"/>
  <c r="G1225" i="3"/>
  <c r="F1225" i="3"/>
  <c r="D1225" i="3"/>
  <c r="C1225" i="3" s="1"/>
  <c r="H1224" i="3"/>
  <c r="G1224" i="3"/>
  <c r="F1224" i="3"/>
  <c r="D1224" i="3"/>
  <c r="C1224" i="3"/>
  <c r="H1223" i="3"/>
  <c r="G1223" i="3"/>
  <c r="F1223" i="3"/>
  <c r="D1223" i="3"/>
  <c r="C1223" i="3" s="1"/>
  <c r="H1222" i="3"/>
  <c r="G1222" i="3"/>
  <c r="F1222" i="3"/>
  <c r="D1222" i="3"/>
  <c r="C1222" i="3"/>
  <c r="H1221" i="3"/>
  <c r="G1221" i="3"/>
  <c r="F1221" i="3"/>
  <c r="D1221" i="3"/>
  <c r="C1221" i="3" s="1"/>
  <c r="H1220" i="3"/>
  <c r="G1220" i="3"/>
  <c r="F1220" i="3"/>
  <c r="D1220" i="3"/>
  <c r="C1220" i="3"/>
  <c r="H1219" i="3"/>
  <c r="G1219" i="3"/>
  <c r="F1219" i="3"/>
  <c r="D1219" i="3"/>
  <c r="C1219" i="3"/>
  <c r="H1218" i="3"/>
  <c r="G1218" i="3"/>
  <c r="F1218" i="3"/>
  <c r="D1218" i="3"/>
  <c r="C1218" i="3"/>
  <c r="H1217" i="3"/>
  <c r="G1217" i="3"/>
  <c r="F1217" i="3"/>
  <c r="D1217" i="3"/>
  <c r="C1217" i="3" s="1"/>
  <c r="H1216" i="3"/>
  <c r="G1216" i="3"/>
  <c r="F1216" i="3"/>
  <c r="D1216" i="3"/>
  <c r="C1216" i="3"/>
  <c r="H1215" i="3"/>
  <c r="G1215" i="3"/>
  <c r="F1215" i="3"/>
  <c r="D1215" i="3"/>
  <c r="C1215" i="3" s="1"/>
  <c r="H1214" i="3"/>
  <c r="G1214" i="3"/>
  <c r="F1214" i="3"/>
  <c r="D1214" i="3"/>
  <c r="C1214" i="3"/>
  <c r="H1213" i="3"/>
  <c r="G1213" i="3"/>
  <c r="F1213" i="3"/>
  <c r="D1213" i="3"/>
  <c r="C1213" i="3" s="1"/>
  <c r="H1212" i="3"/>
  <c r="G1212" i="3"/>
  <c r="F1212" i="3"/>
  <c r="D1212" i="3"/>
  <c r="C1212" i="3"/>
  <c r="H1211" i="3"/>
  <c r="G1211" i="3"/>
  <c r="F1211" i="3"/>
  <c r="D1211" i="3"/>
  <c r="C1211" i="3" s="1"/>
  <c r="H1210" i="3"/>
  <c r="G1210" i="3"/>
  <c r="F1210" i="3"/>
  <c r="D1210" i="3"/>
  <c r="C1210" i="3"/>
  <c r="H1209" i="3"/>
  <c r="G1209" i="3"/>
  <c r="F1209" i="3"/>
  <c r="D1209" i="3"/>
  <c r="C1209" i="3" s="1"/>
  <c r="H1208" i="3"/>
  <c r="G1208" i="3"/>
  <c r="F1208" i="3"/>
  <c r="D1208" i="3"/>
  <c r="C1208" i="3"/>
  <c r="H1207" i="3"/>
  <c r="G1207" i="3"/>
  <c r="F1207" i="3"/>
  <c r="D1207" i="3"/>
  <c r="C1207" i="3" s="1"/>
  <c r="H1206" i="3"/>
  <c r="G1206" i="3"/>
  <c r="F1206" i="3"/>
  <c r="D1206" i="3"/>
  <c r="C1206" i="3"/>
  <c r="H1205" i="3"/>
  <c r="G1205" i="3"/>
  <c r="F1205" i="3"/>
  <c r="D1205" i="3"/>
  <c r="C1205" i="3" s="1"/>
  <c r="H1204" i="3"/>
  <c r="G1204" i="3"/>
  <c r="F1204" i="3"/>
  <c r="D1204" i="3"/>
  <c r="C1204" i="3"/>
  <c r="H1203" i="3"/>
  <c r="G1203" i="3"/>
  <c r="F1203" i="3"/>
  <c r="D1203" i="3"/>
  <c r="C1203" i="3" s="1"/>
  <c r="H1202" i="3"/>
  <c r="G1202" i="3"/>
  <c r="F1202" i="3"/>
  <c r="D1202" i="3"/>
  <c r="C1202" i="3"/>
  <c r="H1201" i="3"/>
  <c r="G1201" i="3"/>
  <c r="F1201" i="3"/>
  <c r="D1201" i="3"/>
  <c r="C1201" i="3" s="1"/>
  <c r="H1200" i="3"/>
  <c r="G1200" i="3"/>
  <c r="F1200" i="3"/>
  <c r="D1200" i="3"/>
  <c r="C1200" i="3"/>
  <c r="H1199" i="3"/>
  <c r="G1199" i="3"/>
  <c r="F1199" i="3"/>
  <c r="D1199" i="3"/>
  <c r="C1199" i="3" s="1"/>
  <c r="H1198" i="3"/>
  <c r="G1198" i="3"/>
  <c r="F1198" i="3"/>
  <c r="D1198" i="3"/>
  <c r="C1198" i="3"/>
  <c r="H1197" i="3"/>
  <c r="G1197" i="3"/>
  <c r="F1197" i="3"/>
  <c r="D1197" i="3"/>
  <c r="C1197" i="3" s="1"/>
  <c r="H1196" i="3"/>
  <c r="G1196" i="3"/>
  <c r="F1196" i="3"/>
  <c r="D1196" i="3"/>
  <c r="C1196" i="3"/>
  <c r="H1195" i="3"/>
  <c r="G1195" i="3"/>
  <c r="F1195" i="3"/>
  <c r="D1195" i="3"/>
  <c r="C1195" i="3" s="1"/>
  <c r="H1194" i="3"/>
  <c r="G1194" i="3"/>
  <c r="F1194" i="3"/>
  <c r="D1194" i="3"/>
  <c r="C1194" i="3"/>
  <c r="H1193" i="3"/>
  <c r="G1193" i="3"/>
  <c r="F1193" i="3"/>
  <c r="D1193" i="3"/>
  <c r="C1193" i="3" s="1"/>
  <c r="H1192" i="3"/>
  <c r="G1192" i="3"/>
  <c r="F1192" i="3"/>
  <c r="D1192" i="3"/>
  <c r="C1192" i="3"/>
  <c r="H1191" i="3"/>
  <c r="G1191" i="3"/>
  <c r="F1191" i="3"/>
  <c r="D1191" i="3"/>
  <c r="C1191" i="3" s="1"/>
  <c r="H1190" i="3"/>
  <c r="G1190" i="3"/>
  <c r="F1190" i="3"/>
  <c r="D1190" i="3"/>
  <c r="C1190" i="3"/>
  <c r="H1189" i="3"/>
  <c r="G1189" i="3"/>
  <c r="F1189" i="3"/>
  <c r="D1189" i="3"/>
  <c r="C1189" i="3" s="1"/>
  <c r="H1188" i="3"/>
  <c r="G1188" i="3"/>
  <c r="F1188" i="3"/>
  <c r="D1188" i="3"/>
  <c r="C1188" i="3"/>
  <c r="H1187" i="3"/>
  <c r="G1187" i="3"/>
  <c r="F1187" i="3"/>
  <c r="D1187" i="3"/>
  <c r="C1187" i="3" s="1"/>
  <c r="H1186" i="3"/>
  <c r="G1186" i="3"/>
  <c r="F1186" i="3"/>
  <c r="D1186" i="3"/>
  <c r="C1186" i="3"/>
  <c r="H1185" i="3"/>
  <c r="G1185" i="3"/>
  <c r="F1185" i="3"/>
  <c r="D1185" i="3"/>
  <c r="C1185" i="3" s="1"/>
  <c r="H1184" i="3"/>
  <c r="G1184" i="3"/>
  <c r="F1184" i="3"/>
  <c r="D1184" i="3"/>
  <c r="C1184" i="3"/>
  <c r="H1183" i="3"/>
  <c r="G1183" i="3"/>
  <c r="F1183" i="3"/>
  <c r="D1183" i="3"/>
  <c r="C1183" i="3" s="1"/>
  <c r="H1182" i="3"/>
  <c r="G1182" i="3"/>
  <c r="F1182" i="3"/>
  <c r="D1182" i="3"/>
  <c r="C1182" i="3"/>
  <c r="H1181" i="3"/>
  <c r="G1181" i="3"/>
  <c r="F1181" i="3"/>
  <c r="D1181" i="3"/>
  <c r="C1181" i="3" s="1"/>
  <c r="H1180" i="3"/>
  <c r="G1180" i="3"/>
  <c r="F1180" i="3"/>
  <c r="D1180" i="3"/>
  <c r="C1180" i="3"/>
  <c r="H1179" i="3"/>
  <c r="G1179" i="3"/>
  <c r="F1179" i="3"/>
  <c r="D1179" i="3"/>
  <c r="C1179" i="3" s="1"/>
  <c r="H1178" i="3"/>
  <c r="G1178" i="3"/>
  <c r="F1178" i="3"/>
  <c r="D1178" i="3"/>
  <c r="C1178" i="3"/>
  <c r="H1177" i="3"/>
  <c r="G1177" i="3"/>
  <c r="F1177" i="3"/>
  <c r="D1177" i="3"/>
  <c r="C1177" i="3" s="1"/>
  <c r="H1176" i="3"/>
  <c r="G1176" i="3"/>
  <c r="F1176" i="3"/>
  <c r="D1176" i="3"/>
  <c r="C1176" i="3"/>
  <c r="H1175" i="3"/>
  <c r="G1175" i="3"/>
  <c r="F1175" i="3"/>
  <c r="D1175" i="3"/>
  <c r="C1175" i="3" s="1"/>
  <c r="H1174" i="3"/>
  <c r="G1174" i="3"/>
  <c r="F1174" i="3"/>
  <c r="D1174" i="3"/>
  <c r="C1174" i="3"/>
  <c r="H1173" i="3"/>
  <c r="G1173" i="3"/>
  <c r="F1173" i="3"/>
  <c r="D1173" i="3"/>
  <c r="C1173" i="3" s="1"/>
  <c r="H1172" i="3"/>
  <c r="G1172" i="3"/>
  <c r="F1172" i="3"/>
  <c r="D1172" i="3"/>
  <c r="C1172" i="3"/>
  <c r="H1171" i="3"/>
  <c r="G1171" i="3"/>
  <c r="F1171" i="3"/>
  <c r="D1171" i="3"/>
  <c r="C1171" i="3" s="1"/>
  <c r="H1170" i="3"/>
  <c r="G1170" i="3"/>
  <c r="F1170" i="3"/>
  <c r="D1170" i="3"/>
  <c r="C1170" i="3"/>
  <c r="H1169" i="3"/>
  <c r="G1169" i="3"/>
  <c r="F1169" i="3"/>
  <c r="D1169" i="3"/>
  <c r="C1169" i="3" s="1"/>
  <c r="H1168" i="3"/>
  <c r="G1168" i="3"/>
  <c r="F1168" i="3"/>
  <c r="D1168" i="3"/>
  <c r="C1168" i="3"/>
  <c r="H1167" i="3"/>
  <c r="G1167" i="3"/>
  <c r="F1167" i="3"/>
  <c r="D1167" i="3"/>
  <c r="C1167" i="3" s="1"/>
  <c r="H1166" i="3"/>
  <c r="G1166" i="3"/>
  <c r="F1166" i="3"/>
  <c r="D1166" i="3"/>
  <c r="C1166" i="3"/>
  <c r="H1165" i="3"/>
  <c r="G1165" i="3"/>
  <c r="F1165" i="3"/>
  <c r="D1165" i="3"/>
  <c r="C1165" i="3" s="1"/>
  <c r="H1164" i="3"/>
  <c r="G1164" i="3"/>
  <c r="F1164" i="3"/>
  <c r="D1164" i="3"/>
  <c r="C1164" i="3"/>
  <c r="H1163" i="3"/>
  <c r="G1163" i="3"/>
  <c r="F1163" i="3"/>
  <c r="D1163" i="3"/>
  <c r="C1163" i="3" s="1"/>
  <c r="H1162" i="3"/>
  <c r="G1162" i="3"/>
  <c r="F1162" i="3"/>
  <c r="D1162" i="3"/>
  <c r="C1162" i="3"/>
  <c r="H1161" i="3"/>
  <c r="G1161" i="3"/>
  <c r="F1161" i="3"/>
  <c r="D1161" i="3"/>
  <c r="C1161" i="3" s="1"/>
  <c r="H1160" i="3"/>
  <c r="G1160" i="3"/>
  <c r="F1160" i="3"/>
  <c r="D1160" i="3"/>
  <c r="C1160" i="3"/>
  <c r="H1159" i="3"/>
  <c r="G1159" i="3"/>
  <c r="F1159" i="3"/>
  <c r="D1159" i="3"/>
  <c r="C1159" i="3" s="1"/>
  <c r="H1158" i="3"/>
  <c r="G1158" i="3"/>
  <c r="F1158" i="3"/>
  <c r="D1158" i="3"/>
  <c r="C1158" i="3"/>
  <c r="H1157" i="3"/>
  <c r="G1157" i="3"/>
  <c r="F1157" i="3"/>
  <c r="D1157" i="3"/>
  <c r="C1157" i="3" s="1"/>
  <c r="H1156" i="3"/>
  <c r="G1156" i="3"/>
  <c r="F1156" i="3"/>
  <c r="D1156" i="3"/>
  <c r="C1156" i="3"/>
  <c r="H1155" i="3"/>
  <c r="G1155" i="3"/>
  <c r="F1155" i="3"/>
  <c r="D1155" i="3"/>
  <c r="C1155" i="3" s="1"/>
  <c r="H1154" i="3"/>
  <c r="G1154" i="3"/>
  <c r="F1154" i="3"/>
  <c r="D1154" i="3"/>
  <c r="C1154" i="3"/>
  <c r="H1153" i="3"/>
  <c r="G1153" i="3"/>
  <c r="F1153" i="3"/>
  <c r="D1153" i="3"/>
  <c r="C1153" i="3" s="1"/>
  <c r="H1152" i="3"/>
  <c r="G1152" i="3"/>
  <c r="F1152" i="3"/>
  <c r="D1152" i="3"/>
  <c r="C1152" i="3"/>
  <c r="H1151" i="3"/>
  <c r="G1151" i="3"/>
  <c r="F1151" i="3"/>
  <c r="D1151" i="3"/>
  <c r="C1151" i="3" s="1"/>
  <c r="H1150" i="3"/>
  <c r="G1150" i="3"/>
  <c r="F1150" i="3"/>
  <c r="D1150" i="3"/>
  <c r="C1150" i="3"/>
  <c r="H1149" i="3"/>
  <c r="G1149" i="3"/>
  <c r="F1149" i="3"/>
  <c r="D1149" i="3"/>
  <c r="C1149" i="3" s="1"/>
  <c r="H1148" i="3"/>
  <c r="G1148" i="3"/>
  <c r="F1148" i="3"/>
  <c r="D1148" i="3"/>
  <c r="C1148" i="3"/>
  <c r="H1147" i="3"/>
  <c r="G1147" i="3"/>
  <c r="F1147" i="3"/>
  <c r="D1147" i="3"/>
  <c r="C1147" i="3" s="1"/>
  <c r="H1146" i="3"/>
  <c r="G1146" i="3"/>
  <c r="F1146" i="3"/>
  <c r="D1146" i="3"/>
  <c r="C1146" i="3"/>
  <c r="H1145" i="3"/>
  <c r="G1145" i="3"/>
  <c r="F1145" i="3"/>
  <c r="D1145" i="3"/>
  <c r="C1145" i="3" s="1"/>
  <c r="H1144" i="3"/>
  <c r="G1144" i="3"/>
  <c r="F1144" i="3"/>
  <c r="D1144" i="3"/>
  <c r="C1144" i="3"/>
  <c r="H1143" i="3"/>
  <c r="G1143" i="3"/>
  <c r="F1143" i="3"/>
  <c r="D1143" i="3"/>
  <c r="C1143" i="3" s="1"/>
  <c r="H1142" i="3"/>
  <c r="G1142" i="3"/>
  <c r="F1142" i="3"/>
  <c r="D1142" i="3"/>
  <c r="C1142" i="3"/>
  <c r="H1141" i="3"/>
  <c r="G1141" i="3"/>
  <c r="F1141" i="3"/>
  <c r="D1141" i="3"/>
  <c r="C1141" i="3" s="1"/>
  <c r="H1140" i="3"/>
  <c r="G1140" i="3"/>
  <c r="F1140" i="3"/>
  <c r="D1140" i="3"/>
  <c r="C1140" i="3"/>
  <c r="H1139" i="3"/>
  <c r="G1139" i="3"/>
  <c r="F1139" i="3"/>
  <c r="D1139" i="3"/>
  <c r="C1139" i="3" s="1"/>
  <c r="H1138" i="3"/>
  <c r="G1138" i="3"/>
  <c r="F1138" i="3"/>
  <c r="D1138" i="3"/>
  <c r="C1138" i="3"/>
  <c r="H1137" i="3"/>
  <c r="G1137" i="3"/>
  <c r="F1137" i="3"/>
  <c r="D1137" i="3"/>
  <c r="C1137" i="3" s="1"/>
  <c r="H1136" i="3"/>
  <c r="G1136" i="3"/>
  <c r="F1136" i="3"/>
  <c r="D1136" i="3"/>
  <c r="C1136" i="3"/>
  <c r="H1135" i="3"/>
  <c r="G1135" i="3"/>
  <c r="F1135" i="3"/>
  <c r="D1135" i="3"/>
  <c r="C1135" i="3" s="1"/>
  <c r="H1134" i="3"/>
  <c r="G1134" i="3"/>
  <c r="F1134" i="3"/>
  <c r="D1134" i="3"/>
  <c r="C1134" i="3"/>
  <c r="H1133" i="3"/>
  <c r="G1133" i="3"/>
  <c r="F1133" i="3"/>
  <c r="D1133" i="3"/>
  <c r="C1133" i="3" s="1"/>
  <c r="H1132" i="3"/>
  <c r="G1132" i="3"/>
  <c r="F1132" i="3"/>
  <c r="D1132" i="3"/>
  <c r="C1132" i="3"/>
  <c r="H1131" i="3"/>
  <c r="G1131" i="3"/>
  <c r="F1131" i="3"/>
  <c r="D1131" i="3"/>
  <c r="C1131" i="3" s="1"/>
  <c r="H1130" i="3"/>
  <c r="G1130" i="3"/>
  <c r="F1130" i="3"/>
  <c r="D1130" i="3"/>
  <c r="C1130" i="3"/>
  <c r="H1129" i="3"/>
  <c r="G1129" i="3"/>
  <c r="F1129" i="3"/>
  <c r="D1129" i="3"/>
  <c r="C1129" i="3" s="1"/>
  <c r="H1128" i="3"/>
  <c r="G1128" i="3"/>
  <c r="F1128" i="3"/>
  <c r="D1128" i="3"/>
  <c r="C1128" i="3"/>
  <c r="H1127" i="3"/>
  <c r="G1127" i="3"/>
  <c r="F1127" i="3"/>
  <c r="D1127" i="3"/>
  <c r="C1127" i="3" s="1"/>
  <c r="H1126" i="3"/>
  <c r="G1126" i="3"/>
  <c r="F1126" i="3"/>
  <c r="D1126" i="3"/>
  <c r="C1126" i="3"/>
  <c r="H1125" i="3"/>
  <c r="G1125" i="3"/>
  <c r="F1125" i="3"/>
  <c r="D1125" i="3"/>
  <c r="C1125" i="3"/>
  <c r="H1124" i="3"/>
  <c r="G1124" i="3"/>
  <c r="F1124" i="3"/>
  <c r="D1124" i="3"/>
  <c r="C1124" i="3"/>
  <c r="H1123" i="3"/>
  <c r="G1123" i="3"/>
  <c r="F1123" i="3"/>
  <c r="D1123" i="3"/>
  <c r="C1123" i="3"/>
  <c r="H1122" i="3"/>
  <c r="G1122" i="3"/>
  <c r="F1122" i="3"/>
  <c r="D1122" i="3"/>
  <c r="C1122" i="3"/>
  <c r="H1121" i="3"/>
  <c r="G1121" i="3"/>
  <c r="F1121" i="3"/>
  <c r="D1121" i="3"/>
  <c r="C1121" i="3" s="1"/>
  <c r="H1120" i="3"/>
  <c r="G1120" i="3"/>
  <c r="F1120" i="3"/>
  <c r="D1120" i="3"/>
  <c r="C1120" i="3"/>
  <c r="H1119" i="3"/>
  <c r="G1119" i="3"/>
  <c r="F1119" i="3"/>
  <c r="D1119" i="3"/>
  <c r="C1119" i="3" s="1"/>
  <c r="H1118" i="3"/>
  <c r="G1118" i="3"/>
  <c r="F1118" i="3"/>
  <c r="D1118" i="3"/>
  <c r="C1118" i="3"/>
  <c r="H1117" i="3"/>
  <c r="G1117" i="3"/>
  <c r="F1117" i="3"/>
  <c r="D1117" i="3"/>
  <c r="C1117" i="3"/>
  <c r="H1116" i="3"/>
  <c r="G1116" i="3"/>
  <c r="F1116" i="3"/>
  <c r="D1116" i="3"/>
  <c r="C1116" i="3" s="1"/>
  <c r="H1115" i="3"/>
  <c r="G1115" i="3"/>
  <c r="F1115" i="3"/>
  <c r="D1115" i="3"/>
  <c r="C1115" i="3" s="1"/>
  <c r="H1114" i="3"/>
  <c r="G1114" i="3"/>
  <c r="F1114" i="3"/>
  <c r="D1114" i="3"/>
  <c r="C1114" i="3" s="1"/>
  <c r="H1113" i="3"/>
  <c r="G1113" i="3"/>
  <c r="F1113" i="3"/>
  <c r="D1113" i="3"/>
  <c r="C1113" i="3"/>
  <c r="H1112" i="3"/>
  <c r="G1112" i="3"/>
  <c r="F1112" i="3"/>
  <c r="D1112" i="3"/>
  <c r="C1112" i="3"/>
  <c r="H1111" i="3"/>
  <c r="G1111" i="3"/>
  <c r="F1111" i="3"/>
  <c r="D1111" i="3"/>
  <c r="C1111" i="3" s="1"/>
  <c r="H1110" i="3"/>
  <c r="G1110" i="3"/>
  <c r="F1110" i="3"/>
  <c r="D1110" i="3"/>
  <c r="C1110" i="3"/>
  <c r="H1109" i="3"/>
  <c r="G1109" i="3"/>
  <c r="F1109" i="3"/>
  <c r="D1109" i="3"/>
  <c r="C1109" i="3"/>
  <c r="H1108" i="3"/>
  <c r="G1108" i="3"/>
  <c r="F1108" i="3"/>
  <c r="D1108" i="3"/>
  <c r="C1108" i="3" s="1"/>
  <c r="H1107" i="3"/>
  <c r="G1107" i="3"/>
  <c r="F1107" i="3"/>
  <c r="D1107" i="3"/>
  <c r="C1107" i="3" s="1"/>
  <c r="H1106" i="3"/>
  <c r="G1106" i="3"/>
  <c r="F1106" i="3"/>
  <c r="D1106" i="3"/>
  <c r="C1106" i="3" s="1"/>
  <c r="H1105" i="3"/>
  <c r="G1105" i="3"/>
  <c r="F1105" i="3"/>
  <c r="D1105" i="3"/>
  <c r="C1105" i="3"/>
  <c r="H1104" i="3"/>
  <c r="G1104" i="3"/>
  <c r="F1104" i="3"/>
  <c r="D1104" i="3"/>
  <c r="C1104" i="3"/>
  <c r="H1103" i="3"/>
  <c r="G1103" i="3"/>
  <c r="F1103" i="3"/>
  <c r="D1103" i="3"/>
  <c r="C1103" i="3" s="1"/>
  <c r="H1102" i="3"/>
  <c r="G1102" i="3"/>
  <c r="F1102" i="3"/>
  <c r="D1102" i="3"/>
  <c r="C1102" i="3"/>
  <c r="H1101" i="3"/>
  <c r="G1101" i="3"/>
  <c r="F1101" i="3"/>
  <c r="D1101" i="3"/>
  <c r="C1101" i="3"/>
  <c r="H1100" i="3"/>
  <c r="G1100" i="3"/>
  <c r="F1100" i="3"/>
  <c r="D1100" i="3"/>
  <c r="C1100" i="3" s="1"/>
  <c r="H1099" i="3"/>
  <c r="G1099" i="3"/>
  <c r="F1099" i="3"/>
  <c r="D1099" i="3"/>
  <c r="C1099" i="3" s="1"/>
  <c r="H1098" i="3"/>
  <c r="G1098" i="3"/>
  <c r="F1098" i="3"/>
  <c r="D1098" i="3"/>
  <c r="C1098" i="3" s="1"/>
  <c r="H1097" i="3"/>
  <c r="G1097" i="3"/>
  <c r="F1097" i="3"/>
  <c r="D1097" i="3"/>
  <c r="C1097" i="3"/>
  <c r="H1096" i="3"/>
  <c r="G1096" i="3"/>
  <c r="F1096" i="3"/>
  <c r="D1096" i="3"/>
  <c r="C1096" i="3"/>
  <c r="H1095" i="3"/>
  <c r="G1095" i="3"/>
  <c r="F1095" i="3"/>
  <c r="D1095" i="3"/>
  <c r="C1095" i="3" s="1"/>
  <c r="H1094" i="3"/>
  <c r="G1094" i="3"/>
  <c r="F1094" i="3"/>
  <c r="D1094" i="3"/>
  <c r="C1094" i="3"/>
  <c r="H1093" i="3"/>
  <c r="G1093" i="3"/>
  <c r="F1093" i="3"/>
  <c r="D1093" i="3"/>
  <c r="C1093" i="3"/>
  <c r="H1092" i="3"/>
  <c r="G1092" i="3"/>
  <c r="F1092" i="3"/>
  <c r="D1092" i="3"/>
  <c r="C1092" i="3" s="1"/>
  <c r="H1091" i="3"/>
  <c r="G1091" i="3"/>
  <c r="F1091" i="3"/>
  <c r="D1091" i="3"/>
  <c r="C1091" i="3" s="1"/>
  <c r="H1090" i="3"/>
  <c r="G1090" i="3"/>
  <c r="F1090" i="3"/>
  <c r="D1090" i="3"/>
  <c r="C1090" i="3" s="1"/>
  <c r="H1089" i="3"/>
  <c r="G1089" i="3"/>
  <c r="F1089" i="3"/>
  <c r="D1089" i="3"/>
  <c r="C1089" i="3"/>
  <c r="H1088" i="3"/>
  <c r="G1088" i="3"/>
  <c r="F1088" i="3"/>
  <c r="D1088" i="3"/>
  <c r="C1088" i="3"/>
  <c r="H1087" i="3"/>
  <c r="G1087" i="3"/>
  <c r="F1087" i="3"/>
  <c r="D1087" i="3"/>
  <c r="C1087" i="3" s="1"/>
  <c r="H1086" i="3"/>
  <c r="G1086" i="3"/>
  <c r="F1086" i="3"/>
  <c r="D1086" i="3"/>
  <c r="C1086" i="3"/>
  <c r="H1085" i="3"/>
  <c r="G1085" i="3"/>
  <c r="F1085" i="3"/>
  <c r="D1085" i="3"/>
  <c r="C1085" i="3"/>
  <c r="H1084" i="3"/>
  <c r="G1084" i="3"/>
  <c r="F1084" i="3"/>
  <c r="D1084" i="3"/>
  <c r="C1084" i="3" s="1"/>
  <c r="H1083" i="3"/>
  <c r="G1083" i="3"/>
  <c r="F1083" i="3"/>
  <c r="D1083" i="3"/>
  <c r="C1083" i="3" s="1"/>
  <c r="H1082" i="3"/>
  <c r="G1082" i="3"/>
  <c r="F1082" i="3"/>
  <c r="D1082" i="3"/>
  <c r="C1082" i="3" s="1"/>
  <c r="H1081" i="3"/>
  <c r="G1081" i="3"/>
  <c r="F1081" i="3"/>
  <c r="D1081" i="3"/>
  <c r="C1081" i="3"/>
  <c r="H1080" i="3"/>
  <c r="G1080" i="3"/>
  <c r="F1080" i="3"/>
  <c r="D1080" i="3"/>
  <c r="C1080" i="3"/>
  <c r="H1079" i="3"/>
  <c r="G1079" i="3"/>
  <c r="F1079" i="3"/>
  <c r="D1079" i="3"/>
  <c r="C1079" i="3" s="1"/>
  <c r="H1078" i="3"/>
  <c r="G1078" i="3"/>
  <c r="F1078" i="3"/>
  <c r="D1078" i="3"/>
  <c r="C1078" i="3"/>
  <c r="H1077" i="3"/>
  <c r="G1077" i="3"/>
  <c r="F1077" i="3"/>
  <c r="D1077" i="3"/>
  <c r="C1077" i="3"/>
  <c r="H1076" i="3"/>
  <c r="G1076" i="3"/>
  <c r="F1076" i="3"/>
  <c r="D1076" i="3"/>
  <c r="C1076" i="3" s="1"/>
  <c r="H1075" i="3"/>
  <c r="G1075" i="3"/>
  <c r="F1075" i="3"/>
  <c r="D1075" i="3"/>
  <c r="C1075" i="3" s="1"/>
  <c r="H1074" i="3"/>
  <c r="G1074" i="3"/>
  <c r="F1074" i="3"/>
  <c r="D1074" i="3"/>
  <c r="C1074" i="3" s="1"/>
  <c r="H1073" i="3"/>
  <c r="G1073" i="3"/>
  <c r="F1073" i="3"/>
  <c r="D1073" i="3"/>
  <c r="C1073" i="3"/>
  <c r="H1072" i="3"/>
  <c r="G1072" i="3"/>
  <c r="F1072" i="3"/>
  <c r="D1072" i="3"/>
  <c r="C1072" i="3"/>
  <c r="H1071" i="3"/>
  <c r="G1071" i="3"/>
  <c r="F1071" i="3"/>
  <c r="D1071" i="3"/>
  <c r="C1071" i="3" s="1"/>
  <c r="H1070" i="3"/>
  <c r="G1070" i="3"/>
  <c r="F1070" i="3"/>
  <c r="D1070" i="3"/>
  <c r="C1070" i="3"/>
  <c r="H1069" i="3"/>
  <c r="G1069" i="3"/>
  <c r="F1069" i="3"/>
  <c r="D1069" i="3"/>
  <c r="C1069" i="3"/>
  <c r="H1068" i="3"/>
  <c r="G1068" i="3"/>
  <c r="F1068" i="3"/>
  <c r="D1068" i="3"/>
  <c r="C1068" i="3" s="1"/>
  <c r="H1067" i="3"/>
  <c r="G1067" i="3"/>
  <c r="F1067" i="3"/>
  <c r="D1067" i="3"/>
  <c r="C1067" i="3" s="1"/>
  <c r="H1066" i="3"/>
  <c r="G1066" i="3"/>
  <c r="F1066" i="3"/>
  <c r="D1066" i="3"/>
  <c r="C1066" i="3" s="1"/>
  <c r="H1065" i="3"/>
  <c r="G1065" i="3"/>
  <c r="F1065" i="3"/>
  <c r="D1065" i="3"/>
  <c r="C1065" i="3"/>
  <c r="H1064" i="3"/>
  <c r="G1064" i="3"/>
  <c r="F1064" i="3"/>
  <c r="D1064" i="3"/>
  <c r="C1064" i="3"/>
  <c r="H1063" i="3"/>
  <c r="G1063" i="3"/>
  <c r="F1063" i="3"/>
  <c r="D1063" i="3"/>
  <c r="C1063" i="3" s="1"/>
  <c r="H1062" i="3"/>
  <c r="G1062" i="3"/>
  <c r="F1062" i="3"/>
  <c r="D1062" i="3"/>
  <c r="C1062" i="3"/>
  <c r="H1061" i="3"/>
  <c r="G1061" i="3"/>
  <c r="F1061" i="3"/>
  <c r="D1061" i="3"/>
  <c r="C1061" i="3"/>
  <c r="H1060" i="3"/>
  <c r="G1060" i="3"/>
  <c r="F1060" i="3"/>
  <c r="D1060" i="3"/>
  <c r="C1060" i="3" s="1"/>
  <c r="H1059" i="3"/>
  <c r="G1059" i="3"/>
  <c r="F1059" i="3"/>
  <c r="D1059" i="3"/>
  <c r="C1059" i="3" s="1"/>
  <c r="H1058" i="3"/>
  <c r="G1058" i="3"/>
  <c r="F1058" i="3"/>
  <c r="D1058" i="3"/>
  <c r="C1058" i="3" s="1"/>
  <c r="H1057" i="3"/>
  <c r="G1057" i="3"/>
  <c r="F1057" i="3"/>
  <c r="D1057" i="3"/>
  <c r="C1057" i="3"/>
  <c r="H1056" i="3"/>
  <c r="G1056" i="3"/>
  <c r="F1056" i="3"/>
  <c r="D1056" i="3"/>
  <c r="C1056" i="3"/>
  <c r="H1055" i="3"/>
  <c r="G1055" i="3"/>
  <c r="F1055" i="3"/>
  <c r="D1055" i="3"/>
  <c r="C1055" i="3" s="1"/>
  <c r="H1054" i="3"/>
  <c r="G1054" i="3"/>
  <c r="F1054" i="3"/>
  <c r="D1054" i="3"/>
  <c r="C1054" i="3"/>
  <c r="H1053" i="3"/>
  <c r="G1053" i="3"/>
  <c r="F1053" i="3"/>
  <c r="D1053" i="3"/>
  <c r="C1053" i="3"/>
  <c r="H1052" i="3"/>
  <c r="G1052" i="3"/>
  <c r="F1052" i="3"/>
  <c r="D1052" i="3"/>
  <c r="C1052" i="3" s="1"/>
  <c r="H1051" i="3"/>
  <c r="G1051" i="3"/>
  <c r="F1051" i="3"/>
  <c r="D1051" i="3"/>
  <c r="C1051" i="3" s="1"/>
  <c r="H1050" i="3"/>
  <c r="G1050" i="3"/>
  <c r="F1050" i="3"/>
  <c r="D1050" i="3"/>
  <c r="C1050" i="3" s="1"/>
  <c r="H1049" i="3"/>
  <c r="G1049" i="3"/>
  <c r="F1049" i="3"/>
  <c r="D1049" i="3"/>
  <c r="C1049" i="3"/>
  <c r="H1048" i="3"/>
  <c r="G1048" i="3"/>
  <c r="F1048" i="3"/>
  <c r="D1048" i="3"/>
  <c r="C1048" i="3"/>
  <c r="H1047" i="3"/>
  <c r="G1047" i="3"/>
  <c r="F1047" i="3"/>
  <c r="D1047" i="3"/>
  <c r="C1047" i="3" s="1"/>
  <c r="H1046" i="3"/>
  <c r="G1046" i="3"/>
  <c r="F1046" i="3"/>
  <c r="D1046" i="3"/>
  <c r="C1046" i="3"/>
  <c r="H1045" i="3"/>
  <c r="G1045" i="3"/>
  <c r="F1045" i="3"/>
  <c r="D1045" i="3"/>
  <c r="C1045" i="3"/>
  <c r="H1044" i="3"/>
  <c r="G1044" i="3"/>
  <c r="F1044" i="3"/>
  <c r="D1044" i="3"/>
  <c r="C1044" i="3" s="1"/>
  <c r="H1043" i="3"/>
  <c r="G1043" i="3"/>
  <c r="F1043" i="3"/>
  <c r="D1043" i="3"/>
  <c r="C1043" i="3" s="1"/>
  <c r="H1042" i="3"/>
  <c r="G1042" i="3"/>
  <c r="F1042" i="3"/>
  <c r="D1042" i="3"/>
  <c r="C1042" i="3" s="1"/>
  <c r="H1041" i="3"/>
  <c r="G1041" i="3"/>
  <c r="F1041" i="3"/>
  <c r="D1041" i="3"/>
  <c r="C1041" i="3"/>
  <c r="H1040" i="3"/>
  <c r="G1040" i="3"/>
  <c r="F1040" i="3"/>
  <c r="D1040" i="3"/>
  <c r="C1040" i="3"/>
  <c r="H1039" i="3"/>
  <c r="G1039" i="3"/>
  <c r="F1039" i="3"/>
  <c r="D1039" i="3"/>
  <c r="C1039" i="3" s="1"/>
  <c r="H1038" i="3"/>
  <c r="G1038" i="3"/>
  <c r="F1038" i="3"/>
  <c r="D1038" i="3"/>
  <c r="C1038" i="3"/>
  <c r="H1037" i="3"/>
  <c r="G1037" i="3"/>
  <c r="F1037" i="3"/>
  <c r="D1037" i="3"/>
  <c r="C1037" i="3"/>
  <c r="H1036" i="3"/>
  <c r="G1036" i="3"/>
  <c r="F1036" i="3"/>
  <c r="D1036" i="3"/>
  <c r="C1036" i="3" s="1"/>
  <c r="H1035" i="3"/>
  <c r="G1035" i="3"/>
  <c r="F1035" i="3"/>
  <c r="D1035" i="3"/>
  <c r="C1035" i="3" s="1"/>
  <c r="H1034" i="3"/>
  <c r="G1034" i="3"/>
  <c r="F1034" i="3"/>
  <c r="D1034" i="3"/>
  <c r="C1034" i="3" s="1"/>
  <c r="H1033" i="3"/>
  <c r="G1033" i="3"/>
  <c r="F1033" i="3"/>
  <c r="D1033" i="3"/>
  <c r="C1033" i="3"/>
  <c r="H1032" i="3"/>
  <c r="G1032" i="3"/>
  <c r="F1032" i="3"/>
  <c r="D1032" i="3"/>
  <c r="C1032" i="3"/>
  <c r="H1031" i="3"/>
  <c r="G1031" i="3"/>
  <c r="F1031" i="3"/>
  <c r="D1031" i="3"/>
  <c r="C1031" i="3" s="1"/>
  <c r="H1030" i="3"/>
  <c r="G1030" i="3"/>
  <c r="F1030" i="3"/>
  <c r="D1030" i="3"/>
  <c r="C1030" i="3"/>
  <c r="H1029" i="3"/>
  <c r="G1029" i="3"/>
  <c r="F1029" i="3"/>
  <c r="D1029" i="3"/>
  <c r="C1029" i="3"/>
  <c r="H1028" i="3"/>
  <c r="G1028" i="3"/>
  <c r="F1028" i="3"/>
  <c r="D1028" i="3"/>
  <c r="C1028" i="3" s="1"/>
  <c r="H1027" i="3"/>
  <c r="G1027" i="3"/>
  <c r="F1027" i="3"/>
  <c r="D1027" i="3"/>
  <c r="C1027" i="3" s="1"/>
  <c r="H1026" i="3"/>
  <c r="G1026" i="3"/>
  <c r="F1026" i="3"/>
  <c r="D1026" i="3"/>
  <c r="C1026" i="3" s="1"/>
  <c r="H1025" i="3"/>
  <c r="G1025" i="3"/>
  <c r="F1025" i="3"/>
  <c r="D1025" i="3"/>
  <c r="C1025" i="3"/>
  <c r="H1024" i="3"/>
  <c r="G1024" i="3"/>
  <c r="F1024" i="3"/>
  <c r="D1024" i="3"/>
  <c r="C1024" i="3"/>
  <c r="H1023" i="3"/>
  <c r="G1023" i="3"/>
  <c r="F1023" i="3"/>
  <c r="D1023" i="3"/>
  <c r="C1023" i="3" s="1"/>
  <c r="H1022" i="3"/>
  <c r="G1022" i="3"/>
  <c r="F1022" i="3"/>
  <c r="D1022" i="3"/>
  <c r="C1022" i="3"/>
  <c r="H1021" i="3"/>
  <c r="G1021" i="3"/>
  <c r="F1021" i="3"/>
  <c r="D1021" i="3"/>
  <c r="C1021" i="3"/>
  <c r="H1020" i="3"/>
  <c r="G1020" i="3"/>
  <c r="F1020" i="3"/>
  <c r="D1020" i="3"/>
  <c r="C1020" i="3" s="1"/>
  <c r="H1019" i="3"/>
  <c r="G1019" i="3"/>
  <c r="F1019" i="3"/>
  <c r="D1019" i="3"/>
  <c r="C1019" i="3" s="1"/>
  <c r="H1018" i="3"/>
  <c r="G1018" i="3"/>
  <c r="F1018" i="3"/>
  <c r="D1018" i="3"/>
  <c r="C1018" i="3" s="1"/>
  <c r="H1017" i="3"/>
  <c r="G1017" i="3"/>
  <c r="F1017" i="3"/>
  <c r="D1017" i="3"/>
  <c r="C1017" i="3"/>
  <c r="H1016" i="3"/>
  <c r="G1016" i="3"/>
  <c r="F1016" i="3"/>
  <c r="D1016" i="3"/>
  <c r="C1016" i="3"/>
  <c r="H1015" i="3"/>
  <c r="G1015" i="3"/>
  <c r="F1015" i="3"/>
  <c r="D1015" i="3"/>
  <c r="C1015" i="3" s="1"/>
  <c r="H1014" i="3"/>
  <c r="G1014" i="3"/>
  <c r="F1014" i="3"/>
  <c r="D1014" i="3"/>
  <c r="C1014" i="3"/>
  <c r="H1013" i="3"/>
  <c r="G1013" i="3"/>
  <c r="F1013" i="3"/>
  <c r="D1013" i="3"/>
  <c r="C1013" i="3"/>
  <c r="H1012" i="3"/>
  <c r="G1012" i="3"/>
  <c r="F1012" i="3"/>
  <c r="D1012" i="3"/>
  <c r="C1012" i="3" s="1"/>
  <c r="H1011" i="3"/>
  <c r="G1011" i="3"/>
  <c r="F1011" i="3"/>
  <c r="D1011" i="3"/>
  <c r="C1011" i="3" s="1"/>
  <c r="H1010" i="3"/>
  <c r="G1010" i="3"/>
  <c r="F1010" i="3"/>
  <c r="D1010" i="3"/>
  <c r="C1010" i="3" s="1"/>
  <c r="H1009" i="3"/>
  <c r="G1009" i="3"/>
  <c r="F1009" i="3"/>
  <c r="D1009" i="3"/>
  <c r="C1009" i="3"/>
  <c r="H1008" i="3"/>
  <c r="G1008" i="3"/>
  <c r="F1008" i="3"/>
  <c r="D1008" i="3"/>
  <c r="C1008" i="3"/>
  <c r="H1007" i="3"/>
  <c r="G1007" i="3"/>
  <c r="F1007" i="3"/>
  <c r="D1007" i="3"/>
  <c r="C1007" i="3" s="1"/>
  <c r="H1006" i="3"/>
  <c r="G1006" i="3"/>
  <c r="F1006" i="3"/>
  <c r="D1006" i="3"/>
  <c r="C1006" i="3"/>
  <c r="H1005" i="3"/>
  <c r="G1005" i="3"/>
  <c r="F1005" i="3"/>
  <c r="D1005" i="3"/>
  <c r="C1005" i="3"/>
  <c r="H1004" i="3"/>
  <c r="G1004" i="3"/>
  <c r="F1004" i="3"/>
  <c r="D1004" i="3"/>
  <c r="C1004" i="3" s="1"/>
  <c r="H1003" i="3"/>
  <c r="G1003" i="3"/>
  <c r="F1003" i="3"/>
  <c r="D1003" i="3"/>
  <c r="C1003" i="3" s="1"/>
  <c r="H1002" i="3"/>
  <c r="G1002" i="3"/>
  <c r="F1002" i="3"/>
  <c r="D1002" i="3"/>
  <c r="C1002" i="3" s="1"/>
  <c r="H1001" i="3"/>
  <c r="G1001" i="3"/>
  <c r="F1001" i="3"/>
  <c r="D1001" i="3"/>
  <c r="C1001" i="3"/>
  <c r="H1000" i="3"/>
  <c r="G1000" i="3"/>
  <c r="F1000" i="3"/>
  <c r="D1000" i="3"/>
  <c r="C1000" i="3"/>
  <c r="H999" i="3"/>
  <c r="G999" i="3"/>
  <c r="F999" i="3"/>
  <c r="D999" i="3"/>
  <c r="C999" i="3" s="1"/>
  <c r="H998" i="3"/>
  <c r="G998" i="3"/>
  <c r="F998" i="3"/>
  <c r="D998" i="3"/>
  <c r="C998" i="3"/>
  <c r="H997" i="3"/>
  <c r="G997" i="3"/>
  <c r="F997" i="3"/>
  <c r="D997" i="3"/>
  <c r="C997" i="3"/>
  <c r="H996" i="3"/>
  <c r="G996" i="3"/>
  <c r="F996" i="3"/>
  <c r="D996" i="3"/>
  <c r="C996" i="3" s="1"/>
  <c r="H995" i="3"/>
  <c r="G995" i="3"/>
  <c r="F995" i="3"/>
  <c r="D995" i="3"/>
  <c r="C995" i="3" s="1"/>
  <c r="H994" i="3"/>
  <c r="G994" i="3"/>
  <c r="F994" i="3"/>
  <c r="D994" i="3"/>
  <c r="C994" i="3" s="1"/>
  <c r="H993" i="3"/>
  <c r="G993" i="3"/>
  <c r="F993" i="3"/>
  <c r="D993" i="3"/>
  <c r="C993" i="3"/>
  <c r="H992" i="3"/>
  <c r="G992" i="3"/>
  <c r="F992" i="3"/>
  <c r="D992" i="3"/>
  <c r="C992" i="3"/>
  <c r="H991" i="3"/>
  <c r="G991" i="3"/>
  <c r="F991" i="3"/>
  <c r="D991" i="3"/>
  <c r="C991" i="3" s="1"/>
  <c r="H990" i="3"/>
  <c r="G990" i="3"/>
  <c r="F990" i="3"/>
  <c r="D990" i="3"/>
  <c r="C990" i="3"/>
  <c r="H989" i="3"/>
  <c r="G989" i="3"/>
  <c r="F989" i="3"/>
  <c r="D989" i="3"/>
  <c r="C989" i="3"/>
  <c r="H988" i="3"/>
  <c r="G988" i="3"/>
  <c r="F988" i="3"/>
  <c r="D988" i="3"/>
  <c r="C988" i="3" s="1"/>
  <c r="H987" i="3"/>
  <c r="G987" i="3"/>
  <c r="F987" i="3"/>
  <c r="D987" i="3"/>
  <c r="C987" i="3" s="1"/>
  <c r="H986" i="3"/>
  <c r="G986" i="3"/>
  <c r="F986" i="3"/>
  <c r="D986" i="3"/>
  <c r="C986" i="3"/>
  <c r="H985" i="3"/>
  <c r="G985" i="3"/>
  <c r="F985" i="3"/>
  <c r="D985" i="3"/>
  <c r="C985" i="3"/>
  <c r="H984" i="3"/>
  <c r="G984" i="3"/>
  <c r="F984" i="3"/>
  <c r="D984" i="3"/>
  <c r="C984" i="3"/>
  <c r="H983" i="3"/>
  <c r="G983" i="3"/>
  <c r="F983" i="3"/>
  <c r="D983" i="3"/>
  <c r="C983" i="3" s="1"/>
  <c r="H982" i="3"/>
  <c r="G982" i="3"/>
  <c r="F982" i="3"/>
  <c r="D982" i="3"/>
  <c r="C982" i="3"/>
  <c r="H981" i="3"/>
  <c r="G981" i="3"/>
  <c r="F981" i="3"/>
  <c r="D981" i="3"/>
  <c r="C981" i="3"/>
  <c r="H980" i="3"/>
  <c r="G980" i="3"/>
  <c r="F980" i="3"/>
  <c r="D980" i="3"/>
  <c r="C980" i="3" s="1"/>
  <c r="H979" i="3"/>
  <c r="G979" i="3"/>
  <c r="F979" i="3"/>
  <c r="D979" i="3"/>
  <c r="C979" i="3" s="1"/>
  <c r="H978" i="3"/>
  <c r="G978" i="3"/>
  <c r="F978" i="3"/>
  <c r="D978" i="3"/>
  <c r="C978" i="3"/>
  <c r="H977" i="3"/>
  <c r="G977" i="3"/>
  <c r="F977" i="3"/>
  <c r="D977" i="3"/>
  <c r="C977" i="3"/>
  <c r="H976" i="3"/>
  <c r="G976" i="3"/>
  <c r="F976" i="3"/>
  <c r="D976" i="3"/>
  <c r="C976" i="3"/>
  <c r="H975" i="3"/>
  <c r="G975" i="3"/>
  <c r="F975" i="3"/>
  <c r="D975" i="3"/>
  <c r="C975" i="3" s="1"/>
  <c r="H974" i="3"/>
  <c r="G974" i="3"/>
  <c r="F974" i="3"/>
  <c r="D974" i="3"/>
  <c r="C974" i="3"/>
  <c r="H973" i="3"/>
  <c r="G973" i="3"/>
  <c r="F973" i="3"/>
  <c r="D973" i="3"/>
  <c r="C973" i="3"/>
  <c r="H972" i="3"/>
  <c r="G972" i="3"/>
  <c r="F972" i="3"/>
  <c r="D972" i="3"/>
  <c r="C972" i="3" s="1"/>
  <c r="H971" i="3"/>
  <c r="G971" i="3"/>
  <c r="F971" i="3"/>
  <c r="D971" i="3"/>
  <c r="C971" i="3" s="1"/>
  <c r="H970" i="3"/>
  <c r="G970" i="3"/>
  <c r="F970" i="3"/>
  <c r="D970" i="3"/>
  <c r="C970" i="3"/>
  <c r="H969" i="3"/>
  <c r="G969" i="3"/>
  <c r="F969" i="3"/>
  <c r="D969" i="3"/>
  <c r="C969" i="3"/>
  <c r="H968" i="3"/>
  <c r="G968" i="3"/>
  <c r="F968" i="3"/>
  <c r="D968" i="3"/>
  <c r="C968" i="3"/>
  <c r="H967" i="3"/>
  <c r="G967" i="3"/>
  <c r="F967" i="3"/>
  <c r="D967" i="3"/>
  <c r="C967" i="3" s="1"/>
  <c r="H966" i="3"/>
  <c r="G966" i="3"/>
  <c r="F966" i="3"/>
  <c r="D966" i="3"/>
  <c r="C966" i="3"/>
  <c r="H965" i="3"/>
  <c r="G965" i="3"/>
  <c r="F965" i="3"/>
  <c r="D965" i="3"/>
  <c r="C965" i="3"/>
  <c r="H964" i="3"/>
  <c r="G964" i="3"/>
  <c r="F964" i="3"/>
  <c r="D964" i="3"/>
  <c r="C964" i="3" s="1"/>
  <c r="H963" i="3"/>
  <c r="G963" i="3"/>
  <c r="F963" i="3"/>
  <c r="D963" i="3"/>
  <c r="C963" i="3" s="1"/>
  <c r="H962" i="3"/>
  <c r="G962" i="3"/>
  <c r="F962" i="3"/>
  <c r="D962" i="3"/>
  <c r="C962" i="3"/>
  <c r="H961" i="3"/>
  <c r="G961" i="3"/>
  <c r="F961" i="3"/>
  <c r="D961" i="3"/>
  <c r="C961" i="3"/>
  <c r="H960" i="3"/>
  <c r="G960" i="3"/>
  <c r="F960" i="3"/>
  <c r="D960" i="3"/>
  <c r="C960" i="3"/>
  <c r="H959" i="3"/>
  <c r="G959" i="3"/>
  <c r="F959" i="3"/>
  <c r="D959" i="3"/>
  <c r="C959" i="3" s="1"/>
  <c r="H958" i="3"/>
  <c r="G958" i="3"/>
  <c r="F958" i="3"/>
  <c r="D958" i="3"/>
  <c r="C958" i="3"/>
  <c r="H957" i="3"/>
  <c r="G957" i="3"/>
  <c r="F957" i="3"/>
  <c r="D957" i="3"/>
  <c r="C957" i="3"/>
  <c r="H956" i="3"/>
  <c r="G956" i="3"/>
  <c r="F956" i="3"/>
  <c r="D956" i="3"/>
  <c r="C956" i="3" s="1"/>
  <c r="H955" i="3"/>
  <c r="G955" i="3"/>
  <c r="F955" i="3"/>
  <c r="D955" i="3"/>
  <c r="C955" i="3" s="1"/>
  <c r="H954" i="3"/>
  <c r="G954" i="3"/>
  <c r="F954" i="3"/>
  <c r="D954" i="3"/>
  <c r="C954" i="3" s="1"/>
  <c r="H953" i="3"/>
  <c r="G953" i="3"/>
  <c r="F953" i="3"/>
  <c r="D953" i="3"/>
  <c r="C953" i="3" s="1"/>
  <c r="H952" i="3"/>
  <c r="G952" i="3"/>
  <c r="F952" i="3"/>
  <c r="D952" i="3"/>
  <c r="C952" i="3"/>
  <c r="H951" i="3"/>
  <c r="G951" i="3"/>
  <c r="F951" i="3"/>
  <c r="D951" i="3"/>
  <c r="C951" i="3"/>
  <c r="H950" i="3"/>
  <c r="G950" i="3"/>
  <c r="F950" i="3"/>
  <c r="D950" i="3"/>
  <c r="C950" i="3"/>
  <c r="H949" i="3"/>
  <c r="G949" i="3"/>
  <c r="F949" i="3"/>
  <c r="D949" i="3"/>
  <c r="C949" i="3"/>
  <c r="H948" i="3"/>
  <c r="G948" i="3"/>
  <c r="F948" i="3"/>
  <c r="D948" i="3"/>
  <c r="C948" i="3" s="1"/>
  <c r="H947" i="3"/>
  <c r="G947" i="3"/>
  <c r="F947" i="3"/>
  <c r="D947" i="3"/>
  <c r="C947" i="3" s="1"/>
  <c r="H946" i="3"/>
  <c r="G946" i="3"/>
  <c r="F946" i="3"/>
  <c r="D946" i="3"/>
  <c r="C946" i="3" s="1"/>
  <c r="H945" i="3"/>
  <c r="G945" i="3"/>
  <c r="F945" i="3"/>
  <c r="D945" i="3"/>
  <c r="C945" i="3"/>
  <c r="H944" i="3"/>
  <c r="G944" i="3"/>
  <c r="F944" i="3"/>
  <c r="D944" i="3"/>
  <c r="C944" i="3"/>
  <c r="H943" i="3"/>
  <c r="G943" i="3"/>
  <c r="F943" i="3"/>
  <c r="D943" i="3"/>
  <c r="C943" i="3"/>
  <c r="H942" i="3"/>
  <c r="G942" i="3"/>
  <c r="F942" i="3"/>
  <c r="D942" i="3"/>
  <c r="C942" i="3"/>
  <c r="H941" i="3"/>
  <c r="G941" i="3"/>
  <c r="F941" i="3"/>
  <c r="D941" i="3"/>
  <c r="C941" i="3"/>
  <c r="H940" i="3"/>
  <c r="G940" i="3"/>
  <c r="F940" i="3"/>
  <c r="D940" i="3"/>
  <c r="C940" i="3" s="1"/>
  <c r="H939" i="3"/>
  <c r="G939" i="3"/>
  <c r="F939" i="3"/>
  <c r="D939" i="3"/>
  <c r="C939" i="3" s="1"/>
  <c r="H938" i="3"/>
  <c r="G938" i="3"/>
  <c r="F938" i="3"/>
  <c r="D938" i="3"/>
  <c r="C938" i="3" s="1"/>
  <c r="H937" i="3"/>
  <c r="G937" i="3"/>
  <c r="F937" i="3"/>
  <c r="D937" i="3"/>
  <c r="C937" i="3" s="1"/>
  <c r="H936" i="3"/>
  <c r="G936" i="3"/>
  <c r="F936" i="3"/>
  <c r="D936" i="3"/>
  <c r="C936" i="3"/>
  <c r="H935" i="3"/>
  <c r="G935" i="3"/>
  <c r="F935" i="3"/>
  <c r="D935" i="3"/>
  <c r="C935" i="3"/>
  <c r="H934" i="3"/>
  <c r="G934" i="3"/>
  <c r="F934" i="3"/>
  <c r="D934" i="3"/>
  <c r="C934" i="3"/>
  <c r="H933" i="3"/>
  <c r="G933" i="3"/>
  <c r="F933" i="3"/>
  <c r="D933" i="3"/>
  <c r="C933" i="3"/>
  <c r="H932" i="3"/>
  <c r="G932" i="3"/>
  <c r="F932" i="3"/>
  <c r="D932" i="3"/>
  <c r="C932" i="3" s="1"/>
  <c r="H931" i="3"/>
  <c r="G931" i="3"/>
  <c r="F931" i="3"/>
  <c r="D931" i="3"/>
  <c r="C931" i="3" s="1"/>
  <c r="H930" i="3"/>
  <c r="G930" i="3"/>
  <c r="F930" i="3"/>
  <c r="D930" i="3"/>
  <c r="C930" i="3" s="1"/>
  <c r="H929" i="3"/>
  <c r="G929" i="3"/>
  <c r="F929" i="3"/>
  <c r="D929" i="3"/>
  <c r="C929" i="3" s="1"/>
  <c r="H928" i="3"/>
  <c r="G928" i="3"/>
  <c r="F928" i="3"/>
  <c r="D928" i="3"/>
  <c r="C928" i="3"/>
  <c r="H927" i="3"/>
  <c r="G927" i="3"/>
  <c r="F927" i="3"/>
  <c r="D927" i="3"/>
  <c r="C927" i="3"/>
  <c r="H926" i="3"/>
  <c r="G926" i="3"/>
  <c r="F926" i="3"/>
  <c r="D926" i="3"/>
  <c r="C926" i="3"/>
  <c r="H925" i="3"/>
  <c r="G925" i="3"/>
  <c r="F925" i="3"/>
  <c r="D925" i="3"/>
  <c r="C925" i="3"/>
  <c r="H924" i="3"/>
  <c r="G924" i="3"/>
  <c r="F924" i="3"/>
  <c r="D924" i="3"/>
  <c r="C924" i="3" s="1"/>
  <c r="H923" i="3"/>
  <c r="G923" i="3"/>
  <c r="F923" i="3"/>
  <c r="D923" i="3"/>
  <c r="C923" i="3" s="1"/>
  <c r="H922" i="3"/>
  <c r="G922" i="3"/>
  <c r="F922" i="3"/>
  <c r="D922" i="3"/>
  <c r="C922" i="3" s="1"/>
  <c r="H921" i="3"/>
  <c r="G921" i="3"/>
  <c r="F921" i="3"/>
  <c r="D921" i="3"/>
  <c r="C921" i="3" s="1"/>
  <c r="H920" i="3"/>
  <c r="G920" i="3"/>
  <c r="F920" i="3"/>
  <c r="D920" i="3"/>
  <c r="C920" i="3"/>
  <c r="H919" i="3"/>
  <c r="G919" i="3"/>
  <c r="F919" i="3"/>
  <c r="D919" i="3"/>
  <c r="C919" i="3"/>
  <c r="H918" i="3"/>
  <c r="G918" i="3"/>
  <c r="F918" i="3"/>
  <c r="D918" i="3"/>
  <c r="C918" i="3"/>
  <c r="H917" i="3"/>
  <c r="G917" i="3"/>
  <c r="F917" i="3"/>
  <c r="D917" i="3"/>
  <c r="C917" i="3"/>
  <c r="H916" i="3"/>
  <c r="G916" i="3"/>
  <c r="F916" i="3"/>
  <c r="D916" i="3"/>
  <c r="C916" i="3" s="1"/>
  <c r="H915" i="3"/>
  <c r="G915" i="3"/>
  <c r="F915" i="3"/>
  <c r="D915" i="3"/>
  <c r="C915" i="3" s="1"/>
  <c r="H914" i="3"/>
  <c r="G914" i="3"/>
  <c r="F914" i="3"/>
  <c r="D914" i="3"/>
  <c r="C914" i="3" s="1"/>
  <c r="H913" i="3"/>
  <c r="G913" i="3"/>
  <c r="F913" i="3"/>
  <c r="D913" i="3"/>
  <c r="C913" i="3" s="1"/>
  <c r="H912" i="3"/>
  <c r="G912" i="3"/>
  <c r="F912" i="3"/>
  <c r="D912" i="3"/>
  <c r="C912" i="3"/>
  <c r="H911" i="3"/>
  <c r="G911" i="3"/>
  <c r="F911" i="3"/>
  <c r="D911" i="3"/>
  <c r="C911" i="3"/>
  <c r="H910" i="3"/>
  <c r="G910" i="3"/>
  <c r="F910" i="3"/>
  <c r="D910" i="3"/>
  <c r="C910" i="3"/>
  <c r="H909" i="3"/>
  <c r="G909" i="3"/>
  <c r="F909" i="3"/>
  <c r="D909" i="3"/>
  <c r="C909" i="3"/>
  <c r="H908" i="3"/>
  <c r="G908" i="3"/>
  <c r="F908" i="3"/>
  <c r="D908" i="3"/>
  <c r="C908" i="3" s="1"/>
  <c r="H907" i="3"/>
  <c r="G907" i="3"/>
  <c r="F907" i="3"/>
  <c r="D907" i="3"/>
  <c r="C907" i="3" s="1"/>
  <c r="H906" i="3"/>
  <c r="G906" i="3"/>
  <c r="F906" i="3"/>
  <c r="D906" i="3"/>
  <c r="C906" i="3" s="1"/>
  <c r="H905" i="3"/>
  <c r="G905" i="3"/>
  <c r="F905" i="3"/>
  <c r="D905" i="3"/>
  <c r="C905" i="3" s="1"/>
  <c r="H904" i="3"/>
  <c r="G904" i="3"/>
  <c r="F904" i="3"/>
  <c r="D904" i="3"/>
  <c r="C904" i="3"/>
  <c r="H903" i="3"/>
  <c r="G903" i="3"/>
  <c r="F903" i="3"/>
  <c r="D903" i="3"/>
  <c r="C903" i="3"/>
  <c r="H902" i="3"/>
  <c r="G902" i="3"/>
  <c r="F902" i="3"/>
  <c r="D902" i="3"/>
  <c r="C902" i="3"/>
  <c r="H901" i="3"/>
  <c r="G901" i="3"/>
  <c r="F901" i="3"/>
  <c r="D901" i="3"/>
  <c r="C901" i="3"/>
  <c r="H900" i="3"/>
  <c r="G900" i="3"/>
  <c r="F900" i="3"/>
  <c r="D900" i="3"/>
  <c r="C900" i="3" s="1"/>
  <c r="H899" i="3"/>
  <c r="G899" i="3"/>
  <c r="F899" i="3"/>
  <c r="D899" i="3"/>
  <c r="C899" i="3" s="1"/>
  <c r="H898" i="3"/>
  <c r="G898" i="3"/>
  <c r="F898" i="3"/>
  <c r="D898" i="3"/>
  <c r="C898" i="3" s="1"/>
  <c r="H897" i="3"/>
  <c r="G897" i="3"/>
  <c r="F897" i="3"/>
  <c r="D897" i="3"/>
  <c r="C897" i="3" s="1"/>
  <c r="H896" i="3"/>
  <c r="G896" i="3"/>
  <c r="F896" i="3"/>
  <c r="D896" i="3"/>
  <c r="C896" i="3"/>
  <c r="H895" i="3"/>
  <c r="G895" i="3"/>
  <c r="F895" i="3"/>
  <c r="D895" i="3"/>
  <c r="C895" i="3"/>
  <c r="H894" i="3"/>
  <c r="G894" i="3"/>
  <c r="F894" i="3"/>
  <c r="D894" i="3"/>
  <c r="C894" i="3"/>
  <c r="H893" i="3"/>
  <c r="G893" i="3"/>
  <c r="F893" i="3"/>
  <c r="D893" i="3"/>
  <c r="C893" i="3"/>
  <c r="H892" i="3"/>
  <c r="G892" i="3"/>
  <c r="F892" i="3"/>
  <c r="D892" i="3"/>
  <c r="C892" i="3" s="1"/>
  <c r="H891" i="3"/>
  <c r="G891" i="3"/>
  <c r="F891" i="3"/>
  <c r="D891" i="3"/>
  <c r="C891" i="3" s="1"/>
  <c r="H890" i="3"/>
  <c r="G890" i="3"/>
  <c r="F890" i="3"/>
  <c r="D890" i="3"/>
  <c r="C890" i="3" s="1"/>
  <c r="H889" i="3"/>
  <c r="G889" i="3"/>
  <c r="F889" i="3"/>
  <c r="D889" i="3"/>
  <c r="C889" i="3" s="1"/>
  <c r="H888" i="3"/>
  <c r="G888" i="3"/>
  <c r="F888" i="3"/>
  <c r="D888" i="3"/>
  <c r="C888" i="3"/>
  <c r="H887" i="3"/>
  <c r="G887" i="3"/>
  <c r="F887" i="3"/>
  <c r="D887" i="3"/>
  <c r="C887" i="3"/>
  <c r="H886" i="3"/>
  <c r="G886" i="3"/>
  <c r="F886" i="3"/>
  <c r="D886" i="3"/>
  <c r="C886" i="3"/>
  <c r="H885" i="3"/>
  <c r="G885" i="3"/>
  <c r="F885" i="3"/>
  <c r="D885" i="3"/>
  <c r="C885" i="3"/>
  <c r="H884" i="3"/>
  <c r="G884" i="3"/>
  <c r="F884" i="3"/>
  <c r="D884" i="3"/>
  <c r="C884" i="3" s="1"/>
  <c r="H883" i="3"/>
  <c r="G883" i="3"/>
  <c r="F883" i="3"/>
  <c r="D883" i="3"/>
  <c r="C883" i="3" s="1"/>
  <c r="H882" i="3"/>
  <c r="G882" i="3"/>
  <c r="F882" i="3"/>
  <c r="D882" i="3"/>
  <c r="C882" i="3" s="1"/>
  <c r="H881" i="3"/>
  <c r="G881" i="3"/>
  <c r="F881" i="3"/>
  <c r="D881" i="3"/>
  <c r="C881" i="3" s="1"/>
  <c r="H880" i="3"/>
  <c r="G880" i="3"/>
  <c r="F880" i="3"/>
  <c r="D880" i="3"/>
  <c r="C880" i="3"/>
  <c r="H879" i="3"/>
  <c r="G879" i="3"/>
  <c r="F879" i="3"/>
  <c r="D879" i="3"/>
  <c r="C879" i="3"/>
  <c r="H878" i="3"/>
  <c r="G878" i="3"/>
  <c r="F878" i="3"/>
  <c r="D878" i="3"/>
  <c r="C878" i="3"/>
  <c r="H877" i="3"/>
  <c r="G877" i="3"/>
  <c r="F877" i="3"/>
  <c r="D877" i="3"/>
  <c r="C877" i="3"/>
  <c r="H876" i="3"/>
  <c r="G876" i="3"/>
  <c r="F876" i="3"/>
  <c r="D876" i="3"/>
  <c r="C876" i="3" s="1"/>
  <c r="H875" i="3"/>
  <c r="G875" i="3"/>
  <c r="F875" i="3"/>
  <c r="D875" i="3"/>
  <c r="C875" i="3" s="1"/>
  <c r="H874" i="3"/>
  <c r="G874" i="3"/>
  <c r="F874" i="3"/>
  <c r="D874" i="3"/>
  <c r="C874" i="3" s="1"/>
  <c r="H873" i="3"/>
  <c r="G873" i="3"/>
  <c r="F873" i="3"/>
  <c r="D873" i="3"/>
  <c r="C873" i="3" s="1"/>
  <c r="H872" i="3"/>
  <c r="G872" i="3"/>
  <c r="F872" i="3"/>
  <c r="D872" i="3"/>
  <c r="C872" i="3"/>
  <c r="H871" i="3"/>
  <c r="G871" i="3"/>
  <c r="F871" i="3"/>
  <c r="D871" i="3"/>
  <c r="C871" i="3"/>
  <c r="H870" i="3"/>
  <c r="G870" i="3"/>
  <c r="F870" i="3"/>
  <c r="D870" i="3"/>
  <c r="C870" i="3"/>
  <c r="H869" i="3"/>
  <c r="G869" i="3"/>
  <c r="F869" i="3"/>
  <c r="D869" i="3"/>
  <c r="C869" i="3"/>
  <c r="H868" i="3"/>
  <c r="G868" i="3"/>
  <c r="F868" i="3"/>
  <c r="D868" i="3"/>
  <c r="C868" i="3" s="1"/>
  <c r="H867" i="3"/>
  <c r="G867" i="3"/>
  <c r="F867" i="3"/>
  <c r="D867" i="3"/>
  <c r="C867" i="3" s="1"/>
  <c r="H866" i="3"/>
  <c r="G866" i="3"/>
  <c r="F866" i="3"/>
  <c r="D866" i="3"/>
  <c r="C866" i="3" s="1"/>
  <c r="H865" i="3"/>
  <c r="G865" i="3"/>
  <c r="F865" i="3"/>
  <c r="D865" i="3"/>
  <c r="C865" i="3" s="1"/>
  <c r="H864" i="3"/>
  <c r="G864" i="3"/>
  <c r="F864" i="3"/>
  <c r="D864" i="3"/>
  <c r="C864" i="3"/>
  <c r="H863" i="3"/>
  <c r="G863" i="3"/>
  <c r="F863" i="3"/>
  <c r="D863" i="3"/>
  <c r="C863" i="3"/>
  <c r="H862" i="3"/>
  <c r="G862" i="3"/>
  <c r="F862" i="3"/>
  <c r="D862" i="3"/>
  <c r="C862" i="3"/>
  <c r="H861" i="3"/>
  <c r="G861" i="3"/>
  <c r="F861" i="3"/>
  <c r="D861" i="3"/>
  <c r="C861" i="3"/>
  <c r="H860" i="3"/>
  <c r="G860" i="3"/>
  <c r="F860" i="3"/>
  <c r="D860" i="3"/>
  <c r="C860" i="3" s="1"/>
  <c r="H859" i="3"/>
  <c r="G859" i="3"/>
  <c r="F859" i="3"/>
  <c r="D859" i="3"/>
  <c r="C859" i="3" s="1"/>
  <c r="H858" i="3"/>
  <c r="G858" i="3"/>
  <c r="F858" i="3"/>
  <c r="D858" i="3"/>
  <c r="C858" i="3" s="1"/>
  <c r="H857" i="3"/>
  <c r="G857" i="3"/>
  <c r="F857" i="3"/>
  <c r="D857" i="3"/>
  <c r="C857" i="3" s="1"/>
  <c r="H856" i="3"/>
  <c r="G856" i="3"/>
  <c r="F856" i="3"/>
  <c r="D856" i="3"/>
  <c r="C856" i="3"/>
  <c r="H855" i="3"/>
  <c r="G855" i="3"/>
  <c r="F855" i="3"/>
  <c r="D855" i="3"/>
  <c r="C855" i="3"/>
  <c r="H854" i="3"/>
  <c r="G854" i="3"/>
  <c r="F854" i="3"/>
  <c r="D854" i="3"/>
  <c r="C854" i="3"/>
  <c r="H853" i="3"/>
  <c r="G853" i="3"/>
  <c r="F853" i="3"/>
  <c r="D853" i="3"/>
  <c r="C853" i="3"/>
  <c r="H852" i="3"/>
  <c r="G852" i="3"/>
  <c r="F852" i="3"/>
  <c r="D852" i="3"/>
  <c r="C852" i="3" s="1"/>
  <c r="H851" i="3"/>
  <c r="G851" i="3"/>
  <c r="F851" i="3"/>
  <c r="D851" i="3"/>
  <c r="C851" i="3" s="1"/>
  <c r="H850" i="3"/>
  <c r="G850" i="3"/>
  <c r="F850" i="3"/>
  <c r="D850" i="3"/>
  <c r="C850" i="3"/>
  <c r="H849" i="3"/>
  <c r="G849" i="3"/>
  <c r="F849" i="3"/>
  <c r="D849" i="3"/>
  <c r="C849" i="3" s="1"/>
  <c r="H848" i="3"/>
  <c r="G848" i="3"/>
  <c r="F848" i="3"/>
  <c r="D848" i="3"/>
  <c r="C848" i="3"/>
  <c r="H847" i="3"/>
  <c r="G847" i="3"/>
  <c r="F847" i="3"/>
  <c r="D847" i="3"/>
  <c r="C847" i="3"/>
  <c r="H846" i="3"/>
  <c r="G846" i="3"/>
  <c r="F846" i="3"/>
  <c r="D846" i="3"/>
  <c r="C846" i="3"/>
  <c r="H845" i="3"/>
  <c r="G845" i="3"/>
  <c r="F845" i="3"/>
  <c r="D845" i="3"/>
  <c r="C845" i="3"/>
  <c r="H844" i="3"/>
  <c r="G844" i="3"/>
  <c r="F844" i="3"/>
  <c r="D844" i="3"/>
  <c r="C844" i="3" s="1"/>
  <c r="H843" i="3"/>
  <c r="G843" i="3"/>
  <c r="F843" i="3"/>
  <c r="D843" i="3"/>
  <c r="C843" i="3" s="1"/>
  <c r="H842" i="3"/>
  <c r="G842" i="3"/>
  <c r="F842" i="3"/>
  <c r="D842" i="3"/>
  <c r="C842" i="3"/>
  <c r="H841" i="3"/>
  <c r="G841" i="3"/>
  <c r="F841" i="3"/>
  <c r="D841" i="3"/>
  <c r="C841" i="3" s="1"/>
  <c r="H840" i="3"/>
  <c r="G840" i="3"/>
  <c r="F840" i="3"/>
  <c r="D840" i="3"/>
  <c r="C840" i="3"/>
  <c r="H839" i="3"/>
  <c r="G839" i="3"/>
  <c r="F839" i="3"/>
  <c r="D839" i="3"/>
  <c r="C839" i="3"/>
  <c r="H838" i="3"/>
  <c r="G838" i="3"/>
  <c r="F838" i="3"/>
  <c r="D838" i="3"/>
  <c r="C838" i="3"/>
  <c r="H837" i="3"/>
  <c r="G837" i="3"/>
  <c r="F837" i="3"/>
  <c r="D837" i="3"/>
  <c r="C837" i="3"/>
  <c r="H836" i="3"/>
  <c r="G836" i="3"/>
  <c r="F836" i="3"/>
  <c r="D836" i="3"/>
  <c r="C836" i="3" s="1"/>
  <c r="H835" i="3"/>
  <c r="G835" i="3"/>
  <c r="F835" i="3"/>
  <c r="D835" i="3"/>
  <c r="C835" i="3" s="1"/>
  <c r="H834" i="3"/>
  <c r="G834" i="3"/>
  <c r="F834" i="3"/>
  <c r="D834" i="3"/>
  <c r="C834" i="3"/>
  <c r="H833" i="3"/>
  <c r="G833" i="3"/>
  <c r="F833" i="3"/>
  <c r="D833" i="3"/>
  <c r="C833" i="3" s="1"/>
  <c r="H832" i="3"/>
  <c r="G832" i="3"/>
  <c r="F832" i="3"/>
  <c r="D832" i="3"/>
  <c r="C832" i="3"/>
  <c r="H831" i="3"/>
  <c r="G831" i="3"/>
  <c r="F831" i="3"/>
  <c r="D831" i="3"/>
  <c r="C831" i="3"/>
  <c r="H830" i="3"/>
  <c r="G830" i="3"/>
  <c r="F830" i="3"/>
  <c r="D830" i="3"/>
  <c r="C830" i="3"/>
  <c r="H829" i="3"/>
  <c r="G829" i="3"/>
  <c r="F829" i="3"/>
  <c r="D829" i="3"/>
  <c r="C829" i="3"/>
  <c r="H828" i="3"/>
  <c r="G828" i="3"/>
  <c r="F828" i="3"/>
  <c r="D828" i="3"/>
  <c r="C828" i="3" s="1"/>
  <c r="H827" i="3"/>
  <c r="G827" i="3"/>
  <c r="F827" i="3"/>
  <c r="D827" i="3"/>
  <c r="C827" i="3" s="1"/>
  <c r="H826" i="3"/>
  <c r="G826" i="3"/>
  <c r="F826" i="3"/>
  <c r="D826" i="3"/>
  <c r="C826" i="3"/>
  <c r="H825" i="3"/>
  <c r="G825" i="3"/>
  <c r="F825" i="3"/>
  <c r="D825" i="3"/>
  <c r="C825" i="3" s="1"/>
  <c r="H824" i="3"/>
  <c r="G824" i="3"/>
  <c r="F824" i="3"/>
  <c r="D824" i="3"/>
  <c r="C824" i="3"/>
  <c r="H823" i="3"/>
  <c r="G823" i="3"/>
  <c r="F823" i="3"/>
  <c r="D823" i="3"/>
  <c r="C823" i="3"/>
  <c r="H822" i="3"/>
  <c r="G822" i="3"/>
  <c r="F822" i="3"/>
  <c r="D822" i="3"/>
  <c r="C822" i="3"/>
  <c r="H821" i="3"/>
  <c r="G821" i="3"/>
  <c r="F821" i="3"/>
  <c r="D821" i="3"/>
  <c r="C821" i="3"/>
  <c r="H820" i="3"/>
  <c r="G820" i="3"/>
  <c r="F820" i="3"/>
  <c r="D820" i="3"/>
  <c r="C820" i="3" s="1"/>
  <c r="H819" i="3"/>
  <c r="G819" i="3"/>
  <c r="F819" i="3"/>
  <c r="D819" i="3"/>
  <c r="C819" i="3" s="1"/>
  <c r="H818" i="3"/>
  <c r="G818" i="3"/>
  <c r="F818" i="3"/>
  <c r="D818" i="3"/>
  <c r="C818" i="3"/>
  <c r="H817" i="3"/>
  <c r="G817" i="3"/>
  <c r="F817" i="3"/>
  <c r="D817" i="3"/>
  <c r="C817" i="3" s="1"/>
  <c r="H816" i="3"/>
  <c r="G816" i="3"/>
  <c r="F816" i="3"/>
  <c r="D816" i="3"/>
  <c r="C816" i="3"/>
  <c r="H815" i="3"/>
  <c r="G815" i="3"/>
  <c r="F815" i="3"/>
  <c r="D815" i="3"/>
  <c r="C815" i="3"/>
  <c r="H814" i="3"/>
  <c r="G814" i="3"/>
  <c r="F814" i="3"/>
  <c r="D814" i="3"/>
  <c r="C814" i="3"/>
  <c r="H813" i="3"/>
  <c r="G813" i="3"/>
  <c r="F813" i="3"/>
  <c r="D813" i="3"/>
  <c r="C813" i="3"/>
  <c r="H812" i="3"/>
  <c r="G812" i="3"/>
  <c r="F812" i="3"/>
  <c r="D812" i="3"/>
  <c r="C812" i="3" s="1"/>
  <c r="H811" i="3"/>
  <c r="G811" i="3"/>
  <c r="F811" i="3"/>
  <c r="D811" i="3"/>
  <c r="C811" i="3" s="1"/>
  <c r="H810" i="3"/>
  <c r="G810" i="3"/>
  <c r="F810" i="3"/>
  <c r="D810" i="3"/>
  <c r="C810" i="3"/>
  <c r="H809" i="3"/>
  <c r="G809" i="3"/>
  <c r="F809" i="3"/>
  <c r="D809" i="3"/>
  <c r="C809" i="3" s="1"/>
  <c r="H808" i="3"/>
  <c r="G808" i="3"/>
  <c r="F808" i="3"/>
  <c r="D808" i="3"/>
  <c r="C808" i="3"/>
  <c r="H807" i="3"/>
  <c r="G807" i="3"/>
  <c r="F807" i="3"/>
  <c r="D807" i="3"/>
  <c r="C807" i="3"/>
  <c r="H806" i="3"/>
  <c r="G806" i="3"/>
  <c r="F806" i="3"/>
  <c r="D806" i="3"/>
  <c r="C806" i="3"/>
  <c r="H805" i="3"/>
  <c r="G805" i="3"/>
  <c r="F805" i="3"/>
  <c r="D805" i="3"/>
  <c r="C805" i="3" s="1"/>
  <c r="H804" i="3"/>
  <c r="G804" i="3"/>
  <c r="F804" i="3"/>
  <c r="D804" i="3"/>
  <c r="C804" i="3" s="1"/>
  <c r="H803" i="3"/>
  <c r="G803" i="3"/>
  <c r="F803" i="3"/>
  <c r="D803" i="3"/>
  <c r="C803" i="3" s="1"/>
  <c r="H802" i="3"/>
  <c r="G802" i="3"/>
  <c r="F802" i="3"/>
  <c r="D802" i="3"/>
  <c r="C802" i="3"/>
  <c r="H801" i="3"/>
  <c r="G801" i="3"/>
  <c r="F801" i="3"/>
  <c r="D801" i="3"/>
  <c r="C801" i="3" s="1"/>
  <c r="H800" i="3"/>
  <c r="G800" i="3"/>
  <c r="F800" i="3"/>
  <c r="D800" i="3"/>
  <c r="C800" i="3"/>
  <c r="H799" i="3"/>
  <c r="G799" i="3"/>
  <c r="F799" i="3"/>
  <c r="D799" i="3"/>
  <c r="C799" i="3"/>
  <c r="H798" i="3"/>
  <c r="G798" i="3"/>
  <c r="F798" i="3"/>
  <c r="D798" i="3"/>
  <c r="C798" i="3"/>
  <c r="H797" i="3"/>
  <c r="G797" i="3"/>
  <c r="F797" i="3"/>
  <c r="D797" i="3"/>
  <c r="C797" i="3" s="1"/>
  <c r="H796" i="3"/>
  <c r="G796" i="3"/>
  <c r="F796" i="3"/>
  <c r="D796" i="3"/>
  <c r="C796" i="3" s="1"/>
  <c r="H795" i="3"/>
  <c r="G795" i="3"/>
  <c r="F795" i="3"/>
  <c r="D795" i="3"/>
  <c r="C795" i="3" s="1"/>
  <c r="H794" i="3"/>
  <c r="G794" i="3"/>
  <c r="F794" i="3"/>
  <c r="D794" i="3"/>
  <c r="C794" i="3"/>
  <c r="H793" i="3"/>
  <c r="G793" i="3"/>
  <c r="F793" i="3"/>
  <c r="D793" i="3"/>
  <c r="C793" i="3" s="1"/>
  <c r="H792" i="3"/>
  <c r="G792" i="3"/>
  <c r="F792" i="3"/>
  <c r="D792" i="3"/>
  <c r="C792" i="3"/>
  <c r="H791" i="3"/>
  <c r="G791" i="3"/>
  <c r="F791" i="3"/>
  <c r="D791" i="3"/>
  <c r="C791" i="3"/>
  <c r="H790" i="3"/>
  <c r="G790" i="3"/>
  <c r="F790" i="3"/>
  <c r="D790" i="3"/>
  <c r="C790" i="3"/>
  <c r="H789" i="3"/>
  <c r="G789" i="3"/>
  <c r="F789" i="3"/>
  <c r="D789" i="3"/>
  <c r="C789" i="3"/>
  <c r="H788" i="3"/>
  <c r="G788" i="3"/>
  <c r="F788" i="3"/>
  <c r="D788" i="3"/>
  <c r="C788" i="3" s="1"/>
  <c r="H787" i="3"/>
  <c r="G787" i="3"/>
  <c r="F787" i="3"/>
  <c r="D787" i="3"/>
  <c r="C787" i="3" s="1"/>
  <c r="H786" i="3"/>
  <c r="G786" i="3"/>
  <c r="F786" i="3"/>
  <c r="D786" i="3"/>
  <c r="C786" i="3" s="1"/>
  <c r="H785" i="3"/>
  <c r="G785" i="3"/>
  <c r="F785" i="3"/>
  <c r="D785" i="3"/>
  <c r="C785" i="3" s="1"/>
  <c r="H784" i="3"/>
  <c r="G784" i="3"/>
  <c r="F784" i="3"/>
  <c r="D784" i="3"/>
  <c r="C784" i="3"/>
  <c r="H783" i="3"/>
  <c r="G783" i="3"/>
  <c r="F783" i="3"/>
  <c r="D783" i="3"/>
  <c r="C783" i="3"/>
  <c r="H782" i="3"/>
  <c r="G782" i="3"/>
  <c r="F782" i="3"/>
  <c r="D782" i="3"/>
  <c r="C782" i="3"/>
  <c r="H781" i="3"/>
  <c r="G781" i="3"/>
  <c r="F781" i="3"/>
  <c r="D781" i="3"/>
  <c r="C781" i="3"/>
  <c r="H780" i="3"/>
  <c r="G780" i="3"/>
  <c r="F780" i="3"/>
  <c r="D780" i="3"/>
  <c r="C780" i="3" s="1"/>
  <c r="H779" i="3"/>
  <c r="G779" i="3"/>
  <c r="F779" i="3"/>
  <c r="D779" i="3"/>
  <c r="C779" i="3" s="1"/>
  <c r="H778" i="3"/>
  <c r="G778" i="3"/>
  <c r="F778" i="3"/>
  <c r="D778" i="3"/>
  <c r="C778" i="3" s="1"/>
  <c r="H777" i="3"/>
  <c r="G777" i="3"/>
  <c r="F777" i="3"/>
  <c r="D777" i="3"/>
  <c r="C777" i="3" s="1"/>
  <c r="H776" i="3"/>
  <c r="G776" i="3"/>
  <c r="F776" i="3"/>
  <c r="D776" i="3"/>
  <c r="C776" i="3"/>
  <c r="H775" i="3"/>
  <c r="G775" i="3"/>
  <c r="F775" i="3"/>
  <c r="D775" i="3"/>
  <c r="C775" i="3"/>
  <c r="H774" i="3"/>
  <c r="G774" i="3"/>
  <c r="F774" i="3"/>
  <c r="D774" i="3"/>
  <c r="C774" i="3"/>
  <c r="H773" i="3"/>
  <c r="G773" i="3"/>
  <c r="F773" i="3"/>
  <c r="D773" i="3"/>
  <c r="C773" i="3"/>
  <c r="H772" i="3"/>
  <c r="G772" i="3"/>
  <c r="F772" i="3"/>
  <c r="D772" i="3"/>
  <c r="C772" i="3" s="1"/>
  <c r="H771" i="3"/>
  <c r="G771" i="3"/>
  <c r="F771" i="3"/>
  <c r="D771" i="3"/>
  <c r="C771" i="3" s="1"/>
  <c r="H770" i="3"/>
  <c r="G770" i="3"/>
  <c r="F770" i="3"/>
  <c r="D770" i="3"/>
  <c r="C770" i="3" s="1"/>
  <c r="H769" i="3"/>
  <c r="G769" i="3"/>
  <c r="F769" i="3"/>
  <c r="D769" i="3"/>
  <c r="C769" i="3" s="1"/>
  <c r="H768" i="3"/>
  <c r="G768" i="3"/>
  <c r="F768" i="3"/>
  <c r="D768" i="3"/>
  <c r="C768" i="3"/>
  <c r="H767" i="3"/>
  <c r="G767" i="3"/>
  <c r="F767" i="3"/>
  <c r="D767" i="3"/>
  <c r="C767" i="3"/>
  <c r="H766" i="3"/>
  <c r="G766" i="3"/>
  <c r="F766" i="3"/>
  <c r="D766" i="3"/>
  <c r="C766" i="3"/>
  <c r="H765" i="3"/>
  <c r="G765" i="3"/>
  <c r="F765" i="3"/>
  <c r="D765" i="3"/>
  <c r="C765" i="3"/>
  <c r="H764" i="3"/>
  <c r="G764" i="3"/>
  <c r="F764" i="3"/>
  <c r="D764" i="3"/>
  <c r="C764" i="3" s="1"/>
  <c r="H763" i="3"/>
  <c r="G763" i="3"/>
  <c r="F763" i="3"/>
  <c r="D763" i="3"/>
  <c r="C763" i="3" s="1"/>
  <c r="H762" i="3"/>
  <c r="G762" i="3"/>
  <c r="F762" i="3"/>
  <c r="D762" i="3"/>
  <c r="C762" i="3" s="1"/>
  <c r="H761" i="3"/>
  <c r="G761" i="3"/>
  <c r="F761" i="3"/>
  <c r="D761" i="3"/>
  <c r="C761" i="3"/>
  <c r="H760" i="3"/>
  <c r="G760" i="3"/>
  <c r="F760" i="3"/>
  <c r="D760" i="3"/>
  <c r="C760" i="3"/>
  <c r="H759" i="3"/>
  <c r="G759" i="3"/>
  <c r="F759" i="3"/>
  <c r="D759" i="3"/>
  <c r="C759" i="3"/>
  <c r="H758" i="3"/>
  <c r="G758" i="3"/>
  <c r="F758" i="3"/>
  <c r="D758" i="3"/>
  <c r="C758" i="3"/>
  <c r="H757" i="3"/>
  <c r="G757" i="3"/>
  <c r="F757" i="3"/>
  <c r="D757" i="3"/>
  <c r="C757" i="3"/>
  <c r="H756" i="3"/>
  <c r="G756" i="3"/>
  <c r="F756" i="3"/>
  <c r="D756" i="3"/>
  <c r="C756" i="3" s="1"/>
  <c r="H755" i="3"/>
  <c r="G755" i="3"/>
  <c r="F755" i="3"/>
  <c r="D755" i="3"/>
  <c r="C755" i="3" s="1"/>
  <c r="H754" i="3"/>
  <c r="G754" i="3"/>
  <c r="F754" i="3"/>
  <c r="D754" i="3"/>
  <c r="C754" i="3" s="1"/>
  <c r="H753" i="3"/>
  <c r="G753" i="3"/>
  <c r="F753" i="3"/>
  <c r="D753" i="3"/>
  <c r="C753" i="3"/>
  <c r="H752" i="3"/>
  <c r="G752" i="3"/>
  <c r="F752" i="3"/>
  <c r="D752" i="3"/>
  <c r="C752" i="3"/>
  <c r="H751" i="3"/>
  <c r="G751" i="3"/>
  <c r="F751" i="3"/>
  <c r="D751" i="3"/>
  <c r="C751" i="3"/>
  <c r="H750" i="3"/>
  <c r="G750" i="3"/>
  <c r="F750" i="3"/>
  <c r="D750" i="3"/>
  <c r="C750" i="3"/>
  <c r="H749" i="3"/>
  <c r="G749" i="3"/>
  <c r="F749" i="3"/>
  <c r="D749" i="3"/>
  <c r="C749" i="3"/>
  <c r="H748" i="3"/>
  <c r="G748" i="3"/>
  <c r="F748" i="3"/>
  <c r="D748" i="3"/>
  <c r="C748" i="3" s="1"/>
  <c r="H747" i="3"/>
  <c r="G747" i="3"/>
  <c r="F747" i="3"/>
  <c r="D747" i="3"/>
  <c r="C747" i="3" s="1"/>
  <c r="H746" i="3"/>
  <c r="G746" i="3"/>
  <c r="F746" i="3"/>
  <c r="D746" i="3"/>
  <c r="C746" i="3" s="1"/>
  <c r="H745" i="3"/>
  <c r="G745" i="3"/>
  <c r="F745" i="3"/>
  <c r="D745" i="3"/>
  <c r="C745" i="3"/>
  <c r="H744" i="3"/>
  <c r="G744" i="3"/>
  <c r="F744" i="3"/>
  <c r="D744" i="3"/>
  <c r="C744" i="3"/>
  <c r="H743" i="3"/>
  <c r="G743" i="3"/>
  <c r="F743" i="3"/>
  <c r="D743" i="3"/>
  <c r="C743" i="3"/>
  <c r="H742" i="3"/>
  <c r="G742" i="3"/>
  <c r="F742" i="3"/>
  <c r="D742" i="3"/>
  <c r="C742" i="3"/>
  <c r="H741" i="3"/>
  <c r="G741" i="3"/>
  <c r="F741" i="3"/>
  <c r="D741" i="3"/>
  <c r="C741" i="3"/>
  <c r="H740" i="3"/>
  <c r="G740" i="3"/>
  <c r="F740" i="3"/>
  <c r="D740" i="3"/>
  <c r="C740" i="3" s="1"/>
  <c r="H739" i="3"/>
  <c r="G739" i="3"/>
  <c r="F739" i="3"/>
  <c r="D739" i="3"/>
  <c r="C739" i="3" s="1"/>
  <c r="H738" i="3"/>
  <c r="G738" i="3"/>
  <c r="F738" i="3"/>
  <c r="D738" i="3"/>
  <c r="C738" i="3" s="1"/>
  <c r="H737" i="3"/>
  <c r="G737" i="3"/>
  <c r="F737" i="3"/>
  <c r="D737" i="3"/>
  <c r="C737" i="3"/>
  <c r="H736" i="3"/>
  <c r="G736" i="3"/>
  <c r="F736" i="3"/>
  <c r="D736" i="3"/>
  <c r="C736" i="3"/>
  <c r="H735" i="3"/>
  <c r="G735" i="3"/>
  <c r="F735" i="3"/>
  <c r="D735" i="3"/>
  <c r="C735" i="3"/>
  <c r="H734" i="3"/>
  <c r="G734" i="3"/>
  <c r="F734" i="3"/>
  <c r="D734" i="3"/>
  <c r="C734" i="3"/>
  <c r="H733" i="3"/>
  <c r="G733" i="3"/>
  <c r="F733" i="3"/>
  <c r="D733" i="3"/>
  <c r="C733" i="3"/>
  <c r="H732" i="3"/>
  <c r="G732" i="3"/>
  <c r="F732" i="3"/>
  <c r="D732" i="3"/>
  <c r="C732" i="3" s="1"/>
  <c r="H731" i="3"/>
  <c r="G731" i="3"/>
  <c r="F731" i="3"/>
  <c r="D731" i="3"/>
  <c r="C731" i="3" s="1"/>
  <c r="H730" i="3"/>
  <c r="G730" i="3"/>
  <c r="F730" i="3"/>
  <c r="D730" i="3"/>
  <c r="C730" i="3" s="1"/>
  <c r="H729" i="3"/>
  <c r="G729" i="3"/>
  <c r="F729" i="3"/>
  <c r="D729" i="3"/>
  <c r="C729" i="3" s="1"/>
  <c r="H728" i="3"/>
  <c r="G728" i="3"/>
  <c r="F728" i="3"/>
  <c r="D728" i="3"/>
  <c r="C728" i="3"/>
  <c r="H727" i="3"/>
  <c r="G727" i="3"/>
  <c r="F727" i="3"/>
  <c r="D727" i="3"/>
  <c r="C727" i="3"/>
  <c r="H726" i="3"/>
  <c r="G726" i="3"/>
  <c r="F726" i="3"/>
  <c r="D726" i="3"/>
  <c r="C726" i="3"/>
  <c r="H725" i="3"/>
  <c r="G725" i="3"/>
  <c r="F725" i="3"/>
  <c r="D725" i="3"/>
  <c r="C725" i="3"/>
  <c r="H724" i="3"/>
  <c r="G724" i="3"/>
  <c r="F724" i="3"/>
  <c r="D724" i="3"/>
  <c r="C724" i="3" s="1"/>
  <c r="H723" i="3"/>
  <c r="G723" i="3"/>
  <c r="F723" i="3"/>
  <c r="D723" i="3"/>
  <c r="C723" i="3" s="1"/>
  <c r="H722" i="3"/>
  <c r="G722" i="3"/>
  <c r="F722" i="3"/>
  <c r="D722" i="3"/>
  <c r="C722" i="3" s="1"/>
  <c r="H721" i="3"/>
  <c r="G721" i="3"/>
  <c r="F721" i="3"/>
  <c r="D721" i="3"/>
  <c r="C721" i="3" s="1"/>
  <c r="H720" i="3"/>
  <c r="G720" i="3"/>
  <c r="F720" i="3"/>
  <c r="D720" i="3"/>
  <c r="C720" i="3"/>
  <c r="H719" i="3"/>
  <c r="G719" i="3"/>
  <c r="F719" i="3"/>
  <c r="D719" i="3"/>
  <c r="C719" i="3"/>
  <c r="H718" i="3"/>
  <c r="G718" i="3"/>
  <c r="F718" i="3"/>
  <c r="D718" i="3"/>
  <c r="C718" i="3"/>
  <c r="H717" i="3"/>
  <c r="G717" i="3"/>
  <c r="F717" i="3"/>
  <c r="D717" i="3"/>
  <c r="C717" i="3"/>
  <c r="H716" i="3"/>
  <c r="G716" i="3"/>
  <c r="F716" i="3"/>
  <c r="D716" i="3"/>
  <c r="C716" i="3" s="1"/>
  <c r="H715" i="3"/>
  <c r="G715" i="3"/>
  <c r="F715" i="3"/>
  <c r="D715" i="3"/>
  <c r="C715" i="3" s="1"/>
  <c r="H714" i="3"/>
  <c r="G714" i="3"/>
  <c r="F714" i="3"/>
  <c r="D714" i="3"/>
  <c r="C714" i="3" s="1"/>
  <c r="H713" i="3"/>
  <c r="G713" i="3"/>
  <c r="F713" i="3"/>
  <c r="D713" i="3"/>
  <c r="C713" i="3" s="1"/>
  <c r="H712" i="3"/>
  <c r="G712" i="3"/>
  <c r="F712" i="3"/>
  <c r="D712" i="3"/>
  <c r="C712" i="3"/>
  <c r="H711" i="3"/>
  <c r="G711" i="3"/>
  <c r="F711" i="3"/>
  <c r="D711" i="3"/>
  <c r="C711" i="3"/>
  <c r="H710" i="3"/>
  <c r="G710" i="3"/>
  <c r="F710" i="3"/>
  <c r="D710" i="3"/>
  <c r="C710" i="3"/>
  <c r="H709" i="3"/>
  <c r="G709" i="3"/>
  <c r="F709" i="3"/>
  <c r="D709" i="3"/>
  <c r="C709" i="3"/>
  <c r="H708" i="3"/>
  <c r="G708" i="3"/>
  <c r="F708" i="3"/>
  <c r="D708" i="3"/>
  <c r="C708" i="3" s="1"/>
  <c r="H707" i="3"/>
  <c r="G707" i="3"/>
  <c r="F707" i="3"/>
  <c r="D707" i="3"/>
  <c r="C707" i="3" s="1"/>
  <c r="H706" i="3"/>
  <c r="G706" i="3"/>
  <c r="F706" i="3"/>
  <c r="D706" i="3"/>
  <c r="C706" i="3" s="1"/>
  <c r="H705" i="3"/>
  <c r="G705" i="3"/>
  <c r="F705" i="3"/>
  <c r="D705" i="3"/>
  <c r="C705" i="3" s="1"/>
  <c r="H704" i="3"/>
  <c r="G704" i="3"/>
  <c r="F704" i="3"/>
  <c r="D704" i="3"/>
  <c r="C704" i="3"/>
  <c r="H703" i="3"/>
  <c r="G703" i="3"/>
  <c r="F703" i="3"/>
  <c r="D703" i="3"/>
  <c r="C703" i="3"/>
  <c r="H702" i="3"/>
  <c r="G702" i="3"/>
  <c r="F702" i="3"/>
  <c r="D702" i="3"/>
  <c r="C702" i="3"/>
  <c r="H701" i="3"/>
  <c r="G701" i="3"/>
  <c r="F701" i="3"/>
  <c r="D701" i="3"/>
  <c r="C701" i="3"/>
  <c r="H700" i="3"/>
  <c r="G700" i="3"/>
  <c r="F700" i="3"/>
  <c r="D700" i="3"/>
  <c r="C700" i="3" s="1"/>
  <c r="H699" i="3"/>
  <c r="G699" i="3"/>
  <c r="F699" i="3"/>
  <c r="D699" i="3"/>
  <c r="C699" i="3" s="1"/>
  <c r="H698" i="3"/>
  <c r="G698" i="3"/>
  <c r="F698" i="3"/>
  <c r="D698" i="3"/>
  <c r="C698" i="3" s="1"/>
  <c r="H697" i="3"/>
  <c r="G697" i="3"/>
  <c r="F697" i="3"/>
  <c r="D697" i="3"/>
  <c r="C697" i="3" s="1"/>
  <c r="H696" i="3"/>
  <c r="G696" i="3"/>
  <c r="F696" i="3"/>
  <c r="D696" i="3"/>
  <c r="C696" i="3"/>
  <c r="H695" i="3"/>
  <c r="G695" i="3"/>
  <c r="F695" i="3"/>
  <c r="D695" i="3"/>
  <c r="C695" i="3"/>
  <c r="H694" i="3"/>
  <c r="G694" i="3"/>
  <c r="F694" i="3"/>
  <c r="D694" i="3"/>
  <c r="C694" i="3"/>
  <c r="H693" i="3"/>
  <c r="G693" i="3"/>
  <c r="F693" i="3"/>
  <c r="D693" i="3"/>
  <c r="C693" i="3"/>
  <c r="H692" i="3"/>
  <c r="G692" i="3"/>
  <c r="F692" i="3"/>
  <c r="D692" i="3"/>
  <c r="C692" i="3" s="1"/>
  <c r="H691" i="3"/>
  <c r="G691" i="3"/>
  <c r="F691" i="3"/>
  <c r="D691" i="3"/>
  <c r="C691" i="3" s="1"/>
  <c r="H690" i="3"/>
  <c r="G690" i="3"/>
  <c r="F690" i="3"/>
  <c r="D690" i="3"/>
  <c r="C690" i="3" s="1"/>
  <c r="H689" i="3"/>
  <c r="G689" i="3"/>
  <c r="F689" i="3"/>
  <c r="D689" i="3"/>
  <c r="C689" i="3" s="1"/>
  <c r="H688" i="3"/>
  <c r="G688" i="3"/>
  <c r="F688" i="3"/>
  <c r="D688" i="3"/>
  <c r="C688" i="3"/>
  <c r="H687" i="3"/>
  <c r="G687" i="3"/>
  <c r="F687" i="3"/>
  <c r="D687" i="3"/>
  <c r="C687" i="3"/>
  <c r="H686" i="3"/>
  <c r="G686" i="3"/>
  <c r="F686" i="3"/>
  <c r="D686" i="3"/>
  <c r="C686" i="3"/>
  <c r="H685" i="3"/>
  <c r="G685" i="3"/>
  <c r="F685" i="3"/>
  <c r="D685" i="3"/>
  <c r="C685" i="3"/>
  <c r="H684" i="3"/>
  <c r="G684" i="3"/>
  <c r="F684" i="3"/>
  <c r="D684" i="3"/>
  <c r="C684" i="3" s="1"/>
  <c r="H683" i="3"/>
  <c r="G683" i="3"/>
  <c r="F683" i="3"/>
  <c r="D683" i="3"/>
  <c r="C683" i="3" s="1"/>
  <c r="H682" i="3"/>
  <c r="G682" i="3"/>
  <c r="F682" i="3"/>
  <c r="D682" i="3"/>
  <c r="C682" i="3" s="1"/>
  <c r="H681" i="3"/>
  <c r="G681" i="3"/>
  <c r="F681" i="3"/>
  <c r="D681" i="3"/>
  <c r="C681" i="3" s="1"/>
  <c r="H680" i="3"/>
  <c r="G680" i="3"/>
  <c r="F680" i="3"/>
  <c r="D680" i="3"/>
  <c r="C680" i="3"/>
  <c r="H679" i="3"/>
  <c r="G679" i="3"/>
  <c r="F679" i="3"/>
  <c r="D679" i="3"/>
  <c r="C679" i="3"/>
  <c r="H678" i="3"/>
  <c r="G678" i="3"/>
  <c r="F678" i="3"/>
  <c r="D678" i="3"/>
  <c r="C678" i="3"/>
  <c r="H677" i="3"/>
  <c r="G677" i="3"/>
  <c r="F677" i="3"/>
  <c r="D677" i="3"/>
  <c r="C677" i="3"/>
  <c r="H676" i="3"/>
  <c r="G676" i="3"/>
  <c r="F676" i="3"/>
  <c r="D676" i="3"/>
  <c r="C676" i="3" s="1"/>
  <c r="H675" i="3"/>
  <c r="G675" i="3"/>
  <c r="F675" i="3"/>
  <c r="D675" i="3"/>
  <c r="C675" i="3" s="1"/>
  <c r="H674" i="3"/>
  <c r="G674" i="3"/>
  <c r="F674" i="3"/>
  <c r="D674" i="3"/>
  <c r="C674" i="3" s="1"/>
  <c r="H673" i="3"/>
  <c r="G673" i="3"/>
  <c r="F673" i="3"/>
  <c r="D673" i="3"/>
  <c r="C673" i="3" s="1"/>
  <c r="H672" i="3"/>
  <c r="G672" i="3"/>
  <c r="F672" i="3"/>
  <c r="D672" i="3"/>
  <c r="C672" i="3" s="1"/>
  <c r="H671" i="3"/>
  <c r="G671" i="3"/>
  <c r="F671" i="3"/>
  <c r="D671" i="3"/>
  <c r="C671" i="3"/>
  <c r="H670" i="3"/>
  <c r="G670" i="3"/>
  <c r="F670" i="3"/>
  <c r="D670" i="3"/>
  <c r="C670" i="3"/>
  <c r="H669" i="3"/>
  <c r="G669" i="3"/>
  <c r="F669" i="3"/>
  <c r="D669" i="3"/>
  <c r="C669" i="3"/>
  <c r="H668" i="3"/>
  <c r="G668" i="3"/>
  <c r="F668" i="3"/>
  <c r="D668" i="3"/>
  <c r="C668" i="3" s="1"/>
  <c r="H667" i="3"/>
  <c r="G667" i="3"/>
  <c r="F667" i="3"/>
  <c r="D667" i="3"/>
  <c r="C667" i="3" s="1"/>
  <c r="H666" i="3"/>
  <c r="G666" i="3"/>
  <c r="F666" i="3"/>
  <c r="D666" i="3"/>
  <c r="C666" i="3" s="1"/>
  <c r="H665" i="3"/>
  <c r="G665" i="3"/>
  <c r="F665" i="3"/>
  <c r="D665" i="3"/>
  <c r="C665" i="3" s="1"/>
  <c r="H664" i="3"/>
  <c r="G664" i="3"/>
  <c r="F664" i="3"/>
  <c r="D664" i="3"/>
  <c r="C664" i="3" s="1"/>
  <c r="H663" i="3"/>
  <c r="G663" i="3"/>
  <c r="F663" i="3"/>
  <c r="D663" i="3"/>
  <c r="C663" i="3"/>
  <c r="H662" i="3"/>
  <c r="G662" i="3"/>
  <c r="F662" i="3"/>
  <c r="D662" i="3"/>
  <c r="C662" i="3"/>
  <c r="H661" i="3"/>
  <c r="G661" i="3"/>
  <c r="F661" i="3"/>
  <c r="D661" i="3"/>
  <c r="C661" i="3"/>
  <c r="H660" i="3"/>
  <c r="G660" i="3"/>
  <c r="F660" i="3"/>
  <c r="D660" i="3"/>
  <c r="C660" i="3" s="1"/>
  <c r="H659" i="3"/>
  <c r="G659" i="3"/>
  <c r="F659" i="3"/>
  <c r="D659" i="3"/>
  <c r="C659" i="3" s="1"/>
  <c r="H658" i="3"/>
  <c r="G658" i="3"/>
  <c r="F658" i="3"/>
  <c r="D658" i="3"/>
  <c r="C658" i="3" s="1"/>
  <c r="H657" i="3"/>
  <c r="G657" i="3"/>
  <c r="F657" i="3"/>
  <c r="D657" i="3"/>
  <c r="C657" i="3" s="1"/>
  <c r="H656" i="3"/>
  <c r="G656" i="3"/>
  <c r="F656" i="3"/>
  <c r="D656" i="3"/>
  <c r="C656" i="3" s="1"/>
  <c r="H655" i="3"/>
  <c r="G655" i="3"/>
  <c r="F655" i="3"/>
  <c r="D655" i="3"/>
  <c r="C655" i="3"/>
  <c r="H654" i="3"/>
  <c r="G654" i="3"/>
  <c r="F654" i="3"/>
  <c r="D654" i="3"/>
  <c r="C654" i="3"/>
  <c r="H653" i="3"/>
  <c r="G653" i="3"/>
  <c r="F653" i="3"/>
  <c r="D653" i="3"/>
  <c r="C653" i="3"/>
  <c r="H652" i="3"/>
  <c r="G652" i="3"/>
  <c r="F652" i="3"/>
  <c r="D652" i="3"/>
  <c r="C652" i="3" s="1"/>
  <c r="H651" i="3"/>
  <c r="G651" i="3"/>
  <c r="F651" i="3"/>
  <c r="D651" i="3"/>
  <c r="C651" i="3" s="1"/>
  <c r="H650" i="3"/>
  <c r="G650" i="3"/>
  <c r="F650" i="3"/>
  <c r="D650" i="3"/>
  <c r="C650" i="3" s="1"/>
  <c r="H649" i="3"/>
  <c r="G649" i="3"/>
  <c r="F649" i="3"/>
  <c r="D649" i="3"/>
  <c r="C649" i="3" s="1"/>
  <c r="H648" i="3"/>
  <c r="G648" i="3"/>
  <c r="F648" i="3"/>
  <c r="D648" i="3"/>
  <c r="C648" i="3" s="1"/>
  <c r="H647" i="3"/>
  <c r="G647" i="3"/>
  <c r="F647" i="3"/>
  <c r="D647" i="3"/>
  <c r="C647" i="3"/>
  <c r="H646" i="3"/>
  <c r="G646" i="3"/>
  <c r="F646" i="3"/>
  <c r="D646" i="3"/>
  <c r="C646" i="3"/>
  <c r="H645" i="3"/>
  <c r="G645" i="3"/>
  <c r="F645" i="3"/>
  <c r="D645" i="3"/>
  <c r="C645" i="3"/>
  <c r="H644" i="3"/>
  <c r="G644" i="3"/>
  <c r="F644" i="3"/>
  <c r="D644" i="3"/>
  <c r="C644" i="3" s="1"/>
  <c r="H643" i="3"/>
  <c r="G643" i="3"/>
  <c r="F643" i="3"/>
  <c r="D643" i="3"/>
  <c r="C643" i="3" s="1"/>
  <c r="H642" i="3"/>
  <c r="G642" i="3"/>
  <c r="F642" i="3"/>
  <c r="D642" i="3"/>
  <c r="C642" i="3" s="1"/>
  <c r="H641" i="3"/>
  <c r="G641" i="3"/>
  <c r="F641" i="3"/>
  <c r="D641" i="3"/>
  <c r="C641" i="3" s="1"/>
  <c r="H640" i="3"/>
  <c r="G640" i="3"/>
  <c r="F640" i="3"/>
  <c r="D640" i="3"/>
  <c r="C640" i="3" s="1"/>
  <c r="H639" i="3"/>
  <c r="G639" i="3"/>
  <c r="F639" i="3"/>
  <c r="D639" i="3"/>
  <c r="C639" i="3"/>
  <c r="H638" i="3"/>
  <c r="G638" i="3"/>
  <c r="F638" i="3"/>
  <c r="D638" i="3"/>
  <c r="C638" i="3"/>
  <c r="H637" i="3"/>
  <c r="G637" i="3"/>
  <c r="F637" i="3"/>
  <c r="D637" i="3"/>
  <c r="C637" i="3"/>
  <c r="H636" i="3"/>
  <c r="G636" i="3"/>
  <c r="F636" i="3"/>
  <c r="D636" i="3"/>
  <c r="C636" i="3" s="1"/>
  <c r="H635" i="3"/>
  <c r="G635" i="3"/>
  <c r="F635" i="3"/>
  <c r="D635" i="3"/>
  <c r="C635" i="3" s="1"/>
  <c r="H634" i="3"/>
  <c r="G634" i="3"/>
  <c r="F634" i="3"/>
  <c r="D634" i="3"/>
  <c r="C634" i="3" s="1"/>
  <c r="H633" i="3"/>
  <c r="G633" i="3"/>
  <c r="F633" i="3"/>
  <c r="D633" i="3"/>
  <c r="C633" i="3" s="1"/>
  <c r="H632" i="3"/>
  <c r="G632" i="3"/>
  <c r="F632" i="3"/>
  <c r="D632" i="3"/>
  <c r="C632" i="3" s="1"/>
  <c r="H631" i="3"/>
  <c r="G631" i="3"/>
  <c r="F631" i="3"/>
  <c r="D631" i="3"/>
  <c r="C631" i="3"/>
  <c r="H630" i="3"/>
  <c r="G630" i="3"/>
  <c r="F630" i="3"/>
  <c r="D630" i="3"/>
  <c r="C630" i="3"/>
  <c r="H629" i="3"/>
  <c r="G629" i="3"/>
  <c r="F629" i="3"/>
  <c r="D629" i="3"/>
  <c r="C629" i="3"/>
  <c r="H628" i="3"/>
  <c r="G628" i="3"/>
  <c r="F628" i="3"/>
  <c r="D628" i="3"/>
  <c r="C628" i="3" s="1"/>
  <c r="H627" i="3"/>
  <c r="G627" i="3"/>
  <c r="F627" i="3"/>
  <c r="D627" i="3"/>
  <c r="C627" i="3" s="1"/>
  <c r="H626" i="3"/>
  <c r="G626" i="3"/>
  <c r="F626" i="3"/>
  <c r="D626" i="3"/>
  <c r="C626" i="3" s="1"/>
  <c r="H625" i="3"/>
  <c r="G625" i="3"/>
  <c r="F625" i="3"/>
  <c r="D625" i="3"/>
  <c r="C625" i="3" s="1"/>
  <c r="H624" i="3"/>
  <c r="G624" i="3"/>
  <c r="F624" i="3"/>
  <c r="D624" i="3"/>
  <c r="C624" i="3" s="1"/>
  <c r="H623" i="3"/>
  <c r="G623" i="3"/>
  <c r="F623" i="3"/>
  <c r="D623" i="3"/>
  <c r="C623" i="3"/>
  <c r="H622" i="3"/>
  <c r="G622" i="3"/>
  <c r="F622" i="3"/>
  <c r="D622" i="3"/>
  <c r="C622" i="3"/>
  <c r="H621" i="3"/>
  <c r="G621" i="3"/>
  <c r="F621" i="3"/>
  <c r="D621" i="3"/>
  <c r="C621" i="3"/>
  <c r="H620" i="3"/>
  <c r="G620" i="3"/>
  <c r="F620" i="3"/>
  <c r="D620" i="3"/>
  <c r="C620" i="3" s="1"/>
  <c r="H619" i="3"/>
  <c r="G619" i="3"/>
  <c r="F619" i="3"/>
  <c r="D619" i="3"/>
  <c r="C619" i="3" s="1"/>
  <c r="H618" i="3"/>
  <c r="G618" i="3"/>
  <c r="F618" i="3"/>
  <c r="D618" i="3"/>
  <c r="C618" i="3" s="1"/>
  <c r="H617" i="3"/>
  <c r="G617" i="3"/>
  <c r="F617" i="3"/>
  <c r="D617" i="3"/>
  <c r="C617" i="3" s="1"/>
  <c r="H616" i="3"/>
  <c r="G616" i="3"/>
  <c r="F616" i="3"/>
  <c r="D616" i="3"/>
  <c r="C616" i="3" s="1"/>
  <c r="H615" i="3"/>
  <c r="G615" i="3"/>
  <c r="F615" i="3"/>
  <c r="D615" i="3"/>
  <c r="C615" i="3"/>
  <c r="H614" i="3"/>
  <c r="G614" i="3"/>
  <c r="F614" i="3"/>
  <c r="D614" i="3"/>
  <c r="C614" i="3"/>
  <c r="H613" i="3"/>
  <c r="G613" i="3"/>
  <c r="F613" i="3"/>
  <c r="D613" i="3"/>
  <c r="C613" i="3"/>
  <c r="H612" i="3"/>
  <c r="G612" i="3"/>
  <c r="F612" i="3"/>
  <c r="D612" i="3"/>
  <c r="C612" i="3" s="1"/>
  <c r="H611" i="3"/>
  <c r="G611" i="3"/>
  <c r="F611" i="3"/>
  <c r="D611" i="3"/>
  <c r="C611" i="3" s="1"/>
  <c r="H610" i="3"/>
  <c r="G610" i="3"/>
  <c r="F610" i="3"/>
  <c r="D610" i="3"/>
  <c r="C610" i="3" s="1"/>
  <c r="H609" i="3"/>
  <c r="G609" i="3"/>
  <c r="F609" i="3"/>
  <c r="D609" i="3"/>
  <c r="C609" i="3" s="1"/>
  <c r="H608" i="3"/>
  <c r="G608" i="3"/>
  <c r="F608" i="3"/>
  <c r="D608" i="3"/>
  <c r="C608" i="3" s="1"/>
  <c r="H607" i="3"/>
  <c r="G607" i="3"/>
  <c r="F607" i="3"/>
  <c r="D607" i="3"/>
  <c r="C607" i="3"/>
  <c r="H606" i="3"/>
  <c r="G606" i="3"/>
  <c r="F606" i="3"/>
  <c r="D606" i="3"/>
  <c r="C606" i="3"/>
  <c r="H605" i="3"/>
  <c r="G605" i="3"/>
  <c r="F605" i="3"/>
  <c r="D605" i="3"/>
  <c r="C605" i="3"/>
  <c r="H604" i="3"/>
  <c r="G604" i="3"/>
  <c r="F604" i="3"/>
  <c r="D604" i="3"/>
  <c r="C604" i="3" s="1"/>
  <c r="H603" i="3"/>
  <c r="G603" i="3"/>
  <c r="F603" i="3"/>
  <c r="D603" i="3"/>
  <c r="C603" i="3" s="1"/>
  <c r="H602" i="3"/>
  <c r="G602" i="3"/>
  <c r="F602" i="3"/>
  <c r="D602" i="3"/>
  <c r="C602" i="3" s="1"/>
  <c r="H601" i="3"/>
  <c r="G601" i="3"/>
  <c r="F601" i="3"/>
  <c r="D601" i="3"/>
  <c r="C601" i="3" s="1"/>
  <c r="H600" i="3"/>
  <c r="G600" i="3"/>
  <c r="F600" i="3"/>
  <c r="D600" i="3"/>
  <c r="C600" i="3" s="1"/>
  <c r="H599" i="3"/>
  <c r="G599" i="3"/>
  <c r="F599" i="3"/>
  <c r="D599" i="3"/>
  <c r="C599" i="3"/>
  <c r="H598" i="3"/>
  <c r="G598" i="3"/>
  <c r="F598" i="3"/>
  <c r="D598" i="3"/>
  <c r="C598" i="3"/>
  <c r="H597" i="3"/>
  <c r="G597" i="3"/>
  <c r="F597" i="3"/>
  <c r="D597" i="3"/>
  <c r="C597" i="3"/>
  <c r="H596" i="3"/>
  <c r="G596" i="3"/>
  <c r="F596" i="3"/>
  <c r="D596" i="3"/>
  <c r="C596" i="3" s="1"/>
  <c r="H595" i="3"/>
  <c r="G595" i="3"/>
  <c r="F595" i="3"/>
  <c r="D595" i="3"/>
  <c r="C595" i="3" s="1"/>
  <c r="H594" i="3"/>
  <c r="G594" i="3"/>
  <c r="F594" i="3"/>
  <c r="D594" i="3"/>
  <c r="C594" i="3" s="1"/>
  <c r="H593" i="3"/>
  <c r="G593" i="3"/>
  <c r="F593" i="3"/>
  <c r="D593" i="3"/>
  <c r="C593" i="3" s="1"/>
  <c r="H592" i="3"/>
  <c r="G592" i="3"/>
  <c r="F592" i="3"/>
  <c r="D592" i="3"/>
  <c r="C592" i="3" s="1"/>
  <c r="H591" i="3"/>
  <c r="G591" i="3"/>
  <c r="F591" i="3"/>
  <c r="D591" i="3"/>
  <c r="C591" i="3"/>
  <c r="H590" i="3"/>
  <c r="G590" i="3"/>
  <c r="F590" i="3"/>
  <c r="D590" i="3"/>
  <c r="C590" i="3"/>
  <c r="H589" i="3"/>
  <c r="G589" i="3"/>
  <c r="F589" i="3"/>
  <c r="D589" i="3"/>
  <c r="C589" i="3"/>
  <c r="H588" i="3"/>
  <c r="G588" i="3"/>
  <c r="F588" i="3"/>
  <c r="D588" i="3"/>
  <c r="C588" i="3" s="1"/>
  <c r="H587" i="3"/>
  <c r="G587" i="3"/>
  <c r="F587" i="3"/>
  <c r="D587" i="3"/>
  <c r="C587" i="3" s="1"/>
  <c r="H586" i="3"/>
  <c r="G586" i="3"/>
  <c r="F586" i="3"/>
  <c r="D586" i="3"/>
  <c r="C586" i="3" s="1"/>
  <c r="H585" i="3"/>
  <c r="G585" i="3"/>
  <c r="F585" i="3"/>
  <c r="D585" i="3"/>
  <c r="C585" i="3" s="1"/>
  <c r="H584" i="3"/>
  <c r="G584" i="3"/>
  <c r="F584" i="3"/>
  <c r="D584" i="3"/>
  <c r="C584" i="3" s="1"/>
  <c r="H583" i="3"/>
  <c r="G583" i="3"/>
  <c r="F583" i="3"/>
  <c r="D583" i="3"/>
  <c r="C583" i="3"/>
  <c r="H582" i="3"/>
  <c r="G582" i="3"/>
  <c r="F582" i="3"/>
  <c r="D582" i="3"/>
  <c r="C582" i="3"/>
  <c r="H581" i="3"/>
  <c r="G581" i="3"/>
  <c r="F581" i="3"/>
  <c r="D581" i="3"/>
  <c r="C581" i="3"/>
  <c r="H580" i="3"/>
  <c r="G580" i="3"/>
  <c r="F580" i="3"/>
  <c r="D580" i="3"/>
  <c r="C580" i="3" s="1"/>
  <c r="H579" i="3"/>
  <c r="G579" i="3"/>
  <c r="F579" i="3"/>
  <c r="D579" i="3"/>
  <c r="C579" i="3" s="1"/>
  <c r="H578" i="3"/>
  <c r="G578" i="3"/>
  <c r="F578" i="3"/>
  <c r="D578" i="3"/>
  <c r="C578" i="3" s="1"/>
  <c r="H577" i="3"/>
  <c r="G577" i="3"/>
  <c r="F577" i="3"/>
  <c r="D577" i="3"/>
  <c r="C577" i="3" s="1"/>
  <c r="H576" i="3"/>
  <c r="G576" i="3"/>
  <c r="F576" i="3"/>
  <c r="D576" i="3"/>
  <c r="C576" i="3" s="1"/>
  <c r="H575" i="3"/>
  <c r="G575" i="3"/>
  <c r="F575" i="3"/>
  <c r="D575" i="3"/>
  <c r="C575" i="3"/>
  <c r="H574" i="3"/>
  <c r="G574" i="3"/>
  <c r="F574" i="3"/>
  <c r="D574" i="3"/>
  <c r="C574" i="3"/>
  <c r="H573" i="3"/>
  <c r="G573" i="3"/>
  <c r="F573" i="3"/>
  <c r="D573" i="3"/>
  <c r="C573" i="3"/>
  <c r="H572" i="3"/>
  <c r="G572" i="3"/>
  <c r="F572" i="3"/>
  <c r="D572" i="3"/>
  <c r="C572" i="3" s="1"/>
  <c r="H571" i="3"/>
  <c r="G571" i="3"/>
  <c r="F571" i="3"/>
  <c r="D571" i="3"/>
  <c r="C571" i="3" s="1"/>
  <c r="H570" i="3"/>
  <c r="G570" i="3"/>
  <c r="F570" i="3"/>
  <c r="D570" i="3"/>
  <c r="C570" i="3" s="1"/>
  <c r="H569" i="3"/>
  <c r="G569" i="3"/>
  <c r="F569" i="3"/>
  <c r="D569" i="3"/>
  <c r="C569" i="3" s="1"/>
  <c r="H568" i="3"/>
  <c r="G568" i="3"/>
  <c r="F568" i="3"/>
  <c r="D568" i="3"/>
  <c r="C568" i="3" s="1"/>
  <c r="H567" i="3"/>
  <c r="G567" i="3"/>
  <c r="F567" i="3"/>
  <c r="D567" i="3"/>
  <c r="C567" i="3"/>
  <c r="H566" i="3"/>
  <c r="G566" i="3"/>
  <c r="F566" i="3"/>
  <c r="D566" i="3"/>
  <c r="C566" i="3"/>
  <c r="H565" i="3"/>
  <c r="G565" i="3"/>
  <c r="F565" i="3"/>
  <c r="D565" i="3"/>
  <c r="C565" i="3"/>
  <c r="H564" i="3"/>
  <c r="G564" i="3"/>
  <c r="F564" i="3"/>
  <c r="D564" i="3"/>
  <c r="C564" i="3" s="1"/>
  <c r="H563" i="3"/>
  <c r="G563" i="3"/>
  <c r="F563" i="3"/>
  <c r="D563" i="3"/>
  <c r="C563" i="3" s="1"/>
  <c r="H562" i="3"/>
  <c r="G562" i="3"/>
  <c r="F562" i="3"/>
  <c r="D562" i="3"/>
  <c r="C562" i="3" s="1"/>
  <c r="H561" i="3"/>
  <c r="G561" i="3"/>
  <c r="F561" i="3"/>
  <c r="D561" i="3"/>
  <c r="C561" i="3" s="1"/>
  <c r="H560" i="3"/>
  <c r="G560" i="3"/>
  <c r="F560" i="3"/>
  <c r="D560" i="3"/>
  <c r="C560" i="3" s="1"/>
  <c r="H559" i="3"/>
  <c r="G559" i="3"/>
  <c r="F559" i="3"/>
  <c r="D559" i="3"/>
  <c r="C559" i="3"/>
  <c r="H558" i="3"/>
  <c r="G558" i="3"/>
  <c r="F558" i="3"/>
  <c r="D558" i="3"/>
  <c r="C558" i="3"/>
  <c r="H557" i="3"/>
  <c r="G557" i="3"/>
  <c r="F557" i="3"/>
  <c r="D557" i="3"/>
  <c r="C557" i="3"/>
  <c r="H556" i="3"/>
  <c r="G556" i="3"/>
  <c r="F556" i="3"/>
  <c r="D556" i="3"/>
  <c r="C556" i="3" s="1"/>
  <c r="H555" i="3"/>
  <c r="G555" i="3"/>
  <c r="F555" i="3"/>
  <c r="D555" i="3"/>
  <c r="C555" i="3" s="1"/>
  <c r="H554" i="3"/>
  <c r="G554" i="3"/>
  <c r="F554" i="3"/>
  <c r="D554" i="3"/>
  <c r="C554" i="3" s="1"/>
  <c r="H553" i="3"/>
  <c r="G553" i="3"/>
  <c r="F553" i="3"/>
  <c r="D553" i="3"/>
  <c r="C553" i="3" s="1"/>
  <c r="H552" i="3"/>
  <c r="G552" i="3"/>
  <c r="F552" i="3"/>
  <c r="D552" i="3"/>
  <c r="C552" i="3" s="1"/>
  <c r="H551" i="3"/>
  <c r="G551" i="3"/>
  <c r="F551" i="3"/>
  <c r="D551" i="3"/>
  <c r="C551" i="3"/>
  <c r="H550" i="3"/>
  <c r="G550" i="3"/>
  <c r="F550" i="3"/>
  <c r="D550" i="3"/>
  <c r="C550" i="3"/>
  <c r="H549" i="3"/>
  <c r="G549" i="3"/>
  <c r="F549" i="3"/>
  <c r="D549" i="3"/>
  <c r="C549" i="3"/>
  <c r="H548" i="3"/>
  <c r="G548" i="3"/>
  <c r="F548" i="3"/>
  <c r="D548" i="3"/>
  <c r="C548" i="3" s="1"/>
  <c r="H547" i="3"/>
  <c r="G547" i="3"/>
  <c r="F547" i="3"/>
  <c r="D547" i="3"/>
  <c r="C547" i="3" s="1"/>
  <c r="H546" i="3"/>
  <c r="G546" i="3"/>
  <c r="F546" i="3"/>
  <c r="D546" i="3"/>
  <c r="C546" i="3" s="1"/>
  <c r="H545" i="3"/>
  <c r="G545" i="3"/>
  <c r="F545" i="3"/>
  <c r="D545" i="3"/>
  <c r="C545" i="3" s="1"/>
  <c r="H544" i="3"/>
  <c r="G544" i="3"/>
  <c r="F544" i="3"/>
  <c r="D544" i="3"/>
  <c r="C544" i="3" s="1"/>
  <c r="H543" i="3"/>
  <c r="G543" i="3"/>
  <c r="F543" i="3"/>
  <c r="D543" i="3"/>
  <c r="C543" i="3"/>
  <c r="H542" i="3"/>
  <c r="G542" i="3"/>
  <c r="F542" i="3"/>
  <c r="D542" i="3"/>
  <c r="C542" i="3"/>
  <c r="H541" i="3"/>
  <c r="G541" i="3"/>
  <c r="F541" i="3"/>
  <c r="D541" i="3"/>
  <c r="C541" i="3"/>
  <c r="H540" i="3"/>
  <c r="G540" i="3"/>
  <c r="F540" i="3"/>
  <c r="D540" i="3"/>
  <c r="C540" i="3" s="1"/>
  <c r="H539" i="3"/>
  <c r="G539" i="3"/>
  <c r="F539" i="3"/>
  <c r="D539" i="3"/>
  <c r="C539" i="3" s="1"/>
  <c r="H538" i="3"/>
  <c r="G538" i="3"/>
  <c r="F538" i="3"/>
  <c r="D538" i="3"/>
  <c r="C538" i="3" s="1"/>
  <c r="H537" i="3"/>
  <c r="G537" i="3"/>
  <c r="F537" i="3"/>
  <c r="D537" i="3"/>
  <c r="C537" i="3" s="1"/>
  <c r="H536" i="3"/>
  <c r="G536" i="3"/>
  <c r="F536" i="3"/>
  <c r="D536" i="3"/>
  <c r="C536" i="3" s="1"/>
  <c r="H535" i="3"/>
  <c r="G535" i="3"/>
  <c r="F535" i="3"/>
  <c r="D535" i="3"/>
  <c r="C535" i="3"/>
  <c r="H534" i="3"/>
  <c r="G534" i="3"/>
  <c r="F534" i="3"/>
  <c r="D534" i="3"/>
  <c r="C534" i="3"/>
  <c r="H533" i="3"/>
  <c r="G533" i="3"/>
  <c r="F533" i="3"/>
  <c r="D533" i="3"/>
  <c r="C533" i="3"/>
  <c r="H532" i="3"/>
  <c r="G532" i="3"/>
  <c r="F532" i="3"/>
  <c r="D532" i="3"/>
  <c r="C532" i="3" s="1"/>
  <c r="H531" i="3"/>
  <c r="G531" i="3"/>
  <c r="F531" i="3"/>
  <c r="D531" i="3"/>
  <c r="C531" i="3"/>
  <c r="H530" i="3"/>
  <c r="G530" i="3"/>
  <c r="F530" i="3"/>
  <c r="D530" i="3"/>
  <c r="C530" i="3" s="1"/>
  <c r="H529" i="3"/>
  <c r="G529" i="3"/>
  <c r="F529" i="3"/>
  <c r="D529" i="3"/>
  <c r="C529" i="3" s="1"/>
  <c r="H528" i="3"/>
  <c r="G528" i="3"/>
  <c r="F528" i="3"/>
  <c r="D528" i="3"/>
  <c r="C528" i="3" s="1"/>
  <c r="H527" i="3"/>
  <c r="G527" i="3"/>
  <c r="F527" i="3"/>
  <c r="D527" i="3"/>
  <c r="C527" i="3"/>
  <c r="H526" i="3"/>
  <c r="G526" i="3"/>
  <c r="F526" i="3"/>
  <c r="D526" i="3"/>
  <c r="C526" i="3"/>
  <c r="H525" i="3"/>
  <c r="G525" i="3"/>
  <c r="F525" i="3"/>
  <c r="D525" i="3"/>
  <c r="C525" i="3"/>
  <c r="H524" i="3"/>
  <c r="G524" i="3"/>
  <c r="F524" i="3"/>
  <c r="D524" i="3"/>
  <c r="C524" i="3"/>
  <c r="H523" i="3"/>
  <c r="G523" i="3"/>
  <c r="F523" i="3"/>
  <c r="D523" i="3"/>
  <c r="C523" i="3" s="1"/>
  <c r="H522" i="3"/>
  <c r="G522" i="3"/>
  <c r="F522" i="3"/>
  <c r="D522" i="3"/>
  <c r="C522" i="3" s="1"/>
  <c r="H521" i="3"/>
  <c r="G521" i="3"/>
  <c r="F521" i="3"/>
  <c r="D521" i="3"/>
  <c r="C521" i="3" s="1"/>
  <c r="H520" i="3"/>
  <c r="G520" i="3"/>
  <c r="F520" i="3"/>
  <c r="D520" i="3"/>
  <c r="C520" i="3" s="1"/>
  <c r="H519" i="3"/>
  <c r="G519" i="3"/>
  <c r="F519" i="3"/>
  <c r="D519" i="3"/>
  <c r="C519" i="3"/>
  <c r="H518" i="3"/>
  <c r="G518" i="3"/>
  <c r="F518" i="3"/>
  <c r="D518" i="3"/>
  <c r="C518" i="3"/>
  <c r="H517" i="3"/>
  <c r="G517" i="3"/>
  <c r="F517" i="3"/>
  <c r="D517" i="3"/>
  <c r="C517" i="3"/>
  <c r="H516" i="3"/>
  <c r="G516" i="3"/>
  <c r="F516" i="3"/>
  <c r="D516" i="3"/>
  <c r="C516" i="3"/>
  <c r="H515" i="3"/>
  <c r="G515" i="3"/>
  <c r="F515" i="3"/>
  <c r="D515" i="3"/>
  <c r="C515" i="3" s="1"/>
  <c r="H514" i="3"/>
  <c r="G514" i="3"/>
  <c r="F514" i="3"/>
  <c r="D514" i="3"/>
  <c r="C514" i="3" s="1"/>
  <c r="H513" i="3"/>
  <c r="G513" i="3"/>
  <c r="F513" i="3"/>
  <c r="D513" i="3"/>
  <c r="C513" i="3" s="1"/>
  <c r="H512" i="3"/>
  <c r="G512" i="3"/>
  <c r="F512" i="3"/>
  <c r="D512" i="3"/>
  <c r="C512" i="3" s="1"/>
  <c r="H511" i="3"/>
  <c r="G511" i="3"/>
  <c r="F511" i="3"/>
  <c r="D511" i="3"/>
  <c r="C511" i="3"/>
  <c r="H510" i="3"/>
  <c r="G510" i="3"/>
  <c r="F510" i="3"/>
  <c r="D510" i="3"/>
  <c r="C510" i="3"/>
  <c r="H509" i="3"/>
  <c r="G509" i="3"/>
  <c r="F509" i="3"/>
  <c r="D509" i="3"/>
  <c r="C509" i="3"/>
  <c r="H508" i="3"/>
  <c r="G508" i="3"/>
  <c r="F508" i="3"/>
  <c r="D508" i="3"/>
  <c r="C508" i="3"/>
  <c r="H507" i="3"/>
  <c r="G507" i="3"/>
  <c r="F507" i="3"/>
  <c r="D507" i="3"/>
  <c r="C507" i="3" s="1"/>
  <c r="H506" i="3"/>
  <c r="G506" i="3"/>
  <c r="F506" i="3"/>
  <c r="D506" i="3"/>
  <c r="C506" i="3" s="1"/>
  <c r="H505" i="3"/>
  <c r="G505" i="3"/>
  <c r="F505" i="3"/>
  <c r="D505" i="3"/>
  <c r="C505" i="3" s="1"/>
  <c r="H504" i="3"/>
  <c r="G504" i="3"/>
  <c r="F504" i="3"/>
  <c r="D504" i="3"/>
  <c r="C504" i="3" s="1"/>
  <c r="H503" i="3"/>
  <c r="G503" i="3"/>
  <c r="F503" i="3"/>
  <c r="D503" i="3"/>
  <c r="C503" i="3"/>
  <c r="H502" i="3"/>
  <c r="G502" i="3"/>
  <c r="F502" i="3"/>
  <c r="D502" i="3"/>
  <c r="C502" i="3"/>
  <c r="H501" i="3"/>
  <c r="G501" i="3"/>
  <c r="F501" i="3"/>
  <c r="D501" i="3"/>
  <c r="C501" i="3"/>
  <c r="H500" i="3"/>
  <c r="G500" i="3"/>
  <c r="F500" i="3"/>
  <c r="D500" i="3"/>
  <c r="C500" i="3"/>
  <c r="H499" i="3"/>
  <c r="G499" i="3"/>
  <c r="F499" i="3"/>
  <c r="D499" i="3"/>
  <c r="C499" i="3" s="1"/>
  <c r="H498" i="3"/>
  <c r="G498" i="3"/>
  <c r="F498" i="3"/>
  <c r="D498" i="3"/>
  <c r="C498" i="3" s="1"/>
  <c r="H497" i="3"/>
  <c r="G497" i="3"/>
  <c r="F497" i="3"/>
  <c r="D497" i="3"/>
  <c r="C497" i="3" s="1"/>
  <c r="H496" i="3"/>
  <c r="G496" i="3"/>
  <c r="F496" i="3"/>
  <c r="D496" i="3"/>
  <c r="C496" i="3" s="1"/>
  <c r="H495" i="3"/>
  <c r="G495" i="3"/>
  <c r="F495" i="3"/>
  <c r="D495" i="3"/>
  <c r="C495" i="3"/>
  <c r="H494" i="3"/>
  <c r="G494" i="3"/>
  <c r="F494" i="3"/>
  <c r="D494" i="3"/>
  <c r="C494" i="3"/>
  <c r="H493" i="3"/>
  <c r="G493" i="3"/>
  <c r="F493" i="3"/>
  <c r="D493" i="3"/>
  <c r="C493" i="3"/>
  <c r="H492" i="3"/>
  <c r="G492" i="3"/>
  <c r="F492" i="3"/>
  <c r="D492" i="3"/>
  <c r="C492" i="3"/>
  <c r="H491" i="3"/>
  <c r="G491" i="3"/>
  <c r="F491" i="3"/>
  <c r="D491" i="3"/>
  <c r="C491" i="3" s="1"/>
  <c r="H490" i="3"/>
  <c r="G490" i="3"/>
  <c r="F490" i="3"/>
  <c r="D490" i="3"/>
  <c r="C490" i="3" s="1"/>
  <c r="H489" i="3"/>
  <c r="G489" i="3"/>
  <c r="F489" i="3"/>
  <c r="D489" i="3"/>
  <c r="C489" i="3" s="1"/>
  <c r="H488" i="3"/>
  <c r="G488" i="3"/>
  <c r="F488" i="3"/>
  <c r="D488" i="3"/>
  <c r="C488" i="3" s="1"/>
  <c r="H487" i="3"/>
  <c r="G487" i="3"/>
  <c r="F487" i="3"/>
  <c r="D487" i="3"/>
  <c r="C487" i="3"/>
  <c r="H486" i="3"/>
  <c r="G486" i="3"/>
  <c r="F486" i="3"/>
  <c r="D486" i="3"/>
  <c r="C486" i="3"/>
  <c r="H485" i="3"/>
  <c r="G485" i="3"/>
  <c r="F485" i="3"/>
  <c r="D485" i="3"/>
  <c r="C485" i="3"/>
  <c r="H484" i="3"/>
  <c r="G484" i="3"/>
  <c r="F484" i="3"/>
  <c r="D484" i="3"/>
  <c r="C484" i="3"/>
  <c r="H483" i="3"/>
  <c r="G483" i="3"/>
  <c r="F483" i="3"/>
  <c r="D483" i="3"/>
  <c r="C483" i="3" s="1"/>
  <c r="H482" i="3"/>
  <c r="G482" i="3"/>
  <c r="F482" i="3"/>
  <c r="D482" i="3"/>
  <c r="C482" i="3" s="1"/>
  <c r="H481" i="3"/>
  <c r="G481" i="3"/>
  <c r="F481" i="3"/>
  <c r="D481" i="3"/>
  <c r="C481" i="3" s="1"/>
  <c r="H480" i="3"/>
  <c r="G480" i="3"/>
  <c r="F480" i="3"/>
  <c r="D480" i="3"/>
  <c r="C480" i="3" s="1"/>
  <c r="H479" i="3"/>
  <c r="G479" i="3"/>
  <c r="F479" i="3"/>
  <c r="D479" i="3"/>
  <c r="C479" i="3"/>
  <c r="H478" i="3"/>
  <c r="G478" i="3"/>
  <c r="F478" i="3"/>
  <c r="D478" i="3"/>
  <c r="C478" i="3"/>
  <c r="H477" i="3"/>
  <c r="G477" i="3"/>
  <c r="F477" i="3"/>
  <c r="D477" i="3"/>
  <c r="C477" i="3"/>
  <c r="H476" i="3"/>
  <c r="G476" i="3"/>
  <c r="F476" i="3"/>
  <c r="D476" i="3"/>
  <c r="C476" i="3"/>
  <c r="H475" i="3"/>
  <c r="G475" i="3"/>
  <c r="F475" i="3"/>
  <c r="D475" i="3"/>
  <c r="C475" i="3" s="1"/>
  <c r="H474" i="3"/>
  <c r="G474" i="3"/>
  <c r="F474" i="3"/>
  <c r="D474" i="3"/>
  <c r="C474" i="3" s="1"/>
  <c r="H473" i="3"/>
  <c r="G473" i="3"/>
  <c r="F473" i="3"/>
  <c r="D473" i="3"/>
  <c r="C473" i="3" s="1"/>
  <c r="H472" i="3"/>
  <c r="G472" i="3"/>
  <c r="F472" i="3"/>
  <c r="D472" i="3"/>
  <c r="C472" i="3" s="1"/>
  <c r="H471" i="3"/>
  <c r="G471" i="3"/>
  <c r="F471" i="3"/>
  <c r="D471" i="3"/>
  <c r="C471" i="3"/>
  <c r="H470" i="3"/>
  <c r="G470" i="3"/>
  <c r="F470" i="3"/>
  <c r="D470" i="3"/>
  <c r="C470" i="3"/>
  <c r="H469" i="3"/>
  <c r="G469" i="3"/>
  <c r="F469" i="3"/>
  <c r="D469" i="3"/>
  <c r="C469" i="3"/>
  <c r="H468" i="3"/>
  <c r="G468" i="3"/>
  <c r="F468" i="3"/>
  <c r="D468" i="3"/>
  <c r="C468" i="3"/>
  <c r="H467" i="3"/>
  <c r="G467" i="3"/>
  <c r="F467" i="3"/>
  <c r="D467" i="3"/>
  <c r="C467" i="3" s="1"/>
  <c r="H466" i="3"/>
  <c r="G466" i="3"/>
  <c r="F466" i="3"/>
  <c r="D466" i="3"/>
  <c r="C466" i="3" s="1"/>
  <c r="H465" i="3"/>
  <c r="G465" i="3"/>
  <c r="F465" i="3"/>
  <c r="D465" i="3"/>
  <c r="C465" i="3" s="1"/>
  <c r="H464" i="3"/>
  <c r="G464" i="3"/>
  <c r="F464" i="3"/>
  <c r="D464" i="3"/>
  <c r="C464" i="3" s="1"/>
  <c r="H463" i="3"/>
  <c r="G463" i="3"/>
  <c r="F463" i="3"/>
  <c r="D463" i="3"/>
  <c r="C463" i="3"/>
  <c r="H462" i="3"/>
  <c r="G462" i="3"/>
  <c r="F462" i="3"/>
  <c r="D462" i="3"/>
  <c r="C462" i="3"/>
  <c r="H461" i="3"/>
  <c r="G461" i="3"/>
  <c r="F461" i="3"/>
  <c r="D461" i="3"/>
  <c r="C461" i="3"/>
  <c r="H460" i="3"/>
  <c r="G460" i="3"/>
  <c r="F460" i="3"/>
  <c r="D460" i="3"/>
  <c r="C460" i="3"/>
  <c r="H459" i="3"/>
  <c r="G459" i="3"/>
  <c r="F459" i="3"/>
  <c r="D459" i="3"/>
  <c r="C459" i="3" s="1"/>
  <c r="H458" i="3"/>
  <c r="G458" i="3"/>
  <c r="F458" i="3"/>
  <c r="D458" i="3"/>
  <c r="C458" i="3" s="1"/>
  <c r="H457" i="3"/>
  <c r="G457" i="3"/>
  <c r="F457" i="3"/>
  <c r="D457" i="3"/>
  <c r="C457" i="3" s="1"/>
  <c r="H456" i="3"/>
  <c r="G456" i="3"/>
  <c r="F456" i="3"/>
  <c r="D456" i="3"/>
  <c r="C456" i="3" s="1"/>
  <c r="H455" i="3"/>
  <c r="G455" i="3"/>
  <c r="F455" i="3"/>
  <c r="D455" i="3"/>
  <c r="C455" i="3"/>
  <c r="H454" i="3"/>
  <c r="G454" i="3"/>
  <c r="F454" i="3"/>
  <c r="D454" i="3"/>
  <c r="C454" i="3"/>
  <c r="H453" i="3"/>
  <c r="G453" i="3"/>
  <c r="F453" i="3"/>
  <c r="D453" i="3"/>
  <c r="C453" i="3"/>
  <c r="H452" i="3"/>
  <c r="G452" i="3"/>
  <c r="F452" i="3"/>
  <c r="D452" i="3"/>
  <c r="C452" i="3" s="1"/>
  <c r="H451" i="3"/>
  <c r="G451" i="3"/>
  <c r="F451" i="3"/>
  <c r="D451" i="3"/>
  <c r="C451" i="3" s="1"/>
  <c r="H450" i="3"/>
  <c r="G450" i="3"/>
  <c r="F450" i="3"/>
  <c r="D450" i="3"/>
  <c r="C450" i="3" s="1"/>
  <c r="H449" i="3"/>
  <c r="G449" i="3"/>
  <c r="F449" i="3"/>
  <c r="D449" i="3"/>
  <c r="C449" i="3"/>
  <c r="H448" i="3"/>
  <c r="G448" i="3"/>
  <c r="F448" i="3"/>
  <c r="D448" i="3"/>
  <c r="C448" i="3" s="1"/>
  <c r="H447" i="3"/>
  <c r="G447" i="3"/>
  <c r="F447" i="3"/>
  <c r="D447" i="3"/>
  <c r="C447" i="3"/>
  <c r="H446" i="3"/>
  <c r="G446" i="3"/>
  <c r="F446" i="3"/>
  <c r="D446" i="3"/>
  <c r="C446" i="3"/>
  <c r="H445" i="3"/>
  <c r="G445" i="3"/>
  <c r="F445" i="3"/>
  <c r="D445" i="3"/>
  <c r="C445" i="3"/>
  <c r="H444" i="3"/>
  <c r="G444" i="3"/>
  <c r="F444" i="3"/>
  <c r="D444" i="3"/>
  <c r="C444" i="3" s="1"/>
  <c r="H443" i="3"/>
  <c r="G443" i="3"/>
  <c r="F443" i="3"/>
  <c r="D443" i="3"/>
  <c r="C443" i="3" s="1"/>
  <c r="H442" i="3"/>
  <c r="G442" i="3"/>
  <c r="F442" i="3"/>
  <c r="D442" i="3"/>
  <c r="C442" i="3" s="1"/>
  <c r="H441" i="3"/>
  <c r="G441" i="3"/>
  <c r="F441" i="3"/>
  <c r="D441" i="3"/>
  <c r="C441" i="3"/>
  <c r="H440" i="3"/>
  <c r="G440" i="3"/>
  <c r="F440" i="3"/>
  <c r="D440" i="3"/>
  <c r="C440" i="3" s="1"/>
  <c r="H439" i="3"/>
  <c r="G439" i="3"/>
  <c r="F439" i="3"/>
  <c r="D439" i="3"/>
  <c r="C439" i="3"/>
  <c r="H438" i="3"/>
  <c r="G438" i="3"/>
  <c r="F438" i="3"/>
  <c r="D438" i="3"/>
  <c r="C438" i="3"/>
  <c r="H437" i="3"/>
  <c r="G437" i="3"/>
  <c r="F437" i="3"/>
  <c r="D437" i="3"/>
  <c r="C437" i="3"/>
  <c r="H436" i="3"/>
  <c r="G436" i="3"/>
  <c r="F436" i="3"/>
  <c r="D436" i="3"/>
  <c r="C436" i="3" s="1"/>
  <c r="H435" i="3"/>
  <c r="G435" i="3"/>
  <c r="F435" i="3"/>
  <c r="D435" i="3"/>
  <c r="C435" i="3" s="1"/>
  <c r="H434" i="3"/>
  <c r="G434" i="3"/>
  <c r="F434" i="3"/>
  <c r="D434" i="3"/>
  <c r="C434" i="3" s="1"/>
  <c r="H433" i="3"/>
  <c r="G433" i="3"/>
  <c r="F433" i="3"/>
  <c r="D433" i="3"/>
  <c r="C433" i="3" s="1"/>
  <c r="H432" i="3"/>
  <c r="G432" i="3"/>
  <c r="F432" i="3"/>
  <c r="D432" i="3"/>
  <c r="C432" i="3" s="1"/>
  <c r="H431" i="3"/>
  <c r="G431" i="3"/>
  <c r="F431" i="3"/>
  <c r="D431" i="3"/>
  <c r="C431" i="3"/>
  <c r="H430" i="3"/>
  <c r="G430" i="3"/>
  <c r="F430" i="3"/>
  <c r="D430" i="3"/>
  <c r="C430" i="3"/>
  <c r="H429" i="3"/>
  <c r="G429" i="3"/>
  <c r="F429" i="3"/>
  <c r="D429" i="3"/>
  <c r="C429" i="3"/>
  <c r="H428" i="3"/>
  <c r="G428" i="3"/>
  <c r="F428" i="3"/>
  <c r="D428" i="3"/>
  <c r="C428" i="3" s="1"/>
  <c r="H427" i="3"/>
  <c r="G427" i="3"/>
  <c r="F427" i="3"/>
  <c r="D427" i="3"/>
  <c r="C427" i="3" s="1"/>
  <c r="H426" i="3"/>
  <c r="G426" i="3"/>
  <c r="F426" i="3"/>
  <c r="D426" i="3"/>
  <c r="C426" i="3" s="1"/>
  <c r="H425" i="3"/>
  <c r="G425" i="3"/>
  <c r="F425" i="3"/>
  <c r="D425" i="3"/>
  <c r="C425" i="3" s="1"/>
  <c r="H424" i="3"/>
  <c r="G424" i="3"/>
  <c r="F424" i="3"/>
  <c r="D424" i="3"/>
  <c r="C424" i="3" s="1"/>
  <c r="H423" i="3"/>
  <c r="G423" i="3"/>
  <c r="F423" i="3"/>
  <c r="D423" i="3"/>
  <c r="C423" i="3"/>
  <c r="H422" i="3"/>
  <c r="G422" i="3"/>
  <c r="F422" i="3"/>
  <c r="D422" i="3"/>
  <c r="C422" i="3"/>
  <c r="H421" i="3"/>
  <c r="G421" i="3"/>
  <c r="F421" i="3"/>
  <c r="D421" i="3"/>
  <c r="C421" i="3"/>
  <c r="H420" i="3"/>
  <c r="G420" i="3"/>
  <c r="F420" i="3"/>
  <c r="D420" i="3"/>
  <c r="C420" i="3" s="1"/>
  <c r="H419" i="3"/>
  <c r="G419" i="3"/>
  <c r="F419" i="3"/>
  <c r="D419" i="3"/>
  <c r="C419" i="3" s="1"/>
  <c r="H418" i="3"/>
  <c r="G418" i="3"/>
  <c r="F418" i="3"/>
  <c r="D418" i="3"/>
  <c r="C418" i="3" s="1"/>
  <c r="H417" i="3"/>
  <c r="G417" i="3"/>
  <c r="F417" i="3"/>
  <c r="D417" i="3"/>
  <c r="C417" i="3" s="1"/>
  <c r="H416" i="3"/>
  <c r="G416" i="3"/>
  <c r="F416" i="3"/>
  <c r="D416" i="3"/>
  <c r="C416" i="3" s="1"/>
  <c r="H415" i="3"/>
  <c r="G415" i="3"/>
  <c r="F415" i="3"/>
  <c r="D415" i="3"/>
  <c r="C415" i="3"/>
  <c r="H414" i="3"/>
  <c r="G414" i="3"/>
  <c r="F414" i="3"/>
  <c r="D414" i="3"/>
  <c r="C414" i="3"/>
  <c r="H413" i="3"/>
  <c r="G413" i="3"/>
  <c r="F413" i="3"/>
  <c r="D413" i="3"/>
  <c r="C413" i="3"/>
  <c r="H412" i="3"/>
  <c r="G412" i="3"/>
  <c r="F412" i="3"/>
  <c r="D412" i="3"/>
  <c r="C412" i="3" s="1"/>
  <c r="H411" i="3"/>
  <c r="G411" i="3"/>
  <c r="F411" i="3"/>
  <c r="D411" i="3"/>
  <c r="C411" i="3" s="1"/>
  <c r="H410" i="3"/>
  <c r="G410" i="3"/>
  <c r="F410" i="3"/>
  <c r="D410" i="3"/>
  <c r="C410" i="3" s="1"/>
  <c r="H409" i="3"/>
  <c r="G409" i="3"/>
  <c r="F409" i="3"/>
  <c r="D409" i="3"/>
  <c r="C409" i="3" s="1"/>
  <c r="H408" i="3"/>
  <c r="G408" i="3"/>
  <c r="F408" i="3"/>
  <c r="D408" i="3"/>
  <c r="C408" i="3" s="1"/>
  <c r="H407" i="3"/>
  <c r="G407" i="3"/>
  <c r="F407" i="3"/>
  <c r="D407" i="3"/>
  <c r="C407" i="3"/>
  <c r="H406" i="3"/>
  <c r="G406" i="3"/>
  <c r="F406" i="3"/>
  <c r="D406" i="3"/>
  <c r="C406" i="3"/>
  <c r="H405" i="3"/>
  <c r="G405" i="3"/>
  <c r="F405" i="3"/>
  <c r="D405" i="3"/>
  <c r="C405" i="3"/>
  <c r="H404" i="3"/>
  <c r="G404" i="3"/>
  <c r="F404" i="3"/>
  <c r="D404" i="3"/>
  <c r="C404" i="3" s="1"/>
  <c r="H403" i="3"/>
  <c r="G403" i="3"/>
  <c r="F403" i="3"/>
  <c r="D403" i="3"/>
  <c r="C403" i="3" s="1"/>
  <c r="H402" i="3"/>
  <c r="G402" i="3"/>
  <c r="F402" i="3"/>
  <c r="D402" i="3"/>
  <c r="C402" i="3" s="1"/>
  <c r="H401" i="3"/>
  <c r="G401" i="3"/>
  <c r="F401" i="3"/>
  <c r="D401" i="3"/>
  <c r="C401" i="3" s="1"/>
  <c r="H400" i="3"/>
  <c r="G400" i="3"/>
  <c r="F400" i="3"/>
  <c r="D400" i="3"/>
  <c r="C400" i="3" s="1"/>
  <c r="H399" i="3"/>
  <c r="G399" i="3"/>
  <c r="F399" i="3"/>
  <c r="D399" i="3"/>
  <c r="C399" i="3"/>
  <c r="H398" i="3"/>
  <c r="G398" i="3"/>
  <c r="F398" i="3"/>
  <c r="D398" i="3"/>
  <c r="C398" i="3"/>
  <c r="H397" i="3"/>
  <c r="G397" i="3"/>
  <c r="F397" i="3"/>
  <c r="D397" i="3"/>
  <c r="C397" i="3"/>
  <c r="H396" i="3"/>
  <c r="G396" i="3"/>
  <c r="F396" i="3"/>
  <c r="D396" i="3"/>
  <c r="C396" i="3" s="1"/>
  <c r="H395" i="3"/>
  <c r="G395" i="3"/>
  <c r="F395" i="3"/>
  <c r="D395" i="3"/>
  <c r="C395" i="3" s="1"/>
  <c r="H394" i="3"/>
  <c r="G394" i="3"/>
  <c r="F394" i="3"/>
  <c r="D394" i="3"/>
  <c r="C394" i="3" s="1"/>
  <c r="H393" i="3"/>
  <c r="G393" i="3"/>
  <c r="F393" i="3"/>
  <c r="D393" i="3"/>
  <c r="C393" i="3" s="1"/>
  <c r="H392" i="3"/>
  <c r="G392" i="3"/>
  <c r="F392" i="3"/>
  <c r="D392" i="3"/>
  <c r="C392" i="3" s="1"/>
  <c r="H391" i="3"/>
  <c r="G391" i="3"/>
  <c r="F391" i="3"/>
  <c r="D391" i="3"/>
  <c r="C391" i="3"/>
  <c r="H390" i="3"/>
  <c r="G390" i="3"/>
  <c r="F390" i="3"/>
  <c r="D390" i="3"/>
  <c r="C390" i="3"/>
  <c r="H389" i="3"/>
  <c r="G389" i="3"/>
  <c r="F389" i="3"/>
  <c r="D389" i="3"/>
  <c r="C389" i="3"/>
  <c r="H388" i="3"/>
  <c r="G388" i="3"/>
  <c r="F388" i="3"/>
  <c r="D388" i="3"/>
  <c r="C388" i="3"/>
  <c r="H387" i="3"/>
  <c r="G387" i="3"/>
  <c r="F387" i="3"/>
  <c r="D387" i="3"/>
  <c r="C387" i="3" s="1"/>
  <c r="H386" i="3"/>
  <c r="G386" i="3"/>
  <c r="F386" i="3"/>
  <c r="D386" i="3"/>
  <c r="C386" i="3" s="1"/>
  <c r="H385" i="3"/>
  <c r="G385" i="3"/>
  <c r="F385" i="3"/>
  <c r="D385" i="3"/>
  <c r="C385" i="3" s="1"/>
  <c r="H384" i="3"/>
  <c r="G384" i="3"/>
  <c r="F384" i="3"/>
  <c r="D384" i="3"/>
  <c r="C384" i="3" s="1"/>
  <c r="H383" i="3"/>
  <c r="G383" i="3"/>
  <c r="F383" i="3"/>
  <c r="D383" i="3"/>
  <c r="C383" i="3"/>
  <c r="H382" i="3"/>
  <c r="G382" i="3"/>
  <c r="F382" i="3"/>
  <c r="D382" i="3"/>
  <c r="C382" i="3"/>
  <c r="H381" i="3"/>
  <c r="G381" i="3"/>
  <c r="F381" i="3"/>
  <c r="D381" i="3"/>
  <c r="C381" i="3"/>
  <c r="H380" i="3"/>
  <c r="G380" i="3"/>
  <c r="F380" i="3"/>
  <c r="D380" i="3"/>
  <c r="C380" i="3"/>
  <c r="H379" i="3"/>
  <c r="G379" i="3"/>
  <c r="F379" i="3"/>
  <c r="D379" i="3"/>
  <c r="C379" i="3" s="1"/>
  <c r="H378" i="3"/>
  <c r="G378" i="3"/>
  <c r="F378" i="3"/>
  <c r="D378" i="3"/>
  <c r="C378" i="3" s="1"/>
  <c r="H377" i="3"/>
  <c r="G377" i="3"/>
  <c r="F377" i="3"/>
  <c r="D377" i="3"/>
  <c r="C377" i="3" s="1"/>
  <c r="H376" i="3"/>
  <c r="G376" i="3"/>
  <c r="F376" i="3"/>
  <c r="D376" i="3"/>
  <c r="C376" i="3" s="1"/>
  <c r="H375" i="3"/>
  <c r="G375" i="3"/>
  <c r="F375" i="3"/>
  <c r="D375" i="3"/>
  <c r="C375" i="3"/>
  <c r="H374" i="3"/>
  <c r="G374" i="3"/>
  <c r="F374" i="3"/>
  <c r="D374" i="3"/>
  <c r="C374" i="3"/>
  <c r="H373" i="3"/>
  <c r="G373" i="3"/>
  <c r="F373" i="3"/>
  <c r="D373" i="3"/>
  <c r="C373" i="3"/>
  <c r="H372" i="3"/>
  <c r="G372" i="3"/>
  <c r="F372" i="3"/>
  <c r="D372" i="3"/>
  <c r="C372" i="3"/>
  <c r="H371" i="3"/>
  <c r="G371" i="3"/>
  <c r="F371" i="3"/>
  <c r="D371" i="3"/>
  <c r="C371" i="3" s="1"/>
  <c r="H370" i="3"/>
  <c r="G370" i="3"/>
  <c r="F370" i="3"/>
  <c r="D370" i="3"/>
  <c r="C370" i="3" s="1"/>
  <c r="H369" i="3"/>
  <c r="G369" i="3"/>
  <c r="F369" i="3"/>
  <c r="D369" i="3"/>
  <c r="C369" i="3" s="1"/>
  <c r="H368" i="3"/>
  <c r="G368" i="3"/>
  <c r="F368" i="3"/>
  <c r="D368" i="3"/>
  <c r="C368" i="3" s="1"/>
  <c r="H367" i="3"/>
  <c r="G367" i="3"/>
  <c r="F367" i="3"/>
  <c r="D367" i="3"/>
  <c r="C367" i="3"/>
  <c r="H366" i="3"/>
  <c r="G366" i="3"/>
  <c r="F366" i="3"/>
  <c r="D366" i="3"/>
  <c r="C366" i="3"/>
  <c r="H365" i="3"/>
  <c r="G365" i="3"/>
  <c r="F365" i="3"/>
  <c r="D365" i="3"/>
  <c r="C365" i="3"/>
  <c r="H364" i="3"/>
  <c r="G364" i="3"/>
  <c r="F364" i="3"/>
  <c r="D364" i="3"/>
  <c r="C364" i="3"/>
  <c r="H363" i="3"/>
  <c r="G363" i="3"/>
  <c r="F363" i="3"/>
  <c r="D363" i="3"/>
  <c r="C363" i="3" s="1"/>
  <c r="H362" i="3"/>
  <c r="G362" i="3"/>
  <c r="F362" i="3"/>
  <c r="D362" i="3"/>
  <c r="C362" i="3" s="1"/>
  <c r="H361" i="3"/>
  <c r="G361" i="3"/>
  <c r="F361" i="3"/>
  <c r="D361" i="3"/>
  <c r="C361" i="3" s="1"/>
  <c r="H360" i="3"/>
  <c r="G360" i="3"/>
  <c r="F360" i="3"/>
  <c r="D360" i="3"/>
  <c r="C360" i="3" s="1"/>
  <c r="H359" i="3"/>
  <c r="G359" i="3"/>
  <c r="F359" i="3"/>
  <c r="D359" i="3"/>
  <c r="C359" i="3"/>
  <c r="H358" i="3"/>
  <c r="G358" i="3"/>
  <c r="F358" i="3"/>
  <c r="D358" i="3"/>
  <c r="C358" i="3"/>
  <c r="H357" i="3"/>
  <c r="G357" i="3"/>
  <c r="F357" i="3"/>
  <c r="D357" i="3"/>
  <c r="C357" i="3"/>
  <c r="H356" i="3"/>
  <c r="G356" i="3"/>
  <c r="F356" i="3"/>
  <c r="D356" i="3"/>
  <c r="C356" i="3"/>
  <c r="H355" i="3"/>
  <c r="G355" i="3"/>
  <c r="F355" i="3"/>
  <c r="D355" i="3"/>
  <c r="C355" i="3" s="1"/>
  <c r="H354" i="3"/>
  <c r="G354" i="3"/>
  <c r="F354" i="3"/>
  <c r="D354" i="3"/>
  <c r="C354" i="3" s="1"/>
  <c r="H353" i="3"/>
  <c r="G353" i="3"/>
  <c r="F353" i="3"/>
  <c r="D353" i="3"/>
  <c r="C353" i="3" s="1"/>
  <c r="H352" i="3"/>
  <c r="G352" i="3"/>
  <c r="F352" i="3"/>
  <c r="D352" i="3"/>
  <c r="C352" i="3" s="1"/>
  <c r="H351" i="3"/>
  <c r="G351" i="3"/>
  <c r="F351" i="3"/>
  <c r="D351" i="3"/>
  <c r="C351" i="3"/>
  <c r="H350" i="3"/>
  <c r="G350" i="3"/>
  <c r="F350" i="3"/>
  <c r="D350" i="3"/>
  <c r="C350" i="3"/>
  <c r="H349" i="3"/>
  <c r="G349" i="3"/>
  <c r="F349" i="3"/>
  <c r="D349" i="3"/>
  <c r="C349" i="3"/>
  <c r="H348" i="3"/>
  <c r="G348" i="3"/>
  <c r="F348" i="3"/>
  <c r="D348" i="3"/>
  <c r="C348" i="3"/>
  <c r="H347" i="3"/>
  <c r="G347" i="3"/>
  <c r="F347" i="3"/>
  <c r="D347" i="3"/>
  <c r="C347" i="3" s="1"/>
  <c r="H346" i="3"/>
  <c r="G346" i="3"/>
  <c r="F346" i="3"/>
  <c r="D346" i="3"/>
  <c r="C346" i="3" s="1"/>
  <c r="H345" i="3"/>
  <c r="G345" i="3"/>
  <c r="F345" i="3"/>
  <c r="D345" i="3"/>
  <c r="C345" i="3" s="1"/>
  <c r="H344" i="3"/>
  <c r="G344" i="3"/>
  <c r="F344" i="3"/>
  <c r="D344" i="3"/>
  <c r="C344" i="3" s="1"/>
  <c r="H343" i="3"/>
  <c r="G343" i="3"/>
  <c r="F343" i="3"/>
  <c r="D343" i="3"/>
  <c r="C343" i="3"/>
  <c r="H342" i="3"/>
  <c r="G342" i="3"/>
  <c r="F342" i="3"/>
  <c r="D342" i="3"/>
  <c r="C342" i="3"/>
  <c r="H341" i="3"/>
  <c r="G341" i="3"/>
  <c r="F341" i="3"/>
  <c r="D341" i="3"/>
  <c r="C341" i="3"/>
  <c r="H340" i="3"/>
  <c r="G340" i="3"/>
  <c r="F340" i="3"/>
  <c r="D340" i="3"/>
  <c r="C340" i="3"/>
  <c r="H339" i="3"/>
  <c r="G339" i="3"/>
  <c r="F339" i="3"/>
  <c r="D339" i="3"/>
  <c r="C339" i="3" s="1"/>
  <c r="H338" i="3"/>
  <c r="G338" i="3"/>
  <c r="F338" i="3"/>
  <c r="D338" i="3"/>
  <c r="C338" i="3" s="1"/>
  <c r="H337" i="3"/>
  <c r="G337" i="3"/>
  <c r="F337" i="3"/>
  <c r="D337" i="3"/>
  <c r="C337" i="3" s="1"/>
  <c r="H336" i="3"/>
  <c r="G336" i="3"/>
  <c r="F336" i="3"/>
  <c r="D336" i="3"/>
  <c r="C336" i="3" s="1"/>
  <c r="H335" i="3"/>
  <c r="G335" i="3"/>
  <c r="F335" i="3"/>
  <c r="D335" i="3"/>
  <c r="C335" i="3"/>
  <c r="H334" i="3"/>
  <c r="G334" i="3"/>
  <c r="F334" i="3"/>
  <c r="D334" i="3"/>
  <c r="C334" i="3"/>
  <c r="H333" i="3"/>
  <c r="G333" i="3"/>
  <c r="F333" i="3"/>
  <c r="D333" i="3"/>
  <c r="C333" i="3"/>
  <c r="H332" i="3"/>
  <c r="G332" i="3"/>
  <c r="F332" i="3"/>
  <c r="D332" i="3"/>
  <c r="C332" i="3"/>
  <c r="H331" i="3"/>
  <c r="G331" i="3"/>
  <c r="F331" i="3"/>
  <c r="D331" i="3"/>
  <c r="C331" i="3" s="1"/>
  <c r="H330" i="3"/>
  <c r="G330" i="3"/>
  <c r="F330" i="3"/>
  <c r="D330" i="3"/>
  <c r="C330" i="3" s="1"/>
  <c r="H329" i="3"/>
  <c r="G329" i="3"/>
  <c r="F329" i="3"/>
  <c r="D329" i="3"/>
  <c r="C329" i="3" s="1"/>
  <c r="H328" i="3"/>
  <c r="G328" i="3"/>
  <c r="F328" i="3"/>
  <c r="D328" i="3"/>
  <c r="C328" i="3" s="1"/>
  <c r="H327" i="3"/>
  <c r="G327" i="3"/>
  <c r="F327" i="3"/>
  <c r="D327" i="3"/>
  <c r="C327" i="3"/>
  <c r="H326" i="3"/>
  <c r="G326" i="3"/>
  <c r="F326" i="3"/>
  <c r="D326" i="3"/>
  <c r="C326" i="3"/>
  <c r="H325" i="3"/>
  <c r="G325" i="3"/>
  <c r="F325" i="3"/>
  <c r="D325" i="3"/>
  <c r="C325" i="3"/>
  <c r="H324" i="3"/>
  <c r="G324" i="3"/>
  <c r="F324" i="3"/>
  <c r="D324" i="3"/>
  <c r="C324" i="3"/>
  <c r="H323" i="3"/>
  <c r="G323" i="3"/>
  <c r="F323" i="3"/>
  <c r="D323" i="3"/>
  <c r="C323" i="3" s="1"/>
  <c r="H322" i="3"/>
  <c r="G322" i="3"/>
  <c r="F322" i="3"/>
  <c r="D322" i="3"/>
  <c r="C322" i="3" s="1"/>
  <c r="H321" i="3"/>
  <c r="G321" i="3"/>
  <c r="F321" i="3"/>
  <c r="D321" i="3"/>
  <c r="C321" i="3" s="1"/>
  <c r="H320" i="3"/>
  <c r="G320" i="3"/>
  <c r="F320" i="3"/>
  <c r="D320" i="3"/>
  <c r="C320" i="3" s="1"/>
  <c r="H319" i="3"/>
  <c r="G319" i="3"/>
  <c r="F319" i="3"/>
  <c r="D319" i="3"/>
  <c r="C319" i="3"/>
  <c r="H318" i="3"/>
  <c r="G318" i="3"/>
  <c r="F318" i="3"/>
  <c r="D318" i="3"/>
  <c r="C318" i="3"/>
  <c r="H317" i="3"/>
  <c r="G317" i="3"/>
  <c r="F317" i="3"/>
  <c r="D317" i="3"/>
  <c r="C317" i="3"/>
  <c r="H316" i="3"/>
  <c r="G316" i="3"/>
  <c r="F316" i="3"/>
  <c r="D316" i="3"/>
  <c r="C316" i="3"/>
  <c r="H315" i="3"/>
  <c r="G315" i="3"/>
  <c r="F315" i="3"/>
  <c r="D315" i="3"/>
  <c r="C315" i="3" s="1"/>
  <c r="H314" i="3"/>
  <c r="G314" i="3"/>
  <c r="F314" i="3"/>
  <c r="D314" i="3"/>
  <c r="C314" i="3" s="1"/>
  <c r="H313" i="3"/>
  <c r="G313" i="3"/>
  <c r="F313" i="3"/>
  <c r="D313" i="3"/>
  <c r="C313" i="3" s="1"/>
  <c r="H312" i="3"/>
  <c r="G312" i="3"/>
  <c r="F312" i="3"/>
  <c r="D312" i="3"/>
  <c r="C312" i="3" s="1"/>
  <c r="H311" i="3"/>
  <c r="G311" i="3"/>
  <c r="F311" i="3"/>
  <c r="D311" i="3"/>
  <c r="C311" i="3"/>
  <c r="H310" i="3"/>
  <c r="G310" i="3"/>
  <c r="F310" i="3"/>
  <c r="D310" i="3"/>
  <c r="C310" i="3"/>
  <c r="H309" i="3"/>
  <c r="G309" i="3"/>
  <c r="F309" i="3"/>
  <c r="D309" i="3"/>
  <c r="C309" i="3"/>
  <c r="H308" i="3"/>
  <c r="G308" i="3"/>
  <c r="F308" i="3"/>
  <c r="D308" i="3"/>
  <c r="C308" i="3"/>
  <c r="H307" i="3"/>
  <c r="G307" i="3"/>
  <c r="F307" i="3"/>
  <c r="D307" i="3"/>
  <c r="C307" i="3" s="1"/>
  <c r="H306" i="3"/>
  <c r="G306" i="3"/>
  <c r="F306" i="3"/>
  <c r="D306" i="3"/>
  <c r="C306" i="3" s="1"/>
  <c r="H305" i="3"/>
  <c r="G305" i="3"/>
  <c r="F305" i="3"/>
  <c r="D305" i="3"/>
  <c r="C305" i="3" s="1"/>
  <c r="H304" i="3"/>
  <c r="G304" i="3"/>
  <c r="F304" i="3"/>
  <c r="D304" i="3"/>
  <c r="C304" i="3" s="1"/>
  <c r="H303" i="3"/>
  <c r="G303" i="3"/>
  <c r="F303" i="3"/>
  <c r="D303" i="3"/>
  <c r="C303" i="3" s="1"/>
  <c r="H302" i="3"/>
  <c r="G302" i="3"/>
  <c r="F302" i="3"/>
  <c r="D302" i="3"/>
  <c r="C302" i="3"/>
  <c r="H301" i="3"/>
  <c r="G301" i="3"/>
  <c r="F301" i="3"/>
  <c r="D301" i="3"/>
  <c r="C301" i="3"/>
  <c r="H300" i="3"/>
  <c r="G300" i="3"/>
  <c r="F300" i="3"/>
  <c r="D300" i="3"/>
  <c r="C300" i="3"/>
  <c r="H299" i="3"/>
  <c r="G299" i="3"/>
  <c r="F299" i="3"/>
  <c r="D299" i="3"/>
  <c r="C299" i="3" s="1"/>
  <c r="H298" i="3"/>
  <c r="G298" i="3"/>
  <c r="F298" i="3"/>
  <c r="D298" i="3"/>
  <c r="C298" i="3" s="1"/>
  <c r="H297" i="3"/>
  <c r="G297" i="3"/>
  <c r="F297" i="3"/>
  <c r="D297" i="3"/>
  <c r="C297" i="3" s="1"/>
  <c r="H296" i="3"/>
  <c r="G296" i="3"/>
  <c r="F296" i="3"/>
  <c r="D296" i="3"/>
  <c r="C296" i="3" s="1"/>
  <c r="H295" i="3"/>
  <c r="G295" i="3"/>
  <c r="F295" i="3"/>
  <c r="D295" i="3"/>
  <c r="C295" i="3"/>
  <c r="H294" i="3"/>
  <c r="G294" i="3"/>
  <c r="F294" i="3"/>
  <c r="D294" i="3"/>
  <c r="C294" i="3"/>
  <c r="H293" i="3"/>
  <c r="G293" i="3"/>
  <c r="F293" i="3"/>
  <c r="D293" i="3"/>
  <c r="C293" i="3"/>
  <c r="H292" i="3"/>
  <c r="G292" i="3"/>
  <c r="F292" i="3"/>
  <c r="D292" i="3"/>
  <c r="C292" i="3"/>
  <c r="H291" i="3"/>
  <c r="G291" i="3"/>
  <c r="F291" i="3"/>
  <c r="D291" i="3"/>
  <c r="C291" i="3" s="1"/>
  <c r="H290" i="3"/>
  <c r="G290" i="3"/>
  <c r="F290" i="3"/>
  <c r="D290" i="3"/>
  <c r="C290" i="3" s="1"/>
  <c r="H289" i="3"/>
  <c r="G289" i="3"/>
  <c r="F289" i="3"/>
  <c r="D289" i="3"/>
  <c r="C289" i="3" s="1"/>
  <c r="H288" i="3"/>
  <c r="G288" i="3"/>
  <c r="F288" i="3"/>
  <c r="D288" i="3"/>
  <c r="C288" i="3" s="1"/>
  <c r="H287" i="3"/>
  <c r="G287" i="3"/>
  <c r="F287" i="3"/>
  <c r="D287" i="3"/>
  <c r="C287" i="3"/>
  <c r="H286" i="3"/>
  <c r="G286" i="3"/>
  <c r="F286" i="3"/>
  <c r="D286" i="3"/>
  <c r="C286" i="3"/>
  <c r="H285" i="3"/>
  <c r="G285" i="3"/>
  <c r="F285" i="3"/>
  <c r="D285" i="3"/>
  <c r="C285" i="3"/>
  <c r="H284" i="3"/>
  <c r="G284" i="3"/>
  <c r="F284" i="3"/>
  <c r="D284" i="3"/>
  <c r="C284" i="3"/>
  <c r="H283" i="3"/>
  <c r="G283" i="3"/>
  <c r="F283" i="3"/>
  <c r="D283" i="3"/>
  <c r="C283" i="3" s="1"/>
  <c r="H282" i="3"/>
  <c r="G282" i="3"/>
  <c r="F282" i="3"/>
  <c r="D282" i="3"/>
  <c r="C282" i="3" s="1"/>
  <c r="H281" i="3"/>
  <c r="G281" i="3"/>
  <c r="F281" i="3"/>
  <c r="D281" i="3"/>
  <c r="C281" i="3" s="1"/>
  <c r="H280" i="3"/>
  <c r="G280" i="3"/>
  <c r="F280" i="3"/>
  <c r="D280" i="3"/>
  <c r="C280" i="3" s="1"/>
  <c r="H279" i="3"/>
  <c r="G279" i="3"/>
  <c r="F279" i="3"/>
  <c r="D279" i="3"/>
  <c r="C279" i="3"/>
  <c r="H278" i="3"/>
  <c r="G278" i="3"/>
  <c r="F278" i="3"/>
  <c r="D278" i="3"/>
  <c r="C278" i="3"/>
  <c r="H277" i="3"/>
  <c r="G277" i="3"/>
  <c r="F277" i="3"/>
  <c r="D277" i="3"/>
  <c r="C277" i="3"/>
  <c r="H276" i="3"/>
  <c r="G276" i="3"/>
  <c r="F276" i="3"/>
  <c r="D276" i="3"/>
  <c r="C276" i="3"/>
  <c r="H275" i="3"/>
  <c r="G275" i="3"/>
  <c r="F275" i="3"/>
  <c r="D275" i="3"/>
  <c r="C275" i="3" s="1"/>
  <c r="H274" i="3"/>
  <c r="G274" i="3"/>
  <c r="F274" i="3"/>
  <c r="D274" i="3"/>
  <c r="C274" i="3" s="1"/>
  <c r="H273" i="3"/>
  <c r="G273" i="3"/>
  <c r="F273" i="3"/>
  <c r="D273" i="3"/>
  <c r="C273" i="3" s="1"/>
  <c r="H272" i="3"/>
  <c r="G272" i="3"/>
  <c r="F272" i="3"/>
  <c r="D272" i="3"/>
  <c r="C272" i="3" s="1"/>
  <c r="H271" i="3"/>
  <c r="G271" i="3"/>
  <c r="F271" i="3"/>
  <c r="D271" i="3"/>
  <c r="C271" i="3"/>
  <c r="H270" i="3"/>
  <c r="G270" i="3"/>
  <c r="F270" i="3"/>
  <c r="D270" i="3"/>
  <c r="C270" i="3"/>
  <c r="H269" i="3"/>
  <c r="G269" i="3"/>
  <c r="F269" i="3"/>
  <c r="D269" i="3"/>
  <c r="C269" i="3"/>
  <c r="H268" i="3"/>
  <c r="G268" i="3"/>
  <c r="F268" i="3"/>
  <c r="D268" i="3"/>
  <c r="C268" i="3"/>
  <c r="H267" i="3"/>
  <c r="G267" i="3"/>
  <c r="F267" i="3"/>
  <c r="D267" i="3"/>
  <c r="C267" i="3" s="1"/>
  <c r="H266" i="3"/>
  <c r="G266" i="3"/>
  <c r="F266" i="3"/>
  <c r="D266" i="3"/>
  <c r="C266" i="3" s="1"/>
  <c r="H265" i="3"/>
  <c r="G265" i="3"/>
  <c r="F265" i="3"/>
  <c r="D265" i="3"/>
  <c r="C265" i="3" s="1"/>
  <c r="H264" i="3"/>
  <c r="G264" i="3"/>
  <c r="F264" i="3"/>
  <c r="D264" i="3"/>
  <c r="C264" i="3" s="1"/>
  <c r="H263" i="3"/>
  <c r="G263" i="3"/>
  <c r="F263" i="3"/>
  <c r="D263" i="3"/>
  <c r="C263" i="3"/>
  <c r="H262" i="3"/>
  <c r="G262" i="3"/>
  <c r="F262" i="3"/>
  <c r="D262" i="3"/>
  <c r="C262" i="3"/>
  <c r="H261" i="3"/>
  <c r="G261" i="3"/>
  <c r="F261" i="3"/>
  <c r="D261" i="3"/>
  <c r="C261" i="3"/>
  <c r="H260" i="3"/>
  <c r="G260" i="3"/>
  <c r="F260" i="3"/>
  <c r="D260" i="3"/>
  <c r="C260" i="3"/>
  <c r="H259" i="3"/>
  <c r="G259" i="3"/>
  <c r="F259" i="3"/>
  <c r="D259" i="3"/>
  <c r="C259" i="3" s="1"/>
  <c r="H258" i="3"/>
  <c r="G258" i="3"/>
  <c r="F258" i="3"/>
  <c r="D258" i="3"/>
  <c r="C258" i="3" s="1"/>
  <c r="H257" i="3"/>
  <c r="G257" i="3"/>
  <c r="F257" i="3"/>
  <c r="D257" i="3"/>
  <c r="C257" i="3" s="1"/>
  <c r="H256" i="3"/>
  <c r="G256" i="3"/>
  <c r="F256" i="3"/>
  <c r="D256" i="3"/>
  <c r="C256" i="3" s="1"/>
  <c r="H255" i="3"/>
  <c r="G255" i="3"/>
  <c r="F255" i="3"/>
  <c r="D255" i="3"/>
  <c r="C255" i="3"/>
  <c r="H254" i="3"/>
  <c r="G254" i="3"/>
  <c r="F254" i="3"/>
  <c r="D254" i="3"/>
  <c r="C254" i="3"/>
  <c r="H253" i="3"/>
  <c r="G253" i="3"/>
  <c r="F253" i="3"/>
  <c r="D253" i="3"/>
  <c r="C253" i="3"/>
  <c r="H252" i="3"/>
  <c r="G252" i="3"/>
  <c r="F252" i="3"/>
  <c r="D252" i="3"/>
  <c r="C252" i="3"/>
  <c r="H251" i="3"/>
  <c r="G251" i="3"/>
  <c r="F251" i="3"/>
  <c r="D251" i="3"/>
  <c r="C251" i="3" s="1"/>
  <c r="H250" i="3"/>
  <c r="G250" i="3"/>
  <c r="F250" i="3"/>
  <c r="D250" i="3"/>
  <c r="C250" i="3" s="1"/>
  <c r="H249" i="3"/>
  <c r="G249" i="3"/>
  <c r="F249" i="3"/>
  <c r="D249" i="3"/>
  <c r="C249" i="3" s="1"/>
  <c r="H248" i="3"/>
  <c r="G248" i="3"/>
  <c r="F248" i="3"/>
  <c r="D248" i="3"/>
  <c r="C248" i="3" s="1"/>
  <c r="H247" i="3"/>
  <c r="G247" i="3"/>
  <c r="F247" i="3"/>
  <c r="D247" i="3"/>
  <c r="C247" i="3"/>
  <c r="H246" i="3"/>
  <c r="G246" i="3"/>
  <c r="F246" i="3"/>
  <c r="D246" i="3"/>
  <c r="C246" i="3"/>
  <c r="H245" i="3"/>
  <c r="G245" i="3"/>
  <c r="F245" i="3"/>
  <c r="D245" i="3"/>
  <c r="C245" i="3"/>
  <c r="H244" i="3"/>
  <c r="G244" i="3"/>
  <c r="F244" i="3"/>
  <c r="D244" i="3"/>
  <c r="C244" i="3"/>
  <c r="H243" i="3"/>
  <c r="G243" i="3"/>
  <c r="F243" i="3"/>
  <c r="D243" i="3"/>
  <c r="C243" i="3" s="1"/>
  <c r="H242" i="3"/>
  <c r="G242" i="3"/>
  <c r="F242" i="3"/>
  <c r="D242" i="3"/>
  <c r="C242" i="3" s="1"/>
  <c r="H241" i="3"/>
  <c r="G241" i="3"/>
  <c r="F241" i="3"/>
  <c r="D241" i="3"/>
  <c r="C241" i="3" s="1"/>
  <c r="H240" i="3"/>
  <c r="G240" i="3"/>
  <c r="F240" i="3"/>
  <c r="D240" i="3"/>
  <c r="C240" i="3" s="1"/>
  <c r="H239" i="3"/>
  <c r="G239" i="3"/>
  <c r="F239" i="3"/>
  <c r="D239" i="3"/>
  <c r="C239" i="3"/>
  <c r="H238" i="3"/>
  <c r="G238" i="3"/>
  <c r="F238" i="3"/>
  <c r="D238" i="3"/>
  <c r="C238" i="3"/>
  <c r="H237" i="3"/>
  <c r="G237" i="3"/>
  <c r="F237" i="3"/>
  <c r="D237" i="3"/>
  <c r="C237" i="3"/>
  <c r="H236" i="3"/>
  <c r="G236" i="3"/>
  <c r="F236" i="3"/>
  <c r="D236" i="3"/>
  <c r="C236" i="3"/>
  <c r="H235" i="3"/>
  <c r="G235" i="3"/>
  <c r="F235" i="3"/>
  <c r="D235" i="3"/>
  <c r="C235" i="3" s="1"/>
  <c r="H234" i="3"/>
  <c r="G234" i="3"/>
  <c r="F234" i="3"/>
  <c r="D234" i="3"/>
  <c r="C234" i="3" s="1"/>
  <c r="H233" i="3"/>
  <c r="G233" i="3"/>
  <c r="F233" i="3"/>
  <c r="D233" i="3"/>
  <c r="C233" i="3" s="1"/>
  <c r="H232" i="3"/>
  <c r="G232" i="3"/>
  <c r="F232" i="3"/>
  <c r="D232" i="3"/>
  <c r="C232" i="3" s="1"/>
  <c r="H231" i="3"/>
  <c r="G231" i="3"/>
  <c r="F231" i="3"/>
  <c r="D231" i="3"/>
  <c r="C231" i="3"/>
  <c r="H230" i="3"/>
  <c r="G230" i="3"/>
  <c r="F230" i="3"/>
  <c r="D230" i="3"/>
  <c r="C230" i="3"/>
  <c r="H229" i="3"/>
  <c r="G229" i="3"/>
  <c r="F229" i="3"/>
  <c r="D229" i="3"/>
  <c r="C229" i="3"/>
  <c r="H228" i="3"/>
  <c r="G228" i="3"/>
  <c r="F228" i="3"/>
  <c r="D228" i="3"/>
  <c r="C228" i="3"/>
  <c r="H227" i="3"/>
  <c r="G227" i="3"/>
  <c r="F227" i="3"/>
  <c r="D227" i="3"/>
  <c r="C227" i="3" s="1"/>
  <c r="H226" i="3"/>
  <c r="G226" i="3"/>
  <c r="F226" i="3"/>
  <c r="D226" i="3"/>
  <c r="C226" i="3" s="1"/>
  <c r="H225" i="3"/>
  <c r="G225" i="3"/>
  <c r="F225" i="3"/>
  <c r="D225" i="3"/>
  <c r="C225" i="3" s="1"/>
  <c r="H224" i="3"/>
  <c r="G224" i="3"/>
  <c r="F224" i="3"/>
  <c r="D224" i="3"/>
  <c r="C224" i="3" s="1"/>
  <c r="H223" i="3"/>
  <c r="G223" i="3"/>
  <c r="F223" i="3"/>
  <c r="D223" i="3"/>
  <c r="C223" i="3"/>
  <c r="H222" i="3"/>
  <c r="G222" i="3"/>
  <c r="F222" i="3"/>
  <c r="D222" i="3"/>
  <c r="C222" i="3"/>
  <c r="H221" i="3"/>
  <c r="G221" i="3"/>
  <c r="F221" i="3"/>
  <c r="D221" i="3"/>
  <c r="C221" i="3"/>
  <c r="H220" i="3"/>
  <c r="G220" i="3"/>
  <c r="F220" i="3"/>
  <c r="D220" i="3"/>
  <c r="C220" i="3"/>
  <c r="H219" i="3"/>
  <c r="G219" i="3"/>
  <c r="F219" i="3"/>
  <c r="D219" i="3"/>
  <c r="C219" i="3" s="1"/>
  <c r="H218" i="3"/>
  <c r="G218" i="3"/>
  <c r="F218" i="3"/>
  <c r="D218" i="3"/>
  <c r="C218" i="3" s="1"/>
  <c r="H217" i="3"/>
  <c r="G217" i="3"/>
  <c r="F217" i="3"/>
  <c r="D217" i="3"/>
  <c r="C217" i="3" s="1"/>
  <c r="H216" i="3"/>
  <c r="G216" i="3"/>
  <c r="F216" i="3"/>
  <c r="D216" i="3"/>
  <c r="C216" i="3" s="1"/>
  <c r="H215" i="3"/>
  <c r="G215" i="3"/>
  <c r="F215" i="3"/>
  <c r="D215" i="3"/>
  <c r="C215" i="3"/>
  <c r="H214" i="3"/>
  <c r="G214" i="3"/>
  <c r="F214" i="3"/>
  <c r="D214" i="3"/>
  <c r="C214" i="3"/>
  <c r="H213" i="3"/>
  <c r="G213" i="3"/>
  <c r="F213" i="3"/>
  <c r="D213" i="3"/>
  <c r="C213" i="3"/>
  <c r="H212" i="3"/>
  <c r="G212" i="3"/>
  <c r="F212" i="3"/>
  <c r="D212" i="3"/>
  <c r="C212" i="3"/>
  <c r="H211" i="3"/>
  <c r="G211" i="3"/>
  <c r="F211" i="3"/>
  <c r="D211" i="3"/>
  <c r="C211" i="3" s="1"/>
  <c r="H210" i="3"/>
  <c r="G210" i="3"/>
  <c r="F210" i="3"/>
  <c r="D210" i="3"/>
  <c r="C210" i="3" s="1"/>
  <c r="H209" i="3"/>
  <c r="G209" i="3"/>
  <c r="F209" i="3"/>
  <c r="D209" i="3"/>
  <c r="C209" i="3" s="1"/>
  <c r="H208" i="3"/>
  <c r="G208" i="3"/>
  <c r="F208" i="3"/>
  <c r="D208" i="3"/>
  <c r="C208" i="3" s="1"/>
  <c r="H207" i="3"/>
  <c r="G207" i="3"/>
  <c r="F207" i="3"/>
  <c r="D207" i="3"/>
  <c r="C207" i="3"/>
  <c r="H206" i="3"/>
  <c r="G206" i="3"/>
  <c r="F206" i="3"/>
  <c r="D206" i="3"/>
  <c r="C206" i="3"/>
  <c r="H205" i="3"/>
  <c r="G205" i="3"/>
  <c r="F205" i="3"/>
  <c r="D205" i="3"/>
  <c r="C205" i="3"/>
  <c r="H204" i="3"/>
  <c r="G204" i="3"/>
  <c r="F204" i="3"/>
  <c r="D204" i="3"/>
  <c r="C204" i="3"/>
  <c r="H203" i="3"/>
  <c r="G203" i="3"/>
  <c r="F203" i="3"/>
  <c r="D203" i="3"/>
  <c r="C203" i="3" s="1"/>
  <c r="H202" i="3"/>
  <c r="G202" i="3"/>
  <c r="F202" i="3"/>
  <c r="D202" i="3"/>
  <c r="C202" i="3" s="1"/>
  <c r="H201" i="3"/>
  <c r="G201" i="3"/>
  <c r="F201" i="3"/>
  <c r="D201" i="3"/>
  <c r="C201" i="3" s="1"/>
  <c r="H200" i="3"/>
  <c r="G200" i="3"/>
  <c r="F200" i="3"/>
  <c r="D200" i="3"/>
  <c r="C200" i="3" s="1"/>
  <c r="H199" i="3"/>
  <c r="G199" i="3"/>
  <c r="F199" i="3"/>
  <c r="D199" i="3"/>
  <c r="C199" i="3"/>
  <c r="H198" i="3"/>
  <c r="G198" i="3"/>
  <c r="F198" i="3"/>
  <c r="D198" i="3"/>
  <c r="C198" i="3"/>
  <c r="H197" i="3"/>
  <c r="G197" i="3"/>
  <c r="F197" i="3"/>
  <c r="D197" i="3"/>
  <c r="C197" i="3"/>
  <c r="H196" i="3"/>
  <c r="G196" i="3"/>
  <c r="F196" i="3"/>
  <c r="D196" i="3"/>
  <c r="C196" i="3"/>
  <c r="H195" i="3"/>
  <c r="G195" i="3"/>
  <c r="F195" i="3"/>
  <c r="D195" i="3"/>
  <c r="C195" i="3" s="1"/>
  <c r="H194" i="3"/>
  <c r="G194" i="3"/>
  <c r="F194" i="3"/>
  <c r="D194" i="3"/>
  <c r="C194" i="3" s="1"/>
  <c r="H193" i="3"/>
  <c r="G193" i="3"/>
  <c r="F193" i="3"/>
  <c r="D193" i="3"/>
  <c r="C193" i="3" s="1"/>
  <c r="H192" i="3"/>
  <c r="G192" i="3"/>
  <c r="F192" i="3"/>
  <c r="D192" i="3"/>
  <c r="C192" i="3" s="1"/>
  <c r="H191" i="3"/>
  <c r="G191" i="3"/>
  <c r="F191" i="3"/>
  <c r="D191" i="3"/>
  <c r="C191" i="3"/>
  <c r="H190" i="3"/>
  <c r="G190" i="3"/>
  <c r="F190" i="3"/>
  <c r="D190" i="3"/>
  <c r="C190" i="3"/>
  <c r="H189" i="3"/>
  <c r="G189" i="3"/>
  <c r="F189" i="3"/>
  <c r="D189" i="3"/>
  <c r="C189" i="3"/>
  <c r="H188" i="3"/>
  <c r="G188" i="3"/>
  <c r="F188" i="3"/>
  <c r="D188" i="3"/>
  <c r="C188" i="3"/>
  <c r="H187" i="3"/>
  <c r="G187" i="3"/>
  <c r="F187" i="3"/>
  <c r="D187" i="3"/>
  <c r="C187" i="3" s="1"/>
  <c r="H186" i="3"/>
  <c r="G186" i="3"/>
  <c r="F186" i="3"/>
  <c r="D186" i="3"/>
  <c r="C186" i="3" s="1"/>
  <c r="H185" i="3"/>
  <c r="G185" i="3"/>
  <c r="F185" i="3"/>
  <c r="D185" i="3"/>
  <c r="C185" i="3" s="1"/>
  <c r="H184" i="3"/>
  <c r="G184" i="3"/>
  <c r="F184" i="3"/>
  <c r="D184" i="3"/>
  <c r="C184" i="3" s="1"/>
  <c r="H183" i="3"/>
  <c r="G183" i="3"/>
  <c r="F183" i="3"/>
  <c r="D183" i="3"/>
  <c r="C183" i="3"/>
  <c r="H182" i="3"/>
  <c r="G182" i="3"/>
  <c r="F182" i="3"/>
  <c r="D182" i="3"/>
  <c r="C182" i="3"/>
  <c r="H181" i="3"/>
  <c r="G181" i="3"/>
  <c r="F181" i="3"/>
  <c r="D181" i="3"/>
  <c r="C181" i="3"/>
  <c r="H180" i="3"/>
  <c r="G180" i="3"/>
  <c r="F180" i="3"/>
  <c r="D180" i="3"/>
  <c r="C180" i="3"/>
  <c r="H179" i="3"/>
  <c r="G179" i="3"/>
  <c r="F179" i="3"/>
  <c r="D179" i="3"/>
  <c r="C179" i="3" s="1"/>
  <c r="H178" i="3"/>
  <c r="G178" i="3"/>
  <c r="F178" i="3"/>
  <c r="D178" i="3"/>
  <c r="C178" i="3" s="1"/>
  <c r="H177" i="3"/>
  <c r="G177" i="3"/>
  <c r="F177" i="3"/>
  <c r="D177" i="3"/>
  <c r="C177" i="3" s="1"/>
  <c r="H176" i="3"/>
  <c r="G176" i="3"/>
  <c r="F176" i="3"/>
  <c r="D176" i="3"/>
  <c r="C176" i="3" s="1"/>
  <c r="H175" i="3"/>
  <c r="G175" i="3"/>
  <c r="F175" i="3"/>
  <c r="D175" i="3"/>
  <c r="C175" i="3"/>
  <c r="H174" i="3"/>
  <c r="G174" i="3"/>
  <c r="F174" i="3"/>
  <c r="D174" i="3"/>
  <c r="C174" i="3"/>
  <c r="H173" i="3"/>
  <c r="G173" i="3"/>
  <c r="F173" i="3"/>
  <c r="D173" i="3"/>
  <c r="C173" i="3"/>
  <c r="H172" i="3"/>
  <c r="G172" i="3"/>
  <c r="F172" i="3"/>
  <c r="D172" i="3"/>
  <c r="C172" i="3"/>
  <c r="H171" i="3"/>
  <c r="G171" i="3"/>
  <c r="F171" i="3"/>
  <c r="D171" i="3"/>
  <c r="C171" i="3" s="1"/>
  <c r="H170" i="3"/>
  <c r="G170" i="3"/>
  <c r="F170" i="3"/>
  <c r="D170" i="3"/>
  <c r="C170" i="3" s="1"/>
  <c r="H169" i="3"/>
  <c r="G169" i="3"/>
  <c r="F169" i="3"/>
  <c r="D169" i="3"/>
  <c r="C169" i="3" s="1"/>
  <c r="H168" i="3"/>
  <c r="G168" i="3"/>
  <c r="F168" i="3"/>
  <c r="D168" i="3"/>
  <c r="C168" i="3" s="1"/>
  <c r="H167" i="3"/>
  <c r="G167" i="3"/>
  <c r="F167" i="3"/>
  <c r="D167" i="3"/>
  <c r="C167" i="3"/>
  <c r="H166" i="3"/>
  <c r="G166" i="3"/>
  <c r="F166" i="3"/>
  <c r="D166" i="3"/>
  <c r="C166" i="3"/>
  <c r="H165" i="3"/>
  <c r="G165" i="3"/>
  <c r="F165" i="3"/>
  <c r="D165" i="3"/>
  <c r="C165" i="3"/>
  <c r="H164" i="3"/>
  <c r="G164" i="3"/>
  <c r="F164" i="3"/>
  <c r="D164" i="3"/>
  <c r="C164" i="3"/>
  <c r="H163" i="3"/>
  <c r="G163" i="3"/>
  <c r="F163" i="3"/>
  <c r="D163" i="3"/>
  <c r="C163" i="3" s="1"/>
  <c r="H162" i="3"/>
  <c r="G162" i="3"/>
  <c r="F162" i="3"/>
  <c r="D162" i="3"/>
  <c r="C162" i="3" s="1"/>
  <c r="H161" i="3"/>
  <c r="G161" i="3"/>
  <c r="F161" i="3"/>
  <c r="D161" i="3"/>
  <c r="C161" i="3" s="1"/>
  <c r="H160" i="3"/>
  <c r="G160" i="3"/>
  <c r="F160" i="3"/>
  <c r="D160" i="3"/>
  <c r="C160" i="3" s="1"/>
  <c r="H159" i="3"/>
  <c r="G159" i="3"/>
  <c r="F159" i="3"/>
  <c r="D159" i="3"/>
  <c r="C159" i="3"/>
  <c r="H158" i="3"/>
  <c r="G158" i="3"/>
  <c r="F158" i="3"/>
  <c r="D158" i="3"/>
  <c r="C158" i="3"/>
  <c r="H157" i="3"/>
  <c r="G157" i="3"/>
  <c r="F157" i="3"/>
  <c r="D157" i="3"/>
  <c r="C157" i="3"/>
  <c r="H156" i="3"/>
  <c r="G156" i="3"/>
  <c r="F156" i="3"/>
  <c r="D156" i="3"/>
  <c r="C156" i="3"/>
  <c r="H155" i="3"/>
  <c r="G155" i="3"/>
  <c r="F155" i="3"/>
  <c r="D155" i="3"/>
  <c r="C155" i="3" s="1"/>
  <c r="H154" i="3"/>
  <c r="G154" i="3"/>
  <c r="F154" i="3"/>
  <c r="D154" i="3"/>
  <c r="C154" i="3" s="1"/>
  <c r="H153" i="3"/>
  <c r="G153" i="3"/>
  <c r="F153" i="3"/>
  <c r="D153" i="3"/>
  <c r="C153" i="3" s="1"/>
  <c r="H152" i="3"/>
  <c r="G152" i="3"/>
  <c r="F152" i="3"/>
  <c r="D152" i="3"/>
  <c r="C152" i="3" s="1"/>
  <c r="H151" i="3"/>
  <c r="G151" i="3"/>
  <c r="F151" i="3"/>
  <c r="D151" i="3"/>
  <c r="C151" i="3"/>
  <c r="H150" i="3"/>
  <c r="G150" i="3"/>
  <c r="F150" i="3"/>
  <c r="D150" i="3"/>
  <c r="C150" i="3"/>
  <c r="H149" i="3"/>
  <c r="G149" i="3"/>
  <c r="F149" i="3"/>
  <c r="D149" i="3"/>
  <c r="C149" i="3"/>
  <c r="H148" i="3"/>
  <c r="G148" i="3"/>
  <c r="F148" i="3"/>
  <c r="D148" i="3"/>
  <c r="C148" i="3"/>
  <c r="H147" i="3"/>
  <c r="G147" i="3"/>
  <c r="F147" i="3"/>
  <c r="D147" i="3"/>
  <c r="C147" i="3" s="1"/>
  <c r="H146" i="3"/>
  <c r="G146" i="3"/>
  <c r="F146" i="3"/>
  <c r="D146" i="3"/>
  <c r="C146" i="3" s="1"/>
  <c r="H145" i="3"/>
  <c r="G145" i="3"/>
  <c r="F145" i="3"/>
  <c r="D145" i="3"/>
  <c r="C145" i="3" s="1"/>
  <c r="H144" i="3"/>
  <c r="G144" i="3"/>
  <c r="F144" i="3"/>
  <c r="D144" i="3"/>
  <c r="C144" i="3" s="1"/>
  <c r="H143" i="3"/>
  <c r="G143" i="3"/>
  <c r="F143" i="3"/>
  <c r="D143" i="3"/>
  <c r="C143" i="3"/>
  <c r="H142" i="3"/>
  <c r="G142" i="3"/>
  <c r="F142" i="3"/>
  <c r="D142" i="3"/>
  <c r="C142" i="3"/>
  <c r="H141" i="3"/>
  <c r="G141" i="3"/>
  <c r="F141" i="3"/>
  <c r="D141" i="3"/>
  <c r="C141" i="3"/>
  <c r="H140" i="3"/>
  <c r="G140" i="3"/>
  <c r="F140" i="3"/>
  <c r="D140" i="3"/>
  <c r="C140" i="3"/>
  <c r="H139" i="3"/>
  <c r="G139" i="3"/>
  <c r="F139" i="3"/>
  <c r="D139" i="3"/>
  <c r="C139" i="3" s="1"/>
  <c r="H138" i="3"/>
  <c r="G138" i="3"/>
  <c r="F138" i="3"/>
  <c r="D138" i="3"/>
  <c r="C138" i="3" s="1"/>
  <c r="H137" i="3"/>
  <c r="G137" i="3"/>
  <c r="F137" i="3"/>
  <c r="D137" i="3"/>
  <c r="C137" i="3" s="1"/>
  <c r="H136" i="3"/>
  <c r="G136" i="3"/>
  <c r="F136" i="3"/>
  <c r="D136" i="3"/>
  <c r="C136" i="3" s="1"/>
  <c r="H135" i="3"/>
  <c r="G135" i="3"/>
  <c r="F135" i="3"/>
  <c r="D135" i="3"/>
  <c r="C135" i="3"/>
  <c r="H134" i="3"/>
  <c r="G134" i="3"/>
  <c r="F134" i="3"/>
  <c r="D134" i="3"/>
  <c r="C134" i="3"/>
  <c r="H133" i="3"/>
  <c r="G133" i="3"/>
  <c r="F133" i="3"/>
  <c r="D133" i="3"/>
  <c r="C133" i="3"/>
  <c r="H132" i="3"/>
  <c r="G132" i="3"/>
  <c r="F132" i="3"/>
  <c r="D132" i="3"/>
  <c r="C132" i="3"/>
  <c r="H131" i="3"/>
  <c r="G131" i="3"/>
  <c r="F131" i="3"/>
  <c r="D131" i="3"/>
  <c r="C131" i="3" s="1"/>
  <c r="H130" i="3"/>
  <c r="G130" i="3"/>
  <c r="F130" i="3"/>
  <c r="D130" i="3"/>
  <c r="C130" i="3" s="1"/>
  <c r="H129" i="3"/>
  <c r="G129" i="3"/>
  <c r="F129" i="3"/>
  <c r="D129" i="3"/>
  <c r="C129" i="3" s="1"/>
  <c r="H128" i="3"/>
  <c r="G128" i="3"/>
  <c r="F128" i="3"/>
  <c r="D128" i="3"/>
  <c r="C128" i="3" s="1"/>
  <c r="H127" i="3"/>
  <c r="G127" i="3"/>
  <c r="F127" i="3"/>
  <c r="D127" i="3"/>
  <c r="C127" i="3"/>
  <c r="H126" i="3"/>
  <c r="G126" i="3"/>
  <c r="F126" i="3"/>
  <c r="D126" i="3"/>
  <c r="C126" i="3"/>
  <c r="H125" i="3"/>
  <c r="G125" i="3"/>
  <c r="F125" i="3"/>
  <c r="D125" i="3"/>
  <c r="C125" i="3"/>
  <c r="H124" i="3"/>
  <c r="G124" i="3"/>
  <c r="F124" i="3"/>
  <c r="D124" i="3"/>
  <c r="C124" i="3"/>
  <c r="H123" i="3"/>
  <c r="G123" i="3"/>
  <c r="F123" i="3"/>
  <c r="D123" i="3"/>
  <c r="C123" i="3" s="1"/>
  <c r="H122" i="3"/>
  <c r="G122" i="3"/>
  <c r="F122" i="3"/>
  <c r="D122" i="3"/>
  <c r="C122" i="3" s="1"/>
  <c r="H121" i="3"/>
  <c r="G121" i="3"/>
  <c r="F121" i="3"/>
  <c r="D121" i="3"/>
  <c r="C121" i="3" s="1"/>
  <c r="H120" i="3"/>
  <c r="G120" i="3"/>
  <c r="F120" i="3"/>
  <c r="D120" i="3"/>
  <c r="C120" i="3" s="1"/>
  <c r="H119" i="3"/>
  <c r="G119" i="3"/>
  <c r="F119" i="3"/>
  <c r="D119" i="3"/>
  <c r="C119" i="3"/>
  <c r="H118" i="3"/>
  <c r="G118" i="3"/>
  <c r="F118" i="3"/>
  <c r="D118" i="3"/>
  <c r="C118" i="3"/>
  <c r="H117" i="3"/>
  <c r="G117" i="3"/>
  <c r="F117" i="3"/>
  <c r="D117" i="3"/>
  <c r="C117" i="3"/>
  <c r="H116" i="3"/>
  <c r="G116" i="3"/>
  <c r="F116" i="3"/>
  <c r="D116" i="3"/>
  <c r="C116" i="3"/>
  <c r="H115" i="3"/>
  <c r="G115" i="3"/>
  <c r="F115" i="3"/>
  <c r="D115" i="3"/>
  <c r="C115" i="3" s="1"/>
  <c r="H114" i="3"/>
  <c r="G114" i="3"/>
  <c r="F114" i="3"/>
  <c r="D114" i="3"/>
  <c r="C114" i="3" s="1"/>
  <c r="H113" i="3"/>
  <c r="G113" i="3"/>
  <c r="F113" i="3"/>
  <c r="D113" i="3"/>
  <c r="C113" i="3" s="1"/>
  <c r="H112" i="3"/>
  <c r="G112" i="3"/>
  <c r="F112" i="3"/>
  <c r="D112" i="3"/>
  <c r="C112" i="3" s="1"/>
  <c r="H111" i="3"/>
  <c r="G111" i="3"/>
  <c r="F111" i="3"/>
  <c r="D111" i="3"/>
  <c r="C111" i="3"/>
  <c r="H110" i="3"/>
  <c r="G110" i="3"/>
  <c r="F110" i="3"/>
  <c r="D110" i="3"/>
  <c r="C110" i="3"/>
  <c r="H109" i="3"/>
  <c r="G109" i="3"/>
  <c r="F109" i="3"/>
  <c r="D109" i="3"/>
  <c r="C109" i="3"/>
  <c r="H108" i="3"/>
  <c r="G108" i="3"/>
  <c r="F108" i="3"/>
  <c r="D108" i="3"/>
  <c r="C108" i="3"/>
  <c r="H107" i="3"/>
  <c r="G107" i="3"/>
  <c r="F107" i="3"/>
  <c r="D107" i="3"/>
  <c r="C107" i="3" s="1"/>
  <c r="H106" i="3"/>
  <c r="G106" i="3"/>
  <c r="F106" i="3"/>
  <c r="D106" i="3"/>
  <c r="C106" i="3" s="1"/>
  <c r="H105" i="3"/>
  <c r="G105" i="3"/>
  <c r="F105" i="3"/>
  <c r="D105" i="3"/>
  <c r="C105" i="3" s="1"/>
  <c r="H104" i="3"/>
  <c r="G104" i="3"/>
  <c r="F104" i="3"/>
  <c r="D104" i="3"/>
  <c r="C104" i="3" s="1"/>
  <c r="H103" i="3"/>
  <c r="G103" i="3"/>
  <c r="F103" i="3"/>
  <c r="D103" i="3"/>
  <c r="C103" i="3"/>
  <c r="H102" i="3"/>
  <c r="G102" i="3"/>
  <c r="F102" i="3"/>
  <c r="D102" i="3"/>
  <c r="C102" i="3"/>
  <c r="H101" i="3"/>
  <c r="G101" i="3"/>
  <c r="F101" i="3"/>
  <c r="D101" i="3"/>
  <c r="C101" i="3"/>
  <c r="H100" i="3"/>
  <c r="G100" i="3"/>
  <c r="F100" i="3"/>
  <c r="D100" i="3"/>
  <c r="C100" i="3"/>
  <c r="H99" i="3"/>
  <c r="G99" i="3"/>
  <c r="F99" i="3"/>
  <c r="D99" i="3"/>
  <c r="C99" i="3" s="1"/>
  <c r="H98" i="3"/>
  <c r="G98" i="3"/>
  <c r="F98" i="3"/>
  <c r="D98" i="3"/>
  <c r="C98" i="3" s="1"/>
  <c r="H97" i="3"/>
  <c r="G97" i="3"/>
  <c r="F97" i="3"/>
  <c r="D97" i="3"/>
  <c r="C97" i="3" s="1"/>
  <c r="H96" i="3"/>
  <c r="G96" i="3"/>
  <c r="F96" i="3"/>
  <c r="D96" i="3"/>
  <c r="C96" i="3" s="1"/>
  <c r="H95" i="3"/>
  <c r="G95" i="3"/>
  <c r="F95" i="3"/>
  <c r="D95" i="3"/>
  <c r="C95" i="3"/>
  <c r="H94" i="3"/>
  <c r="G94" i="3"/>
  <c r="F94" i="3"/>
  <c r="D94" i="3"/>
  <c r="C94" i="3"/>
  <c r="H93" i="3"/>
  <c r="G93" i="3"/>
  <c r="F93" i="3"/>
  <c r="D93" i="3"/>
  <c r="C93" i="3"/>
  <c r="H92" i="3"/>
  <c r="G92" i="3"/>
  <c r="F92" i="3"/>
  <c r="D92" i="3"/>
  <c r="C92" i="3"/>
  <c r="H91" i="3"/>
  <c r="G91" i="3"/>
  <c r="F91" i="3"/>
  <c r="D91" i="3"/>
  <c r="C91" i="3" s="1"/>
  <c r="H90" i="3"/>
  <c r="G90" i="3"/>
  <c r="F90" i="3"/>
  <c r="D90" i="3"/>
  <c r="C90" i="3" s="1"/>
  <c r="H89" i="3"/>
  <c r="G89" i="3"/>
  <c r="F89" i="3"/>
  <c r="D89" i="3"/>
  <c r="C89" i="3" s="1"/>
  <c r="H88" i="3"/>
  <c r="G88" i="3"/>
  <c r="F88" i="3"/>
  <c r="D88" i="3"/>
  <c r="C88" i="3" s="1"/>
  <c r="H87" i="3"/>
  <c r="G87" i="3"/>
  <c r="F87" i="3"/>
  <c r="D87" i="3"/>
  <c r="C87" i="3"/>
  <c r="H86" i="3"/>
  <c r="G86" i="3"/>
  <c r="F86" i="3"/>
  <c r="D86" i="3"/>
  <c r="C86" i="3"/>
  <c r="H85" i="3"/>
  <c r="G85" i="3"/>
  <c r="F85" i="3"/>
  <c r="D85" i="3"/>
  <c r="C85" i="3"/>
  <c r="H84" i="3"/>
  <c r="G84" i="3"/>
  <c r="F84" i="3"/>
  <c r="D84" i="3"/>
  <c r="C84" i="3"/>
  <c r="H83" i="3"/>
  <c r="G83" i="3"/>
  <c r="F83" i="3"/>
  <c r="D83" i="3"/>
  <c r="C83" i="3" s="1"/>
  <c r="H82" i="3"/>
  <c r="G82" i="3"/>
  <c r="F82" i="3"/>
  <c r="D82" i="3"/>
  <c r="C82" i="3" s="1"/>
  <c r="H81" i="3"/>
  <c r="G81" i="3"/>
  <c r="F81" i="3"/>
  <c r="D81" i="3"/>
  <c r="C81" i="3" s="1"/>
  <c r="H80" i="3"/>
  <c r="G80" i="3"/>
  <c r="F80" i="3"/>
  <c r="D80" i="3"/>
  <c r="C80" i="3" s="1"/>
  <c r="H79" i="3"/>
  <c r="G79" i="3"/>
  <c r="F79" i="3"/>
  <c r="D79" i="3"/>
  <c r="C79" i="3"/>
  <c r="H78" i="3"/>
  <c r="G78" i="3"/>
  <c r="F78" i="3"/>
  <c r="D78" i="3"/>
  <c r="C78" i="3"/>
  <c r="H77" i="3"/>
  <c r="G77" i="3"/>
  <c r="F77" i="3"/>
  <c r="D77" i="3"/>
  <c r="C77" i="3"/>
  <c r="H76" i="3"/>
  <c r="G76" i="3"/>
  <c r="F76" i="3"/>
  <c r="D76" i="3"/>
  <c r="C76" i="3"/>
  <c r="H75" i="3"/>
  <c r="G75" i="3"/>
  <c r="F75" i="3"/>
  <c r="D75" i="3"/>
  <c r="C75" i="3" s="1"/>
  <c r="H74" i="3"/>
  <c r="G74" i="3"/>
  <c r="F74" i="3"/>
  <c r="D74" i="3"/>
  <c r="C74" i="3" s="1"/>
  <c r="H73" i="3"/>
  <c r="G73" i="3"/>
  <c r="F73" i="3"/>
  <c r="D73" i="3"/>
  <c r="C73" i="3" s="1"/>
  <c r="H72" i="3"/>
  <c r="G72" i="3"/>
  <c r="F72" i="3"/>
  <c r="D72" i="3"/>
  <c r="C72" i="3" s="1"/>
  <c r="H71" i="3"/>
  <c r="G71" i="3"/>
  <c r="F71" i="3"/>
  <c r="D71" i="3"/>
  <c r="C71" i="3"/>
  <c r="H70" i="3"/>
  <c r="G70" i="3"/>
  <c r="F70" i="3"/>
  <c r="D70" i="3"/>
  <c r="C70" i="3"/>
  <c r="H69" i="3"/>
  <c r="G69" i="3"/>
  <c r="F69" i="3"/>
  <c r="D69" i="3"/>
  <c r="C69" i="3"/>
  <c r="H68" i="3"/>
  <c r="G68" i="3"/>
  <c r="F68" i="3"/>
  <c r="D68" i="3"/>
  <c r="C68" i="3"/>
  <c r="H67" i="3"/>
  <c r="G67" i="3"/>
  <c r="F67" i="3"/>
  <c r="D67" i="3"/>
  <c r="C67" i="3" s="1"/>
  <c r="H66" i="3"/>
  <c r="G66" i="3"/>
  <c r="F66" i="3"/>
  <c r="D66" i="3"/>
  <c r="C66" i="3" s="1"/>
  <c r="H65" i="3"/>
  <c r="G65" i="3"/>
  <c r="F65" i="3"/>
  <c r="D65" i="3"/>
  <c r="C65" i="3" s="1"/>
  <c r="H64" i="3"/>
  <c r="G64" i="3"/>
  <c r="F64" i="3"/>
  <c r="D64" i="3"/>
  <c r="C64" i="3" s="1"/>
  <c r="H63" i="3"/>
  <c r="G63" i="3"/>
  <c r="F63" i="3"/>
  <c r="D63" i="3"/>
  <c r="C63" i="3"/>
  <c r="H62" i="3"/>
  <c r="G62" i="3"/>
  <c r="F62" i="3"/>
  <c r="D62" i="3"/>
  <c r="C62" i="3"/>
  <c r="H61" i="3"/>
  <c r="G61" i="3"/>
  <c r="F61" i="3"/>
  <c r="D61" i="3"/>
  <c r="C61" i="3"/>
  <c r="H60" i="3"/>
  <c r="G60" i="3"/>
  <c r="F60" i="3"/>
  <c r="D60" i="3"/>
  <c r="C60" i="3"/>
  <c r="H59" i="3"/>
  <c r="G59" i="3"/>
  <c r="F59" i="3"/>
  <c r="D59" i="3"/>
  <c r="C59" i="3" s="1"/>
  <c r="H58" i="3"/>
  <c r="G58" i="3"/>
  <c r="F58" i="3"/>
  <c r="D58" i="3"/>
  <c r="C58" i="3" s="1"/>
  <c r="H57" i="3"/>
  <c r="G57" i="3"/>
  <c r="F57" i="3"/>
  <c r="D57" i="3"/>
  <c r="C57" i="3" s="1"/>
  <c r="H56" i="3"/>
  <c r="G56" i="3"/>
  <c r="F56" i="3"/>
  <c r="D56" i="3"/>
  <c r="C56" i="3" s="1"/>
  <c r="H55" i="3"/>
  <c r="G55" i="3"/>
  <c r="F55" i="3"/>
  <c r="D55" i="3"/>
  <c r="C55" i="3"/>
  <c r="H54" i="3"/>
  <c r="G54" i="3"/>
  <c r="F54" i="3"/>
  <c r="D54" i="3"/>
  <c r="C54" i="3"/>
  <c r="H53" i="3"/>
  <c r="G53" i="3"/>
  <c r="F53" i="3"/>
  <c r="D53" i="3"/>
  <c r="C53" i="3"/>
  <c r="H52" i="3"/>
  <c r="G52" i="3"/>
  <c r="F52" i="3"/>
  <c r="D52" i="3"/>
  <c r="C52" i="3"/>
  <c r="H51" i="3"/>
  <c r="G51" i="3"/>
  <c r="F51" i="3"/>
  <c r="D51" i="3"/>
  <c r="C51" i="3" s="1"/>
  <c r="H50" i="3"/>
  <c r="G50" i="3"/>
  <c r="F50" i="3"/>
  <c r="D50" i="3"/>
  <c r="C50" i="3" s="1"/>
  <c r="H49" i="3"/>
  <c r="G49" i="3"/>
  <c r="F49" i="3"/>
  <c r="D49" i="3"/>
  <c r="C49" i="3" s="1"/>
  <c r="H48" i="3"/>
  <c r="G48" i="3"/>
  <c r="F48" i="3"/>
  <c r="D48" i="3"/>
  <c r="C48" i="3" s="1"/>
  <c r="H47" i="3"/>
  <c r="G47" i="3"/>
  <c r="F47" i="3"/>
  <c r="D47" i="3"/>
  <c r="C47" i="3"/>
  <c r="H46" i="3"/>
  <c r="G46" i="3"/>
  <c r="F46" i="3"/>
  <c r="D46" i="3"/>
  <c r="C46" i="3"/>
  <c r="H45" i="3"/>
  <c r="G45" i="3"/>
  <c r="F45" i="3"/>
  <c r="D45" i="3"/>
  <c r="C45" i="3"/>
  <c r="H44" i="3"/>
  <c r="G44" i="3"/>
  <c r="F44" i="3"/>
  <c r="D44" i="3"/>
  <c r="C44" i="3"/>
  <c r="H43" i="3"/>
  <c r="G43" i="3"/>
  <c r="F43" i="3"/>
  <c r="D43" i="3"/>
  <c r="C43" i="3" s="1"/>
  <c r="H42" i="3"/>
  <c r="G42" i="3"/>
  <c r="F42" i="3"/>
  <c r="D42" i="3"/>
  <c r="C42" i="3" s="1"/>
  <c r="H41" i="3"/>
  <c r="G41" i="3"/>
  <c r="F41" i="3"/>
  <c r="D41" i="3"/>
  <c r="C41" i="3" s="1"/>
  <c r="H40" i="3"/>
  <c r="G40" i="3"/>
  <c r="F40" i="3"/>
  <c r="D40" i="3"/>
  <c r="C40" i="3" s="1"/>
  <c r="H39" i="3"/>
  <c r="G39" i="3"/>
  <c r="F39" i="3"/>
  <c r="D39" i="3"/>
  <c r="C39" i="3"/>
  <c r="H38" i="3"/>
  <c r="G38" i="3"/>
  <c r="F38" i="3"/>
  <c r="D38" i="3"/>
  <c r="C38" i="3"/>
  <c r="H37" i="3"/>
  <c r="G37" i="3"/>
  <c r="F37" i="3"/>
  <c r="D37" i="3"/>
  <c r="C37" i="3"/>
  <c r="H36" i="3"/>
  <c r="G36" i="3"/>
  <c r="F36" i="3"/>
  <c r="D36" i="3"/>
  <c r="C36" i="3"/>
  <c r="H35" i="3"/>
  <c r="G35" i="3"/>
  <c r="F35" i="3"/>
  <c r="D35" i="3"/>
  <c r="C35" i="3" s="1"/>
  <c r="H34" i="3"/>
  <c r="G34" i="3"/>
  <c r="F34" i="3"/>
  <c r="D34" i="3"/>
  <c r="C34" i="3" s="1"/>
  <c r="H33" i="3"/>
  <c r="G33" i="3"/>
  <c r="F33" i="3"/>
  <c r="D33" i="3"/>
  <c r="C33" i="3" s="1"/>
  <c r="H32" i="3"/>
  <c r="G32" i="3"/>
  <c r="F32" i="3"/>
  <c r="D32" i="3"/>
  <c r="C32" i="3" s="1"/>
  <c r="H31" i="3"/>
  <c r="G31" i="3"/>
  <c r="F31" i="3"/>
  <c r="D31" i="3"/>
  <c r="C31" i="3"/>
  <c r="H30" i="3"/>
  <c r="G30" i="3"/>
  <c r="F30" i="3"/>
  <c r="D30" i="3"/>
  <c r="C30" i="3"/>
  <c r="H29" i="3"/>
  <c r="G29" i="3"/>
  <c r="F29" i="3"/>
  <c r="D29" i="3"/>
  <c r="C29" i="3"/>
  <c r="H28" i="3"/>
  <c r="G28" i="3"/>
  <c r="F28" i="3"/>
  <c r="D28" i="3"/>
  <c r="C28" i="3"/>
  <c r="H27" i="3"/>
  <c r="G27" i="3"/>
  <c r="F27" i="3"/>
  <c r="D27" i="3"/>
  <c r="C27" i="3" s="1"/>
  <c r="H26" i="3"/>
  <c r="G26" i="3"/>
  <c r="F26" i="3"/>
  <c r="D26" i="3"/>
  <c r="C26" i="3" s="1"/>
  <c r="H25" i="3"/>
  <c r="G25" i="3"/>
  <c r="F25" i="3"/>
  <c r="D25" i="3"/>
  <c r="C25" i="3" s="1"/>
  <c r="H24" i="3"/>
  <c r="G24" i="3"/>
  <c r="F24" i="3"/>
  <c r="D24" i="3"/>
  <c r="C24" i="3" s="1"/>
  <c r="H23" i="3"/>
  <c r="G23" i="3"/>
  <c r="F23" i="3"/>
  <c r="D23" i="3"/>
  <c r="C23" i="3"/>
  <c r="H22" i="3"/>
  <c r="G22" i="3"/>
  <c r="F22" i="3"/>
  <c r="D22" i="3"/>
  <c r="C22" i="3"/>
  <c r="H21" i="3"/>
  <c r="G21" i="3"/>
  <c r="F21" i="3"/>
  <c r="D21" i="3"/>
  <c r="C21" i="3"/>
  <c r="H20" i="3"/>
  <c r="G20" i="3"/>
  <c r="F20" i="3"/>
  <c r="D20" i="3"/>
  <c r="C20" i="3"/>
  <c r="H19" i="3"/>
  <c r="G19" i="3"/>
  <c r="F19" i="3"/>
  <c r="D19" i="3"/>
  <c r="C19" i="3" s="1"/>
  <c r="H18" i="3"/>
  <c r="G18" i="3"/>
  <c r="F18" i="3"/>
  <c r="D18" i="3"/>
  <c r="C18" i="3" s="1"/>
  <c r="H17" i="3"/>
  <c r="G17" i="3"/>
  <c r="F17" i="3"/>
  <c r="D17" i="3"/>
  <c r="C17" i="3" s="1"/>
  <c r="H16" i="3"/>
  <c r="G16" i="3"/>
  <c r="F16" i="3"/>
  <c r="D16" i="3"/>
  <c r="C16" i="3" s="1"/>
  <c r="H15" i="3"/>
  <c r="G15" i="3"/>
  <c r="F15" i="3"/>
  <c r="D15" i="3"/>
  <c r="C15" i="3"/>
  <c r="H14" i="3"/>
  <c r="G14" i="3"/>
  <c r="F14" i="3"/>
  <c r="D14" i="3"/>
  <c r="C14" i="3"/>
  <c r="H13" i="3"/>
  <c r="G13" i="3"/>
  <c r="F13" i="3"/>
  <c r="D13" i="3"/>
  <c r="C13" i="3"/>
  <c r="H12" i="3"/>
  <c r="G12" i="3"/>
  <c r="F12" i="3"/>
  <c r="D12" i="3"/>
  <c r="C12" i="3"/>
  <c r="H11" i="3"/>
  <c r="G11" i="3"/>
  <c r="F11" i="3"/>
  <c r="D11" i="3"/>
  <c r="C11" i="3" s="1"/>
  <c r="H10" i="3"/>
  <c r="G10" i="3"/>
  <c r="F10" i="3"/>
  <c r="D10" i="3"/>
  <c r="C10" i="3" s="1"/>
  <c r="H9" i="3"/>
  <c r="G9" i="3"/>
  <c r="F9" i="3"/>
  <c r="D9" i="3"/>
  <c r="C9" i="3" s="1"/>
  <c r="H8" i="3"/>
  <c r="G8" i="3"/>
  <c r="F8" i="3"/>
  <c r="D8" i="3"/>
  <c r="C8" i="3" s="1"/>
  <c r="H7" i="3"/>
  <c r="G7" i="3"/>
  <c r="F7" i="3"/>
  <c r="D7" i="3"/>
  <c r="C7" i="3"/>
  <c r="H6" i="3"/>
  <c r="G6" i="3"/>
  <c r="F6" i="3"/>
  <c r="D6" i="3"/>
  <c r="C6" i="3"/>
  <c r="H5" i="3"/>
  <c r="G5" i="3"/>
  <c r="F5" i="3"/>
  <c r="C5" i="3"/>
  <c r="H4" i="3"/>
  <c r="G4" i="3"/>
  <c r="F4" i="3"/>
  <c r="D4" i="3"/>
  <c r="H3" i="3"/>
  <c r="F3" i="3"/>
  <c r="D3" i="3"/>
  <c r="C2" i="3"/>
  <c r="B5581" i="3" l="1"/>
  <c r="B5573" i="3"/>
  <c r="B5565" i="3"/>
  <c r="B5557" i="3"/>
  <c r="B5549" i="3"/>
  <c r="B5541" i="3"/>
  <c r="B5533" i="3"/>
  <c r="B5525" i="3"/>
  <c r="B5517" i="3"/>
  <c r="B5509" i="3"/>
  <c r="B5501" i="3"/>
  <c r="B5493" i="3"/>
  <c r="B5485" i="3"/>
  <c r="B5578" i="3"/>
  <c r="B5570" i="3"/>
  <c r="B5562" i="3"/>
  <c r="B5554" i="3"/>
  <c r="B5546" i="3"/>
  <c r="B5538" i="3"/>
  <c r="B5530" i="3"/>
  <c r="B5522" i="3"/>
  <c r="B5514" i="3"/>
  <c r="B5506" i="3"/>
  <c r="B5498" i="3"/>
  <c r="B5490" i="3"/>
  <c r="B5482" i="3"/>
  <c r="B5583" i="3"/>
  <c r="B5575" i="3"/>
  <c r="B5567" i="3"/>
  <c r="B5559" i="3"/>
  <c r="B5551" i="3"/>
  <c r="B5543" i="3"/>
  <c r="B5535" i="3"/>
  <c r="B5527" i="3"/>
  <c r="B5519" i="3"/>
  <c r="B5511" i="3"/>
  <c r="B5503" i="3"/>
  <c r="B5495" i="3"/>
  <c r="B5487" i="3"/>
  <c r="B5479" i="3"/>
  <c r="B5580" i="3"/>
  <c r="B5572" i="3"/>
  <c r="B5564" i="3"/>
  <c r="B5556" i="3"/>
  <c r="B5548" i="3"/>
  <c r="B5540" i="3"/>
  <c r="B5532" i="3"/>
  <c r="B5524" i="3"/>
  <c r="B5516" i="3"/>
  <c r="B5508" i="3"/>
  <c r="B5500" i="3"/>
  <c r="B5492" i="3"/>
  <c r="B5484" i="3"/>
  <c r="B5585" i="3"/>
  <c r="B5577" i="3"/>
  <c r="B5569" i="3"/>
  <c r="B5561" i="3"/>
  <c r="B5553" i="3"/>
  <c r="B5545" i="3"/>
  <c r="B5537" i="3"/>
  <c r="B5529" i="3"/>
  <c r="B5521" i="3"/>
  <c r="B5513" i="3"/>
  <c r="B5505" i="3"/>
  <c r="B5497" i="3"/>
  <c r="B5489" i="3"/>
  <c r="B5481" i="3"/>
  <c r="B5579" i="3"/>
  <c r="B5571" i="3"/>
  <c r="B5563" i="3"/>
  <c r="B5555" i="3"/>
  <c r="B5547" i="3"/>
  <c r="B5539" i="3"/>
  <c r="B5531" i="3"/>
  <c r="B5523" i="3"/>
  <c r="B5515" i="3"/>
  <c r="B5507" i="3"/>
  <c r="B5499" i="3"/>
  <c r="B5491" i="3"/>
  <c r="B5483" i="3"/>
  <c r="B5568" i="3"/>
  <c r="B5526" i="3"/>
  <c r="B5504" i="3"/>
  <c r="B5576" i="3"/>
  <c r="B5534" i="3"/>
  <c r="B5512" i="3"/>
  <c r="B5478" i="3"/>
  <c r="B5584" i="3"/>
  <c r="B5542" i="3"/>
  <c r="B5520" i="3"/>
  <c r="B5486" i="3"/>
  <c r="B5550" i="3"/>
  <c r="B5528" i="3"/>
  <c r="B5558" i="3"/>
  <c r="B5536" i="3"/>
  <c r="B5494" i="3"/>
  <c r="B5480" i="3"/>
  <c r="B5566" i="3"/>
  <c r="B5544" i="3"/>
  <c r="B5502" i="3"/>
  <c r="B5488" i="3"/>
  <c r="B5574" i="3"/>
  <c r="B5552" i="3"/>
  <c r="B5510" i="3"/>
  <c r="B5582" i="3"/>
  <c r="B5560" i="3"/>
  <c r="B5518" i="3"/>
  <c r="B5496" i="3"/>
</calcChain>
</file>

<file path=xl/sharedStrings.xml><?xml version="1.0" encoding="utf-8"?>
<sst xmlns="http://schemas.openxmlformats.org/spreadsheetml/2006/main" count="4" uniqueCount="4">
  <si>
    <t>https://www.exchangerates.org.uk/USD-PKR-exchange-rate-history-full.html</t>
  </si>
  <si>
    <t>Date</t>
  </si>
  <si>
    <t>PKR/USD</t>
  </si>
  <si>
    <t>Years after Independ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</si>
</sst>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scheme val="minor"/>
    </font>
    <font>
      <sz val="10"/>
      <color rgb="FF000000"/>
      <name val="Arial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1" fillId="2" borderId="1" xfId="0" applyNumberFormat="1" applyFont="1" applyFill="1" applyBorder="1" applyAlignment="1">
      <alignment vertical="center" wrapText="1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15" fontId="1" fillId="2" borderId="2" xfId="0" applyNumberFormat="1" applyFont="1" applyFill="1" applyBorder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4" fillId="0" borderId="0" xfId="0" applyNumberFormat="1" applyFont="1" applyAlignment="1">
      <alignment wrapText="1"/>
    </xf>
    <xf numFmtId="15" fontId="1" fillId="2" borderId="2" xfId="0" applyNumberFormat="1" applyFont="1" applyFill="1" applyBorder="1" applyAlignment="1">
      <alignment vertical="center"/>
    </xf>
    <xf numFmtId="164" fontId="5" fillId="0" borderId="0" xfId="0" applyNumberFormat="1" applyFont="1"/>
    <xf numFmtId="164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Logarithmic PKR/USD Compared to 6.75% Growth (Since Independence)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PKR/USD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00-A5A4-4F50-B6D1-FA1A690B2EB5}"/>
              </c:ext>
            </c:extLst>
          </c:dPt>
          <c:cat>
            <c:numRef>
              <c:f>Data!$A$4:$A$6305</c:f>
              <c:numCache>
                <c:formatCode>d\-mmm\-yy</c:formatCode>
                <c:ptCount val="6302"/>
                <c:pt idx="0">
                  <c:v>17533</c:v>
                </c:pt>
                <c:pt idx="1">
                  <c:v>17899</c:v>
                </c:pt>
                <c:pt idx="2">
                  <c:v>18264</c:v>
                </c:pt>
                <c:pt idx="3">
                  <c:v>18629</c:v>
                </c:pt>
                <c:pt idx="4">
                  <c:v>18994</c:v>
                </c:pt>
                <c:pt idx="5">
                  <c:v>19360</c:v>
                </c:pt>
                <c:pt idx="6">
                  <c:v>19725</c:v>
                </c:pt>
                <c:pt idx="7">
                  <c:v>20090</c:v>
                </c:pt>
                <c:pt idx="8">
                  <c:v>20270</c:v>
                </c:pt>
                <c:pt idx="9">
                  <c:v>20271</c:v>
                </c:pt>
                <c:pt idx="10">
                  <c:v>20455</c:v>
                </c:pt>
                <c:pt idx="11">
                  <c:v>20821</c:v>
                </c:pt>
                <c:pt idx="12">
                  <c:v>21186</c:v>
                </c:pt>
                <c:pt idx="13">
                  <c:v>21551</c:v>
                </c:pt>
                <c:pt idx="14">
                  <c:v>21916</c:v>
                </c:pt>
                <c:pt idx="15">
                  <c:v>22282</c:v>
                </c:pt>
                <c:pt idx="16">
                  <c:v>22647</c:v>
                </c:pt>
                <c:pt idx="17">
                  <c:v>23012</c:v>
                </c:pt>
                <c:pt idx="18">
                  <c:v>23377</c:v>
                </c:pt>
                <c:pt idx="19">
                  <c:v>23743</c:v>
                </c:pt>
                <c:pt idx="20">
                  <c:v>24108</c:v>
                </c:pt>
                <c:pt idx="21">
                  <c:v>24473</c:v>
                </c:pt>
                <c:pt idx="22">
                  <c:v>24838</c:v>
                </c:pt>
                <c:pt idx="23">
                  <c:v>25204</c:v>
                </c:pt>
                <c:pt idx="24">
                  <c:v>25569</c:v>
                </c:pt>
                <c:pt idx="25">
                  <c:v>25934</c:v>
                </c:pt>
                <c:pt idx="26">
                  <c:v>26299</c:v>
                </c:pt>
                <c:pt idx="27">
                  <c:v>26420</c:v>
                </c:pt>
                <c:pt idx="28">
                  <c:v>26665</c:v>
                </c:pt>
                <c:pt idx="29">
                  <c:v>27030</c:v>
                </c:pt>
                <c:pt idx="30">
                  <c:v>27395</c:v>
                </c:pt>
                <c:pt idx="31">
                  <c:v>27760</c:v>
                </c:pt>
                <c:pt idx="32">
                  <c:v>28126</c:v>
                </c:pt>
                <c:pt idx="33">
                  <c:v>28491</c:v>
                </c:pt>
                <c:pt idx="34">
                  <c:v>28856</c:v>
                </c:pt>
                <c:pt idx="35">
                  <c:v>29221</c:v>
                </c:pt>
                <c:pt idx="36">
                  <c:v>29587</c:v>
                </c:pt>
                <c:pt idx="37">
                  <c:v>29951</c:v>
                </c:pt>
                <c:pt idx="38">
                  <c:v>29982</c:v>
                </c:pt>
                <c:pt idx="39">
                  <c:v>30010</c:v>
                </c:pt>
                <c:pt idx="40">
                  <c:v>30041</c:v>
                </c:pt>
                <c:pt idx="41">
                  <c:v>30071</c:v>
                </c:pt>
                <c:pt idx="42">
                  <c:v>30102</c:v>
                </c:pt>
                <c:pt idx="43">
                  <c:v>30132</c:v>
                </c:pt>
                <c:pt idx="44">
                  <c:v>30163</c:v>
                </c:pt>
                <c:pt idx="45">
                  <c:v>30194</c:v>
                </c:pt>
                <c:pt idx="46">
                  <c:v>30224</c:v>
                </c:pt>
                <c:pt idx="47">
                  <c:v>30255</c:v>
                </c:pt>
                <c:pt idx="48">
                  <c:v>30285</c:v>
                </c:pt>
                <c:pt idx="49">
                  <c:v>30316</c:v>
                </c:pt>
                <c:pt idx="50">
                  <c:v>30347</c:v>
                </c:pt>
                <c:pt idx="51">
                  <c:v>30375</c:v>
                </c:pt>
                <c:pt idx="52">
                  <c:v>30406</c:v>
                </c:pt>
                <c:pt idx="53">
                  <c:v>30436</c:v>
                </c:pt>
                <c:pt idx="54">
                  <c:v>30467</c:v>
                </c:pt>
                <c:pt idx="55">
                  <c:v>30497</c:v>
                </c:pt>
                <c:pt idx="56">
                  <c:v>30528</c:v>
                </c:pt>
                <c:pt idx="57">
                  <c:v>30559</c:v>
                </c:pt>
                <c:pt idx="58">
                  <c:v>30589</c:v>
                </c:pt>
                <c:pt idx="59">
                  <c:v>30620</c:v>
                </c:pt>
                <c:pt idx="60">
                  <c:v>30650</c:v>
                </c:pt>
                <c:pt idx="61">
                  <c:v>30681</c:v>
                </c:pt>
                <c:pt idx="62">
                  <c:v>30712</c:v>
                </c:pt>
                <c:pt idx="63">
                  <c:v>30741</c:v>
                </c:pt>
                <c:pt idx="64">
                  <c:v>30772</c:v>
                </c:pt>
                <c:pt idx="65">
                  <c:v>30802</c:v>
                </c:pt>
                <c:pt idx="66">
                  <c:v>30833</c:v>
                </c:pt>
                <c:pt idx="67">
                  <c:v>30863</c:v>
                </c:pt>
                <c:pt idx="68">
                  <c:v>30894</c:v>
                </c:pt>
                <c:pt idx="69">
                  <c:v>30925</c:v>
                </c:pt>
                <c:pt idx="70">
                  <c:v>30955</c:v>
                </c:pt>
                <c:pt idx="71">
                  <c:v>30986</c:v>
                </c:pt>
                <c:pt idx="72">
                  <c:v>31016</c:v>
                </c:pt>
                <c:pt idx="73">
                  <c:v>31047</c:v>
                </c:pt>
                <c:pt idx="74">
                  <c:v>31078</c:v>
                </c:pt>
                <c:pt idx="75">
                  <c:v>31106</c:v>
                </c:pt>
                <c:pt idx="76">
                  <c:v>31137</c:v>
                </c:pt>
                <c:pt idx="77">
                  <c:v>31167</c:v>
                </c:pt>
                <c:pt idx="78">
                  <c:v>31198</c:v>
                </c:pt>
                <c:pt idx="79">
                  <c:v>31228</c:v>
                </c:pt>
                <c:pt idx="80">
                  <c:v>31259</c:v>
                </c:pt>
                <c:pt idx="81">
                  <c:v>31290</c:v>
                </c:pt>
                <c:pt idx="82">
                  <c:v>31320</c:v>
                </c:pt>
                <c:pt idx="83">
                  <c:v>31351</c:v>
                </c:pt>
                <c:pt idx="84">
                  <c:v>31381</c:v>
                </c:pt>
                <c:pt idx="85">
                  <c:v>31412</c:v>
                </c:pt>
                <c:pt idx="86">
                  <c:v>31443</c:v>
                </c:pt>
                <c:pt idx="87">
                  <c:v>31471</c:v>
                </c:pt>
                <c:pt idx="88">
                  <c:v>31502</c:v>
                </c:pt>
                <c:pt idx="89">
                  <c:v>31532</c:v>
                </c:pt>
                <c:pt idx="90">
                  <c:v>31563</c:v>
                </c:pt>
                <c:pt idx="91">
                  <c:v>31593</c:v>
                </c:pt>
                <c:pt idx="92">
                  <c:v>31624</c:v>
                </c:pt>
                <c:pt idx="93">
                  <c:v>31655</c:v>
                </c:pt>
                <c:pt idx="94">
                  <c:v>31685</c:v>
                </c:pt>
                <c:pt idx="95">
                  <c:v>31716</c:v>
                </c:pt>
                <c:pt idx="96">
                  <c:v>31746</c:v>
                </c:pt>
                <c:pt idx="97">
                  <c:v>31777</c:v>
                </c:pt>
                <c:pt idx="98">
                  <c:v>31808</c:v>
                </c:pt>
                <c:pt idx="99">
                  <c:v>31836</c:v>
                </c:pt>
                <c:pt idx="100">
                  <c:v>31867</c:v>
                </c:pt>
                <c:pt idx="101">
                  <c:v>31897</c:v>
                </c:pt>
                <c:pt idx="102">
                  <c:v>31928</c:v>
                </c:pt>
                <c:pt idx="103">
                  <c:v>31958</c:v>
                </c:pt>
                <c:pt idx="104">
                  <c:v>31989</c:v>
                </c:pt>
                <c:pt idx="105">
                  <c:v>32020</c:v>
                </c:pt>
                <c:pt idx="106">
                  <c:v>32050</c:v>
                </c:pt>
                <c:pt idx="107">
                  <c:v>32081</c:v>
                </c:pt>
                <c:pt idx="108">
                  <c:v>32111</c:v>
                </c:pt>
                <c:pt idx="109">
                  <c:v>32142</c:v>
                </c:pt>
                <c:pt idx="110">
                  <c:v>32173</c:v>
                </c:pt>
                <c:pt idx="111">
                  <c:v>32202</c:v>
                </c:pt>
                <c:pt idx="112">
                  <c:v>32233</c:v>
                </c:pt>
                <c:pt idx="113">
                  <c:v>32263</c:v>
                </c:pt>
                <c:pt idx="114">
                  <c:v>32294</c:v>
                </c:pt>
                <c:pt idx="115">
                  <c:v>32324</c:v>
                </c:pt>
                <c:pt idx="116">
                  <c:v>32355</c:v>
                </c:pt>
                <c:pt idx="117">
                  <c:v>32386</c:v>
                </c:pt>
                <c:pt idx="118">
                  <c:v>32416</c:v>
                </c:pt>
                <c:pt idx="119">
                  <c:v>32447</c:v>
                </c:pt>
                <c:pt idx="120">
                  <c:v>32477</c:v>
                </c:pt>
                <c:pt idx="121">
                  <c:v>32508</c:v>
                </c:pt>
                <c:pt idx="122">
                  <c:v>32539</c:v>
                </c:pt>
                <c:pt idx="123">
                  <c:v>32567</c:v>
                </c:pt>
                <c:pt idx="124">
                  <c:v>32598</c:v>
                </c:pt>
                <c:pt idx="125">
                  <c:v>32628</c:v>
                </c:pt>
                <c:pt idx="126">
                  <c:v>32659</c:v>
                </c:pt>
                <c:pt idx="127">
                  <c:v>32689</c:v>
                </c:pt>
                <c:pt idx="128">
                  <c:v>32720</c:v>
                </c:pt>
                <c:pt idx="129">
                  <c:v>32751</c:v>
                </c:pt>
                <c:pt idx="130">
                  <c:v>32781</c:v>
                </c:pt>
                <c:pt idx="131">
                  <c:v>32812</c:v>
                </c:pt>
                <c:pt idx="132">
                  <c:v>32842</c:v>
                </c:pt>
                <c:pt idx="133">
                  <c:v>32873</c:v>
                </c:pt>
                <c:pt idx="134">
                  <c:v>32904</c:v>
                </c:pt>
                <c:pt idx="135">
                  <c:v>32932</c:v>
                </c:pt>
                <c:pt idx="136">
                  <c:v>32963</c:v>
                </c:pt>
                <c:pt idx="137">
                  <c:v>32993</c:v>
                </c:pt>
                <c:pt idx="138">
                  <c:v>33024</c:v>
                </c:pt>
                <c:pt idx="139">
                  <c:v>33054</c:v>
                </c:pt>
                <c:pt idx="140">
                  <c:v>33085</c:v>
                </c:pt>
                <c:pt idx="141">
                  <c:v>33116</c:v>
                </c:pt>
                <c:pt idx="142">
                  <c:v>33146</c:v>
                </c:pt>
                <c:pt idx="143">
                  <c:v>33177</c:v>
                </c:pt>
                <c:pt idx="144">
                  <c:v>33207</c:v>
                </c:pt>
                <c:pt idx="145">
                  <c:v>33238</c:v>
                </c:pt>
                <c:pt idx="146">
                  <c:v>33269</c:v>
                </c:pt>
                <c:pt idx="147">
                  <c:v>33297</c:v>
                </c:pt>
                <c:pt idx="148">
                  <c:v>33328</c:v>
                </c:pt>
                <c:pt idx="149">
                  <c:v>33358</c:v>
                </c:pt>
                <c:pt idx="150">
                  <c:v>33389</c:v>
                </c:pt>
                <c:pt idx="151">
                  <c:v>33419</c:v>
                </c:pt>
                <c:pt idx="152">
                  <c:v>33450</c:v>
                </c:pt>
                <c:pt idx="153">
                  <c:v>33481</c:v>
                </c:pt>
                <c:pt idx="154">
                  <c:v>33511</c:v>
                </c:pt>
                <c:pt idx="155">
                  <c:v>33542</c:v>
                </c:pt>
                <c:pt idx="156">
                  <c:v>33572</c:v>
                </c:pt>
                <c:pt idx="157">
                  <c:v>33603</c:v>
                </c:pt>
                <c:pt idx="158">
                  <c:v>33634</c:v>
                </c:pt>
                <c:pt idx="159">
                  <c:v>33663</c:v>
                </c:pt>
                <c:pt idx="160">
                  <c:v>33694</c:v>
                </c:pt>
                <c:pt idx="161">
                  <c:v>33724</c:v>
                </c:pt>
                <c:pt idx="162">
                  <c:v>33755</c:v>
                </c:pt>
                <c:pt idx="163">
                  <c:v>33785</c:v>
                </c:pt>
                <c:pt idx="164">
                  <c:v>33816</c:v>
                </c:pt>
                <c:pt idx="165">
                  <c:v>33847</c:v>
                </c:pt>
                <c:pt idx="166">
                  <c:v>33877</c:v>
                </c:pt>
                <c:pt idx="167">
                  <c:v>33908</c:v>
                </c:pt>
                <c:pt idx="168">
                  <c:v>33938</c:v>
                </c:pt>
                <c:pt idx="169">
                  <c:v>33969</c:v>
                </c:pt>
                <c:pt idx="170">
                  <c:v>34000</c:v>
                </c:pt>
                <c:pt idx="171">
                  <c:v>34028</c:v>
                </c:pt>
                <c:pt idx="172">
                  <c:v>34059</c:v>
                </c:pt>
                <c:pt idx="173">
                  <c:v>34089</c:v>
                </c:pt>
                <c:pt idx="174">
                  <c:v>34120</c:v>
                </c:pt>
                <c:pt idx="175">
                  <c:v>34150</c:v>
                </c:pt>
                <c:pt idx="176">
                  <c:v>34181</c:v>
                </c:pt>
                <c:pt idx="177">
                  <c:v>34212</c:v>
                </c:pt>
                <c:pt idx="178">
                  <c:v>34242</c:v>
                </c:pt>
                <c:pt idx="179">
                  <c:v>34273</c:v>
                </c:pt>
                <c:pt idx="180">
                  <c:v>34303</c:v>
                </c:pt>
                <c:pt idx="181">
                  <c:v>34334</c:v>
                </c:pt>
                <c:pt idx="182">
                  <c:v>34365</c:v>
                </c:pt>
                <c:pt idx="183">
                  <c:v>34393</c:v>
                </c:pt>
                <c:pt idx="184">
                  <c:v>34424</c:v>
                </c:pt>
                <c:pt idx="185">
                  <c:v>34454</c:v>
                </c:pt>
                <c:pt idx="186">
                  <c:v>34485</c:v>
                </c:pt>
                <c:pt idx="187">
                  <c:v>34515</c:v>
                </c:pt>
                <c:pt idx="188">
                  <c:v>34546</c:v>
                </c:pt>
                <c:pt idx="189">
                  <c:v>34577</c:v>
                </c:pt>
                <c:pt idx="190">
                  <c:v>34607</c:v>
                </c:pt>
                <c:pt idx="191">
                  <c:v>34638</c:v>
                </c:pt>
                <c:pt idx="192">
                  <c:v>34668</c:v>
                </c:pt>
                <c:pt idx="193">
                  <c:v>34699</c:v>
                </c:pt>
                <c:pt idx="194">
                  <c:v>34730</c:v>
                </c:pt>
                <c:pt idx="195">
                  <c:v>34758</c:v>
                </c:pt>
                <c:pt idx="196">
                  <c:v>34789</c:v>
                </c:pt>
                <c:pt idx="197">
                  <c:v>34819</c:v>
                </c:pt>
                <c:pt idx="198">
                  <c:v>34850</c:v>
                </c:pt>
                <c:pt idx="199">
                  <c:v>34880</c:v>
                </c:pt>
                <c:pt idx="200">
                  <c:v>34911</c:v>
                </c:pt>
                <c:pt idx="201">
                  <c:v>34942</c:v>
                </c:pt>
                <c:pt idx="202">
                  <c:v>34972</c:v>
                </c:pt>
                <c:pt idx="203">
                  <c:v>35003</c:v>
                </c:pt>
                <c:pt idx="204">
                  <c:v>35033</c:v>
                </c:pt>
                <c:pt idx="205">
                  <c:v>35064</c:v>
                </c:pt>
                <c:pt idx="206">
                  <c:v>35095</c:v>
                </c:pt>
                <c:pt idx="207">
                  <c:v>35124</c:v>
                </c:pt>
                <c:pt idx="208">
                  <c:v>35155</c:v>
                </c:pt>
                <c:pt idx="209">
                  <c:v>35185</c:v>
                </c:pt>
                <c:pt idx="210">
                  <c:v>35216</c:v>
                </c:pt>
                <c:pt idx="211">
                  <c:v>35246</c:v>
                </c:pt>
                <c:pt idx="212">
                  <c:v>35277</c:v>
                </c:pt>
                <c:pt idx="213">
                  <c:v>35308</c:v>
                </c:pt>
                <c:pt idx="214">
                  <c:v>35338</c:v>
                </c:pt>
                <c:pt idx="215">
                  <c:v>35369</c:v>
                </c:pt>
                <c:pt idx="216">
                  <c:v>35399</c:v>
                </c:pt>
                <c:pt idx="217">
                  <c:v>35430</c:v>
                </c:pt>
                <c:pt idx="218">
                  <c:v>35461</c:v>
                </c:pt>
                <c:pt idx="219">
                  <c:v>35489</c:v>
                </c:pt>
                <c:pt idx="220">
                  <c:v>35520</c:v>
                </c:pt>
                <c:pt idx="221">
                  <c:v>35550</c:v>
                </c:pt>
                <c:pt idx="222">
                  <c:v>35581</c:v>
                </c:pt>
                <c:pt idx="223">
                  <c:v>35611</c:v>
                </c:pt>
                <c:pt idx="224">
                  <c:v>35642</c:v>
                </c:pt>
                <c:pt idx="225">
                  <c:v>35673</c:v>
                </c:pt>
                <c:pt idx="226">
                  <c:v>35703</c:v>
                </c:pt>
                <c:pt idx="227">
                  <c:v>35734</c:v>
                </c:pt>
                <c:pt idx="228">
                  <c:v>35764</c:v>
                </c:pt>
                <c:pt idx="229">
                  <c:v>35795</c:v>
                </c:pt>
                <c:pt idx="230">
                  <c:v>35826</c:v>
                </c:pt>
                <c:pt idx="231">
                  <c:v>35854</c:v>
                </c:pt>
                <c:pt idx="232">
                  <c:v>35885</c:v>
                </c:pt>
                <c:pt idx="233">
                  <c:v>35915</c:v>
                </c:pt>
                <c:pt idx="234">
                  <c:v>35946</c:v>
                </c:pt>
                <c:pt idx="235">
                  <c:v>35976</c:v>
                </c:pt>
                <c:pt idx="236">
                  <c:v>36007</c:v>
                </c:pt>
                <c:pt idx="237">
                  <c:v>36038</c:v>
                </c:pt>
                <c:pt idx="238">
                  <c:v>36068</c:v>
                </c:pt>
                <c:pt idx="239">
                  <c:v>36099</c:v>
                </c:pt>
                <c:pt idx="240">
                  <c:v>36129</c:v>
                </c:pt>
                <c:pt idx="241">
                  <c:v>36160</c:v>
                </c:pt>
                <c:pt idx="242">
                  <c:v>36191</c:v>
                </c:pt>
                <c:pt idx="243">
                  <c:v>36219</c:v>
                </c:pt>
                <c:pt idx="244">
                  <c:v>36250</c:v>
                </c:pt>
                <c:pt idx="245">
                  <c:v>36280</c:v>
                </c:pt>
                <c:pt idx="246">
                  <c:v>36311</c:v>
                </c:pt>
                <c:pt idx="247">
                  <c:v>36341</c:v>
                </c:pt>
                <c:pt idx="248">
                  <c:v>36372</c:v>
                </c:pt>
                <c:pt idx="249">
                  <c:v>36403</c:v>
                </c:pt>
                <c:pt idx="250">
                  <c:v>36433</c:v>
                </c:pt>
                <c:pt idx="251">
                  <c:v>36464</c:v>
                </c:pt>
                <c:pt idx="252">
                  <c:v>36494</c:v>
                </c:pt>
                <c:pt idx="253">
                  <c:v>36525</c:v>
                </c:pt>
                <c:pt idx="254">
                  <c:v>36556</c:v>
                </c:pt>
                <c:pt idx="255">
                  <c:v>36585</c:v>
                </c:pt>
                <c:pt idx="256">
                  <c:v>36616</c:v>
                </c:pt>
                <c:pt idx="257">
                  <c:v>36646</c:v>
                </c:pt>
                <c:pt idx="258">
                  <c:v>36677</c:v>
                </c:pt>
                <c:pt idx="259">
                  <c:v>36707</c:v>
                </c:pt>
                <c:pt idx="260">
                  <c:v>36738</c:v>
                </c:pt>
                <c:pt idx="261">
                  <c:v>36769</c:v>
                </c:pt>
                <c:pt idx="262">
                  <c:v>36799</c:v>
                </c:pt>
                <c:pt idx="263">
                  <c:v>36830</c:v>
                </c:pt>
                <c:pt idx="264">
                  <c:v>36860</c:v>
                </c:pt>
                <c:pt idx="265">
                  <c:v>36891</c:v>
                </c:pt>
                <c:pt idx="266">
                  <c:v>36922</c:v>
                </c:pt>
                <c:pt idx="267">
                  <c:v>36950</c:v>
                </c:pt>
                <c:pt idx="268">
                  <c:v>36981</c:v>
                </c:pt>
                <c:pt idx="269">
                  <c:v>37011</c:v>
                </c:pt>
                <c:pt idx="270">
                  <c:v>37042</c:v>
                </c:pt>
                <c:pt idx="271">
                  <c:v>37072</c:v>
                </c:pt>
                <c:pt idx="272">
                  <c:v>37103</c:v>
                </c:pt>
                <c:pt idx="273">
                  <c:v>37134</c:v>
                </c:pt>
                <c:pt idx="274">
                  <c:v>37164</c:v>
                </c:pt>
                <c:pt idx="275">
                  <c:v>37195</c:v>
                </c:pt>
                <c:pt idx="276">
                  <c:v>37225</c:v>
                </c:pt>
                <c:pt idx="277">
                  <c:v>37256</c:v>
                </c:pt>
                <c:pt idx="278">
                  <c:v>37287</c:v>
                </c:pt>
                <c:pt idx="279">
                  <c:v>37315</c:v>
                </c:pt>
                <c:pt idx="280">
                  <c:v>37346</c:v>
                </c:pt>
                <c:pt idx="281">
                  <c:v>37376</c:v>
                </c:pt>
                <c:pt idx="282">
                  <c:v>37407</c:v>
                </c:pt>
                <c:pt idx="283">
                  <c:v>37437</c:v>
                </c:pt>
                <c:pt idx="284">
                  <c:v>37468</c:v>
                </c:pt>
                <c:pt idx="285">
                  <c:v>37499</c:v>
                </c:pt>
                <c:pt idx="286">
                  <c:v>37529</c:v>
                </c:pt>
                <c:pt idx="287">
                  <c:v>37560</c:v>
                </c:pt>
                <c:pt idx="288">
                  <c:v>37590</c:v>
                </c:pt>
                <c:pt idx="289">
                  <c:v>37621</c:v>
                </c:pt>
                <c:pt idx="290">
                  <c:v>37652</c:v>
                </c:pt>
                <c:pt idx="291">
                  <c:v>37680</c:v>
                </c:pt>
                <c:pt idx="292">
                  <c:v>37711</c:v>
                </c:pt>
                <c:pt idx="293">
                  <c:v>37741</c:v>
                </c:pt>
                <c:pt idx="294">
                  <c:v>37772</c:v>
                </c:pt>
                <c:pt idx="295">
                  <c:v>37802</c:v>
                </c:pt>
                <c:pt idx="296">
                  <c:v>37833</c:v>
                </c:pt>
                <c:pt idx="297">
                  <c:v>37864</c:v>
                </c:pt>
                <c:pt idx="298">
                  <c:v>37894</c:v>
                </c:pt>
                <c:pt idx="299">
                  <c:v>37925</c:v>
                </c:pt>
                <c:pt idx="300">
                  <c:v>37955</c:v>
                </c:pt>
                <c:pt idx="301">
                  <c:v>37986</c:v>
                </c:pt>
                <c:pt idx="302">
                  <c:v>38017</c:v>
                </c:pt>
                <c:pt idx="303">
                  <c:v>38046</c:v>
                </c:pt>
                <c:pt idx="304">
                  <c:v>38077</c:v>
                </c:pt>
                <c:pt idx="305">
                  <c:v>38107</c:v>
                </c:pt>
                <c:pt idx="306">
                  <c:v>38138</c:v>
                </c:pt>
                <c:pt idx="307">
                  <c:v>38168</c:v>
                </c:pt>
                <c:pt idx="308">
                  <c:v>38199</c:v>
                </c:pt>
                <c:pt idx="309">
                  <c:v>38230</c:v>
                </c:pt>
                <c:pt idx="310">
                  <c:v>38260</c:v>
                </c:pt>
                <c:pt idx="311">
                  <c:v>38291</c:v>
                </c:pt>
                <c:pt idx="312">
                  <c:v>38321</c:v>
                </c:pt>
                <c:pt idx="313">
                  <c:v>38352</c:v>
                </c:pt>
                <c:pt idx="314">
                  <c:v>38383</c:v>
                </c:pt>
                <c:pt idx="315">
                  <c:v>38411</c:v>
                </c:pt>
                <c:pt idx="316">
                  <c:v>38442</c:v>
                </c:pt>
                <c:pt idx="317">
                  <c:v>38472</c:v>
                </c:pt>
                <c:pt idx="318">
                  <c:v>38503</c:v>
                </c:pt>
                <c:pt idx="319">
                  <c:v>38533</c:v>
                </c:pt>
                <c:pt idx="320">
                  <c:v>38564</c:v>
                </c:pt>
                <c:pt idx="321">
                  <c:v>38595</c:v>
                </c:pt>
                <c:pt idx="322">
                  <c:v>38625</c:v>
                </c:pt>
                <c:pt idx="323">
                  <c:v>38656</c:v>
                </c:pt>
                <c:pt idx="324">
                  <c:v>38686</c:v>
                </c:pt>
                <c:pt idx="325">
                  <c:v>38717</c:v>
                </c:pt>
                <c:pt idx="326">
                  <c:v>38748</c:v>
                </c:pt>
                <c:pt idx="327">
                  <c:v>38776</c:v>
                </c:pt>
                <c:pt idx="328">
                  <c:v>38807</c:v>
                </c:pt>
                <c:pt idx="329">
                  <c:v>38837</c:v>
                </c:pt>
                <c:pt idx="330">
                  <c:v>38868</c:v>
                </c:pt>
                <c:pt idx="331">
                  <c:v>38898</c:v>
                </c:pt>
                <c:pt idx="332">
                  <c:v>38929</c:v>
                </c:pt>
                <c:pt idx="333">
                  <c:v>38960</c:v>
                </c:pt>
                <c:pt idx="334">
                  <c:v>38990</c:v>
                </c:pt>
                <c:pt idx="335">
                  <c:v>39021</c:v>
                </c:pt>
                <c:pt idx="336">
                  <c:v>39051</c:v>
                </c:pt>
                <c:pt idx="337">
                  <c:v>39082</c:v>
                </c:pt>
                <c:pt idx="338">
                  <c:v>39113</c:v>
                </c:pt>
                <c:pt idx="339">
                  <c:v>39141</c:v>
                </c:pt>
                <c:pt idx="340">
                  <c:v>39172</c:v>
                </c:pt>
                <c:pt idx="341">
                  <c:v>39202</c:v>
                </c:pt>
                <c:pt idx="342">
                  <c:v>39233</c:v>
                </c:pt>
                <c:pt idx="343">
                  <c:v>39263</c:v>
                </c:pt>
                <c:pt idx="344">
                  <c:v>39294</c:v>
                </c:pt>
                <c:pt idx="345">
                  <c:v>39325</c:v>
                </c:pt>
                <c:pt idx="346">
                  <c:v>39355</c:v>
                </c:pt>
                <c:pt idx="347">
                  <c:v>39386</c:v>
                </c:pt>
                <c:pt idx="348">
                  <c:v>39416</c:v>
                </c:pt>
                <c:pt idx="349">
                  <c:v>39447</c:v>
                </c:pt>
                <c:pt idx="350">
                  <c:v>39478</c:v>
                </c:pt>
                <c:pt idx="351">
                  <c:v>39507</c:v>
                </c:pt>
                <c:pt idx="352">
                  <c:v>39538</c:v>
                </c:pt>
                <c:pt idx="353">
                  <c:v>39568</c:v>
                </c:pt>
                <c:pt idx="354">
                  <c:v>39599</c:v>
                </c:pt>
                <c:pt idx="355">
                  <c:v>39629</c:v>
                </c:pt>
                <c:pt idx="356">
                  <c:v>39660</c:v>
                </c:pt>
                <c:pt idx="357">
                  <c:v>39691</c:v>
                </c:pt>
                <c:pt idx="358">
                  <c:v>39721</c:v>
                </c:pt>
                <c:pt idx="359">
                  <c:v>39752</c:v>
                </c:pt>
                <c:pt idx="360">
                  <c:v>39782</c:v>
                </c:pt>
                <c:pt idx="361">
                  <c:v>39813</c:v>
                </c:pt>
                <c:pt idx="362">
                  <c:v>39844</c:v>
                </c:pt>
                <c:pt idx="363">
                  <c:v>39872</c:v>
                </c:pt>
                <c:pt idx="364">
                  <c:v>39903</c:v>
                </c:pt>
                <c:pt idx="365">
                  <c:v>39933</c:v>
                </c:pt>
                <c:pt idx="366">
                  <c:v>39964</c:v>
                </c:pt>
                <c:pt idx="367">
                  <c:v>39994</c:v>
                </c:pt>
                <c:pt idx="368">
                  <c:v>40025</c:v>
                </c:pt>
                <c:pt idx="369">
                  <c:v>40056</c:v>
                </c:pt>
                <c:pt idx="370">
                  <c:v>40086</c:v>
                </c:pt>
                <c:pt idx="371">
                  <c:v>40092</c:v>
                </c:pt>
                <c:pt idx="372">
                  <c:v>40093</c:v>
                </c:pt>
                <c:pt idx="373">
                  <c:v>40094</c:v>
                </c:pt>
                <c:pt idx="374">
                  <c:v>40095</c:v>
                </c:pt>
                <c:pt idx="375">
                  <c:v>40096</c:v>
                </c:pt>
                <c:pt idx="376">
                  <c:v>40097</c:v>
                </c:pt>
                <c:pt idx="377">
                  <c:v>40098</c:v>
                </c:pt>
                <c:pt idx="378">
                  <c:v>40099</c:v>
                </c:pt>
                <c:pt idx="379">
                  <c:v>40100</c:v>
                </c:pt>
                <c:pt idx="380">
                  <c:v>40101</c:v>
                </c:pt>
                <c:pt idx="381">
                  <c:v>40102</c:v>
                </c:pt>
                <c:pt idx="382">
                  <c:v>40103</c:v>
                </c:pt>
                <c:pt idx="383">
                  <c:v>40104</c:v>
                </c:pt>
                <c:pt idx="384">
                  <c:v>40105</c:v>
                </c:pt>
                <c:pt idx="385">
                  <c:v>40106</c:v>
                </c:pt>
                <c:pt idx="386">
                  <c:v>40107</c:v>
                </c:pt>
                <c:pt idx="387">
                  <c:v>40108</c:v>
                </c:pt>
                <c:pt idx="388">
                  <c:v>40109</c:v>
                </c:pt>
                <c:pt idx="389">
                  <c:v>40110</c:v>
                </c:pt>
                <c:pt idx="390">
                  <c:v>40111</c:v>
                </c:pt>
                <c:pt idx="391">
                  <c:v>40112</c:v>
                </c:pt>
                <c:pt idx="392">
                  <c:v>40113</c:v>
                </c:pt>
                <c:pt idx="393">
                  <c:v>40114</c:v>
                </c:pt>
                <c:pt idx="394">
                  <c:v>40115</c:v>
                </c:pt>
                <c:pt idx="395">
                  <c:v>40116</c:v>
                </c:pt>
                <c:pt idx="396">
                  <c:v>40117</c:v>
                </c:pt>
                <c:pt idx="397">
                  <c:v>40118</c:v>
                </c:pt>
                <c:pt idx="398">
                  <c:v>40119</c:v>
                </c:pt>
                <c:pt idx="399">
                  <c:v>40120</c:v>
                </c:pt>
                <c:pt idx="400">
                  <c:v>40121</c:v>
                </c:pt>
                <c:pt idx="401">
                  <c:v>40122</c:v>
                </c:pt>
                <c:pt idx="402">
                  <c:v>40123</c:v>
                </c:pt>
                <c:pt idx="403">
                  <c:v>40124</c:v>
                </c:pt>
                <c:pt idx="404">
                  <c:v>40125</c:v>
                </c:pt>
                <c:pt idx="405">
                  <c:v>40126</c:v>
                </c:pt>
                <c:pt idx="406">
                  <c:v>40127</c:v>
                </c:pt>
                <c:pt idx="407">
                  <c:v>40128</c:v>
                </c:pt>
                <c:pt idx="408">
                  <c:v>40129</c:v>
                </c:pt>
                <c:pt idx="409">
                  <c:v>40130</c:v>
                </c:pt>
                <c:pt idx="410">
                  <c:v>40131</c:v>
                </c:pt>
                <c:pt idx="411">
                  <c:v>40132</c:v>
                </c:pt>
                <c:pt idx="412">
                  <c:v>40133</c:v>
                </c:pt>
                <c:pt idx="413">
                  <c:v>40134</c:v>
                </c:pt>
                <c:pt idx="414">
                  <c:v>40135</c:v>
                </c:pt>
                <c:pt idx="415">
                  <c:v>40136</c:v>
                </c:pt>
                <c:pt idx="416">
                  <c:v>40137</c:v>
                </c:pt>
                <c:pt idx="417">
                  <c:v>40138</c:v>
                </c:pt>
                <c:pt idx="418">
                  <c:v>40139</c:v>
                </c:pt>
                <c:pt idx="419">
                  <c:v>40140</c:v>
                </c:pt>
                <c:pt idx="420">
                  <c:v>40141</c:v>
                </c:pt>
                <c:pt idx="421">
                  <c:v>40142</c:v>
                </c:pt>
                <c:pt idx="422">
                  <c:v>40143</c:v>
                </c:pt>
                <c:pt idx="423">
                  <c:v>40144</c:v>
                </c:pt>
                <c:pt idx="424">
                  <c:v>40145</c:v>
                </c:pt>
                <c:pt idx="425">
                  <c:v>40146</c:v>
                </c:pt>
                <c:pt idx="426">
                  <c:v>40147</c:v>
                </c:pt>
                <c:pt idx="427">
                  <c:v>40148</c:v>
                </c:pt>
                <c:pt idx="428">
                  <c:v>40149</c:v>
                </c:pt>
                <c:pt idx="429">
                  <c:v>40150</c:v>
                </c:pt>
                <c:pt idx="430">
                  <c:v>40151</c:v>
                </c:pt>
                <c:pt idx="431">
                  <c:v>40152</c:v>
                </c:pt>
                <c:pt idx="432">
                  <c:v>40153</c:v>
                </c:pt>
                <c:pt idx="433">
                  <c:v>40154</c:v>
                </c:pt>
                <c:pt idx="434">
                  <c:v>40155</c:v>
                </c:pt>
                <c:pt idx="435">
                  <c:v>40156</c:v>
                </c:pt>
                <c:pt idx="436">
                  <c:v>40157</c:v>
                </c:pt>
                <c:pt idx="437">
                  <c:v>40158</c:v>
                </c:pt>
                <c:pt idx="438">
                  <c:v>40159</c:v>
                </c:pt>
                <c:pt idx="439">
                  <c:v>40160</c:v>
                </c:pt>
                <c:pt idx="440">
                  <c:v>40161</c:v>
                </c:pt>
                <c:pt idx="441">
                  <c:v>40162</c:v>
                </c:pt>
                <c:pt idx="442">
                  <c:v>40163</c:v>
                </c:pt>
                <c:pt idx="443">
                  <c:v>40164</c:v>
                </c:pt>
                <c:pt idx="444">
                  <c:v>40165</c:v>
                </c:pt>
                <c:pt idx="445">
                  <c:v>40166</c:v>
                </c:pt>
                <c:pt idx="446">
                  <c:v>40167</c:v>
                </c:pt>
                <c:pt idx="447">
                  <c:v>40168</c:v>
                </c:pt>
                <c:pt idx="448">
                  <c:v>40169</c:v>
                </c:pt>
                <c:pt idx="449">
                  <c:v>40170</c:v>
                </c:pt>
                <c:pt idx="450">
                  <c:v>40171</c:v>
                </c:pt>
                <c:pt idx="451">
                  <c:v>40172</c:v>
                </c:pt>
                <c:pt idx="452">
                  <c:v>40173</c:v>
                </c:pt>
                <c:pt idx="453">
                  <c:v>40174</c:v>
                </c:pt>
                <c:pt idx="454">
                  <c:v>40175</c:v>
                </c:pt>
                <c:pt idx="455">
                  <c:v>40176</c:v>
                </c:pt>
                <c:pt idx="456">
                  <c:v>40177</c:v>
                </c:pt>
                <c:pt idx="457">
                  <c:v>40178</c:v>
                </c:pt>
                <c:pt idx="458">
                  <c:v>40179</c:v>
                </c:pt>
                <c:pt idx="459">
                  <c:v>40180</c:v>
                </c:pt>
                <c:pt idx="460">
                  <c:v>40181</c:v>
                </c:pt>
                <c:pt idx="461">
                  <c:v>40182</c:v>
                </c:pt>
                <c:pt idx="462">
                  <c:v>40183</c:v>
                </c:pt>
                <c:pt idx="463">
                  <c:v>40184</c:v>
                </c:pt>
                <c:pt idx="464">
                  <c:v>40185</c:v>
                </c:pt>
                <c:pt idx="465">
                  <c:v>40186</c:v>
                </c:pt>
                <c:pt idx="466">
                  <c:v>40187</c:v>
                </c:pt>
                <c:pt idx="467">
                  <c:v>40188</c:v>
                </c:pt>
                <c:pt idx="468">
                  <c:v>40189</c:v>
                </c:pt>
                <c:pt idx="469">
                  <c:v>40190</c:v>
                </c:pt>
                <c:pt idx="470">
                  <c:v>40191</c:v>
                </c:pt>
                <c:pt idx="471">
                  <c:v>40192</c:v>
                </c:pt>
                <c:pt idx="472">
                  <c:v>40193</c:v>
                </c:pt>
                <c:pt idx="473">
                  <c:v>40194</c:v>
                </c:pt>
                <c:pt idx="474">
                  <c:v>40195</c:v>
                </c:pt>
                <c:pt idx="475">
                  <c:v>40196</c:v>
                </c:pt>
                <c:pt idx="476">
                  <c:v>40197</c:v>
                </c:pt>
                <c:pt idx="477">
                  <c:v>40198</c:v>
                </c:pt>
                <c:pt idx="478">
                  <c:v>40199</c:v>
                </c:pt>
                <c:pt idx="479">
                  <c:v>40200</c:v>
                </c:pt>
                <c:pt idx="480">
                  <c:v>40201</c:v>
                </c:pt>
                <c:pt idx="481">
                  <c:v>40202</c:v>
                </c:pt>
                <c:pt idx="482">
                  <c:v>40203</c:v>
                </c:pt>
                <c:pt idx="483">
                  <c:v>40204</c:v>
                </c:pt>
                <c:pt idx="484">
                  <c:v>40205</c:v>
                </c:pt>
                <c:pt idx="485">
                  <c:v>40206</c:v>
                </c:pt>
                <c:pt idx="486">
                  <c:v>40207</c:v>
                </c:pt>
                <c:pt idx="487">
                  <c:v>40208</c:v>
                </c:pt>
                <c:pt idx="488">
                  <c:v>40209</c:v>
                </c:pt>
                <c:pt idx="489">
                  <c:v>40210</c:v>
                </c:pt>
                <c:pt idx="490">
                  <c:v>40211</c:v>
                </c:pt>
                <c:pt idx="491">
                  <c:v>40212</c:v>
                </c:pt>
                <c:pt idx="492">
                  <c:v>40213</c:v>
                </c:pt>
                <c:pt idx="493">
                  <c:v>40214</c:v>
                </c:pt>
                <c:pt idx="494">
                  <c:v>40215</c:v>
                </c:pt>
                <c:pt idx="495">
                  <c:v>40216</c:v>
                </c:pt>
                <c:pt idx="496">
                  <c:v>40217</c:v>
                </c:pt>
                <c:pt idx="497">
                  <c:v>40218</c:v>
                </c:pt>
                <c:pt idx="498">
                  <c:v>40219</c:v>
                </c:pt>
                <c:pt idx="499">
                  <c:v>40220</c:v>
                </c:pt>
                <c:pt idx="500">
                  <c:v>40221</c:v>
                </c:pt>
                <c:pt idx="501">
                  <c:v>40222</c:v>
                </c:pt>
                <c:pt idx="502">
                  <c:v>40223</c:v>
                </c:pt>
                <c:pt idx="503">
                  <c:v>40224</c:v>
                </c:pt>
                <c:pt idx="504">
                  <c:v>40225</c:v>
                </c:pt>
                <c:pt idx="505">
                  <c:v>40226</c:v>
                </c:pt>
                <c:pt idx="506">
                  <c:v>40227</c:v>
                </c:pt>
                <c:pt idx="507">
                  <c:v>40228</c:v>
                </c:pt>
                <c:pt idx="508">
                  <c:v>40229</c:v>
                </c:pt>
                <c:pt idx="509">
                  <c:v>40230</c:v>
                </c:pt>
                <c:pt idx="510">
                  <c:v>40231</c:v>
                </c:pt>
                <c:pt idx="511">
                  <c:v>40232</c:v>
                </c:pt>
                <c:pt idx="512">
                  <c:v>40233</c:v>
                </c:pt>
                <c:pt idx="513">
                  <c:v>40234</c:v>
                </c:pt>
                <c:pt idx="514">
                  <c:v>40235</c:v>
                </c:pt>
                <c:pt idx="515">
                  <c:v>40236</c:v>
                </c:pt>
                <c:pt idx="516">
                  <c:v>40237</c:v>
                </c:pt>
                <c:pt idx="517">
                  <c:v>40238</c:v>
                </c:pt>
                <c:pt idx="518">
                  <c:v>40239</c:v>
                </c:pt>
                <c:pt idx="519">
                  <c:v>40240</c:v>
                </c:pt>
                <c:pt idx="520">
                  <c:v>40241</c:v>
                </c:pt>
                <c:pt idx="521">
                  <c:v>40242</c:v>
                </c:pt>
                <c:pt idx="522">
                  <c:v>40243</c:v>
                </c:pt>
                <c:pt idx="523">
                  <c:v>40244</c:v>
                </c:pt>
                <c:pt idx="524">
                  <c:v>40245</c:v>
                </c:pt>
                <c:pt idx="525">
                  <c:v>40246</c:v>
                </c:pt>
                <c:pt idx="526">
                  <c:v>40247</c:v>
                </c:pt>
                <c:pt idx="527">
                  <c:v>40248</c:v>
                </c:pt>
                <c:pt idx="528">
                  <c:v>40249</c:v>
                </c:pt>
                <c:pt idx="529">
                  <c:v>40250</c:v>
                </c:pt>
                <c:pt idx="530">
                  <c:v>40251</c:v>
                </c:pt>
                <c:pt idx="531">
                  <c:v>40252</c:v>
                </c:pt>
                <c:pt idx="532">
                  <c:v>40253</c:v>
                </c:pt>
                <c:pt idx="533">
                  <c:v>40254</c:v>
                </c:pt>
                <c:pt idx="534">
                  <c:v>40255</c:v>
                </c:pt>
                <c:pt idx="535">
                  <c:v>40256</c:v>
                </c:pt>
                <c:pt idx="536">
                  <c:v>40257</c:v>
                </c:pt>
                <c:pt idx="537">
                  <c:v>40258</c:v>
                </c:pt>
                <c:pt idx="538">
                  <c:v>40259</c:v>
                </c:pt>
                <c:pt idx="539">
                  <c:v>40260</c:v>
                </c:pt>
                <c:pt idx="540">
                  <c:v>40261</c:v>
                </c:pt>
                <c:pt idx="541">
                  <c:v>40262</c:v>
                </c:pt>
                <c:pt idx="542">
                  <c:v>40263</c:v>
                </c:pt>
                <c:pt idx="543">
                  <c:v>40264</c:v>
                </c:pt>
                <c:pt idx="544">
                  <c:v>40265</c:v>
                </c:pt>
                <c:pt idx="545">
                  <c:v>40266</c:v>
                </c:pt>
                <c:pt idx="546">
                  <c:v>40267</c:v>
                </c:pt>
                <c:pt idx="547">
                  <c:v>40268</c:v>
                </c:pt>
                <c:pt idx="548">
                  <c:v>40269</c:v>
                </c:pt>
                <c:pt idx="549">
                  <c:v>40270</c:v>
                </c:pt>
                <c:pt idx="550">
                  <c:v>40271</c:v>
                </c:pt>
                <c:pt idx="551">
                  <c:v>40272</c:v>
                </c:pt>
                <c:pt idx="552">
                  <c:v>40273</c:v>
                </c:pt>
                <c:pt idx="553">
                  <c:v>40274</c:v>
                </c:pt>
                <c:pt idx="554">
                  <c:v>40275</c:v>
                </c:pt>
                <c:pt idx="555">
                  <c:v>40276</c:v>
                </c:pt>
                <c:pt idx="556">
                  <c:v>40277</c:v>
                </c:pt>
                <c:pt idx="557">
                  <c:v>40278</c:v>
                </c:pt>
                <c:pt idx="558">
                  <c:v>40279</c:v>
                </c:pt>
                <c:pt idx="559">
                  <c:v>40280</c:v>
                </c:pt>
                <c:pt idx="560">
                  <c:v>40281</c:v>
                </c:pt>
                <c:pt idx="561">
                  <c:v>40282</c:v>
                </c:pt>
                <c:pt idx="562">
                  <c:v>40283</c:v>
                </c:pt>
                <c:pt idx="563">
                  <c:v>40284</c:v>
                </c:pt>
                <c:pt idx="564">
                  <c:v>40285</c:v>
                </c:pt>
                <c:pt idx="565">
                  <c:v>40286</c:v>
                </c:pt>
                <c:pt idx="566">
                  <c:v>40287</c:v>
                </c:pt>
                <c:pt idx="567">
                  <c:v>40288</c:v>
                </c:pt>
                <c:pt idx="568">
                  <c:v>40289</c:v>
                </c:pt>
                <c:pt idx="569">
                  <c:v>40290</c:v>
                </c:pt>
                <c:pt idx="570">
                  <c:v>40291</c:v>
                </c:pt>
                <c:pt idx="571">
                  <c:v>40292</c:v>
                </c:pt>
                <c:pt idx="572">
                  <c:v>40293</c:v>
                </c:pt>
                <c:pt idx="573">
                  <c:v>40294</c:v>
                </c:pt>
                <c:pt idx="574">
                  <c:v>40295</c:v>
                </c:pt>
                <c:pt idx="575">
                  <c:v>40296</c:v>
                </c:pt>
                <c:pt idx="576">
                  <c:v>40297</c:v>
                </c:pt>
                <c:pt idx="577">
                  <c:v>40298</c:v>
                </c:pt>
                <c:pt idx="578">
                  <c:v>40299</c:v>
                </c:pt>
                <c:pt idx="579">
                  <c:v>40300</c:v>
                </c:pt>
                <c:pt idx="580">
                  <c:v>40301</c:v>
                </c:pt>
                <c:pt idx="581">
                  <c:v>40302</c:v>
                </c:pt>
                <c:pt idx="582">
                  <c:v>40303</c:v>
                </c:pt>
                <c:pt idx="583">
                  <c:v>40304</c:v>
                </c:pt>
                <c:pt idx="584">
                  <c:v>40305</c:v>
                </c:pt>
                <c:pt idx="585">
                  <c:v>40306</c:v>
                </c:pt>
                <c:pt idx="586">
                  <c:v>40307</c:v>
                </c:pt>
                <c:pt idx="587">
                  <c:v>40308</c:v>
                </c:pt>
                <c:pt idx="588">
                  <c:v>40309</c:v>
                </c:pt>
                <c:pt idx="589">
                  <c:v>40310</c:v>
                </c:pt>
                <c:pt idx="590">
                  <c:v>40311</c:v>
                </c:pt>
                <c:pt idx="591">
                  <c:v>40312</c:v>
                </c:pt>
                <c:pt idx="592">
                  <c:v>40313</c:v>
                </c:pt>
                <c:pt idx="593">
                  <c:v>40314</c:v>
                </c:pt>
                <c:pt idx="594">
                  <c:v>40315</c:v>
                </c:pt>
                <c:pt idx="595">
                  <c:v>40316</c:v>
                </c:pt>
                <c:pt idx="596">
                  <c:v>40317</c:v>
                </c:pt>
                <c:pt idx="597">
                  <c:v>40318</c:v>
                </c:pt>
                <c:pt idx="598">
                  <c:v>40319</c:v>
                </c:pt>
                <c:pt idx="599">
                  <c:v>40320</c:v>
                </c:pt>
                <c:pt idx="600">
                  <c:v>40321</c:v>
                </c:pt>
                <c:pt idx="601">
                  <c:v>40322</c:v>
                </c:pt>
                <c:pt idx="602">
                  <c:v>40323</c:v>
                </c:pt>
                <c:pt idx="603">
                  <c:v>40324</c:v>
                </c:pt>
                <c:pt idx="604">
                  <c:v>40325</c:v>
                </c:pt>
                <c:pt idx="605">
                  <c:v>40326</c:v>
                </c:pt>
                <c:pt idx="606">
                  <c:v>40327</c:v>
                </c:pt>
                <c:pt idx="607">
                  <c:v>40328</c:v>
                </c:pt>
                <c:pt idx="608">
                  <c:v>40329</c:v>
                </c:pt>
                <c:pt idx="609">
                  <c:v>40330</c:v>
                </c:pt>
                <c:pt idx="610">
                  <c:v>40331</c:v>
                </c:pt>
                <c:pt idx="611">
                  <c:v>40332</c:v>
                </c:pt>
                <c:pt idx="612">
                  <c:v>40333</c:v>
                </c:pt>
                <c:pt idx="613">
                  <c:v>40334</c:v>
                </c:pt>
                <c:pt idx="614">
                  <c:v>40335</c:v>
                </c:pt>
                <c:pt idx="615">
                  <c:v>40336</c:v>
                </c:pt>
                <c:pt idx="616">
                  <c:v>40337</c:v>
                </c:pt>
                <c:pt idx="617">
                  <c:v>40338</c:v>
                </c:pt>
                <c:pt idx="618">
                  <c:v>40339</c:v>
                </c:pt>
                <c:pt idx="619">
                  <c:v>40340</c:v>
                </c:pt>
                <c:pt idx="620">
                  <c:v>40341</c:v>
                </c:pt>
                <c:pt idx="621">
                  <c:v>40342</c:v>
                </c:pt>
                <c:pt idx="622">
                  <c:v>40343</c:v>
                </c:pt>
                <c:pt idx="623">
                  <c:v>40344</c:v>
                </c:pt>
                <c:pt idx="624">
                  <c:v>40345</c:v>
                </c:pt>
                <c:pt idx="625">
                  <c:v>40346</c:v>
                </c:pt>
                <c:pt idx="626">
                  <c:v>40347</c:v>
                </c:pt>
                <c:pt idx="627">
                  <c:v>40348</c:v>
                </c:pt>
                <c:pt idx="628">
                  <c:v>40349</c:v>
                </c:pt>
                <c:pt idx="629">
                  <c:v>40350</c:v>
                </c:pt>
                <c:pt idx="630">
                  <c:v>40351</c:v>
                </c:pt>
                <c:pt idx="631">
                  <c:v>40352</c:v>
                </c:pt>
                <c:pt idx="632">
                  <c:v>40353</c:v>
                </c:pt>
                <c:pt idx="633">
                  <c:v>40354</c:v>
                </c:pt>
                <c:pt idx="634">
                  <c:v>40355</c:v>
                </c:pt>
                <c:pt idx="635">
                  <c:v>40356</c:v>
                </c:pt>
                <c:pt idx="636">
                  <c:v>40357</c:v>
                </c:pt>
                <c:pt idx="637">
                  <c:v>40358</c:v>
                </c:pt>
                <c:pt idx="638">
                  <c:v>40359</c:v>
                </c:pt>
                <c:pt idx="639">
                  <c:v>40360</c:v>
                </c:pt>
                <c:pt idx="640">
                  <c:v>40361</c:v>
                </c:pt>
                <c:pt idx="641">
                  <c:v>40362</c:v>
                </c:pt>
                <c:pt idx="642">
                  <c:v>40363</c:v>
                </c:pt>
                <c:pt idx="643">
                  <c:v>40364</c:v>
                </c:pt>
                <c:pt idx="644">
                  <c:v>40365</c:v>
                </c:pt>
                <c:pt idx="645">
                  <c:v>40366</c:v>
                </c:pt>
                <c:pt idx="646">
                  <c:v>40367</c:v>
                </c:pt>
                <c:pt idx="647">
                  <c:v>40368</c:v>
                </c:pt>
                <c:pt idx="648">
                  <c:v>40369</c:v>
                </c:pt>
                <c:pt idx="649">
                  <c:v>40370</c:v>
                </c:pt>
                <c:pt idx="650">
                  <c:v>40371</c:v>
                </c:pt>
                <c:pt idx="651">
                  <c:v>40372</c:v>
                </c:pt>
                <c:pt idx="652">
                  <c:v>40373</c:v>
                </c:pt>
                <c:pt idx="653">
                  <c:v>40374</c:v>
                </c:pt>
                <c:pt idx="654">
                  <c:v>40375</c:v>
                </c:pt>
                <c:pt idx="655">
                  <c:v>40376</c:v>
                </c:pt>
                <c:pt idx="656">
                  <c:v>40377</c:v>
                </c:pt>
                <c:pt idx="657">
                  <c:v>40378</c:v>
                </c:pt>
                <c:pt idx="658">
                  <c:v>40379</c:v>
                </c:pt>
                <c:pt idx="659">
                  <c:v>40380</c:v>
                </c:pt>
                <c:pt idx="660">
                  <c:v>40381</c:v>
                </c:pt>
                <c:pt idx="661">
                  <c:v>40382</c:v>
                </c:pt>
                <c:pt idx="662">
                  <c:v>40383</c:v>
                </c:pt>
                <c:pt idx="663">
                  <c:v>40384</c:v>
                </c:pt>
                <c:pt idx="664">
                  <c:v>40385</c:v>
                </c:pt>
                <c:pt idx="665">
                  <c:v>40386</c:v>
                </c:pt>
                <c:pt idx="666">
                  <c:v>40387</c:v>
                </c:pt>
                <c:pt idx="667">
                  <c:v>40388</c:v>
                </c:pt>
                <c:pt idx="668">
                  <c:v>40389</c:v>
                </c:pt>
                <c:pt idx="669">
                  <c:v>40390</c:v>
                </c:pt>
                <c:pt idx="670">
                  <c:v>40391</c:v>
                </c:pt>
                <c:pt idx="671">
                  <c:v>40392</c:v>
                </c:pt>
                <c:pt idx="672">
                  <c:v>40393</c:v>
                </c:pt>
                <c:pt idx="673">
                  <c:v>40394</c:v>
                </c:pt>
                <c:pt idx="674">
                  <c:v>40395</c:v>
                </c:pt>
                <c:pt idx="675">
                  <c:v>40396</c:v>
                </c:pt>
                <c:pt idx="676">
                  <c:v>40397</c:v>
                </c:pt>
                <c:pt idx="677">
                  <c:v>40398</c:v>
                </c:pt>
                <c:pt idx="678">
                  <c:v>40399</c:v>
                </c:pt>
                <c:pt idx="679">
                  <c:v>40400</c:v>
                </c:pt>
                <c:pt idx="680">
                  <c:v>40401</c:v>
                </c:pt>
                <c:pt idx="681">
                  <c:v>40402</c:v>
                </c:pt>
                <c:pt idx="682">
                  <c:v>40403</c:v>
                </c:pt>
                <c:pt idx="683">
                  <c:v>40404</c:v>
                </c:pt>
                <c:pt idx="684">
                  <c:v>40405</c:v>
                </c:pt>
                <c:pt idx="685">
                  <c:v>40406</c:v>
                </c:pt>
                <c:pt idx="686">
                  <c:v>40407</c:v>
                </c:pt>
                <c:pt idx="687">
                  <c:v>40408</c:v>
                </c:pt>
                <c:pt idx="688">
                  <c:v>40409</c:v>
                </c:pt>
                <c:pt idx="689">
                  <c:v>40410</c:v>
                </c:pt>
                <c:pt idx="690">
                  <c:v>40411</c:v>
                </c:pt>
                <c:pt idx="691">
                  <c:v>40412</c:v>
                </c:pt>
                <c:pt idx="692">
                  <c:v>40413</c:v>
                </c:pt>
                <c:pt idx="693">
                  <c:v>40414</c:v>
                </c:pt>
                <c:pt idx="694">
                  <c:v>40415</c:v>
                </c:pt>
                <c:pt idx="695">
                  <c:v>40416</c:v>
                </c:pt>
                <c:pt idx="696">
                  <c:v>40417</c:v>
                </c:pt>
                <c:pt idx="697">
                  <c:v>40418</c:v>
                </c:pt>
                <c:pt idx="698">
                  <c:v>40419</c:v>
                </c:pt>
                <c:pt idx="699">
                  <c:v>40420</c:v>
                </c:pt>
                <c:pt idx="700">
                  <c:v>40421</c:v>
                </c:pt>
                <c:pt idx="701">
                  <c:v>40422</c:v>
                </c:pt>
                <c:pt idx="702">
                  <c:v>40423</c:v>
                </c:pt>
                <c:pt idx="703">
                  <c:v>40424</c:v>
                </c:pt>
                <c:pt idx="704">
                  <c:v>40425</c:v>
                </c:pt>
                <c:pt idx="705">
                  <c:v>40426</c:v>
                </c:pt>
                <c:pt idx="706">
                  <c:v>40427</c:v>
                </c:pt>
                <c:pt idx="707">
                  <c:v>40428</c:v>
                </c:pt>
                <c:pt idx="708">
                  <c:v>40429</c:v>
                </c:pt>
                <c:pt idx="709">
                  <c:v>40430</c:v>
                </c:pt>
                <c:pt idx="710">
                  <c:v>40431</c:v>
                </c:pt>
                <c:pt idx="711">
                  <c:v>40432</c:v>
                </c:pt>
                <c:pt idx="712">
                  <c:v>40433</c:v>
                </c:pt>
                <c:pt idx="713">
                  <c:v>40434</c:v>
                </c:pt>
                <c:pt idx="714">
                  <c:v>40435</c:v>
                </c:pt>
                <c:pt idx="715">
                  <c:v>40436</c:v>
                </c:pt>
                <c:pt idx="716">
                  <c:v>40437</c:v>
                </c:pt>
                <c:pt idx="717">
                  <c:v>40438</c:v>
                </c:pt>
                <c:pt idx="718">
                  <c:v>40439</c:v>
                </c:pt>
                <c:pt idx="719">
                  <c:v>40440</c:v>
                </c:pt>
                <c:pt idx="720">
                  <c:v>40441</c:v>
                </c:pt>
                <c:pt idx="721">
                  <c:v>40442</c:v>
                </c:pt>
                <c:pt idx="722">
                  <c:v>40443</c:v>
                </c:pt>
                <c:pt idx="723">
                  <c:v>40444</c:v>
                </c:pt>
                <c:pt idx="724">
                  <c:v>40445</c:v>
                </c:pt>
                <c:pt idx="725">
                  <c:v>40446</c:v>
                </c:pt>
                <c:pt idx="726">
                  <c:v>40447</c:v>
                </c:pt>
                <c:pt idx="727">
                  <c:v>40448</c:v>
                </c:pt>
                <c:pt idx="728">
                  <c:v>40449</c:v>
                </c:pt>
                <c:pt idx="729">
                  <c:v>40450</c:v>
                </c:pt>
                <c:pt idx="730">
                  <c:v>40451</c:v>
                </c:pt>
                <c:pt idx="731">
                  <c:v>40452</c:v>
                </c:pt>
                <c:pt idx="732">
                  <c:v>40453</c:v>
                </c:pt>
                <c:pt idx="733">
                  <c:v>40454</c:v>
                </c:pt>
                <c:pt idx="734">
                  <c:v>40455</c:v>
                </c:pt>
                <c:pt idx="735">
                  <c:v>40456</c:v>
                </c:pt>
                <c:pt idx="736">
                  <c:v>40457</c:v>
                </c:pt>
                <c:pt idx="737">
                  <c:v>40458</c:v>
                </c:pt>
                <c:pt idx="738">
                  <c:v>40459</c:v>
                </c:pt>
                <c:pt idx="739">
                  <c:v>40460</c:v>
                </c:pt>
                <c:pt idx="740">
                  <c:v>40461</c:v>
                </c:pt>
                <c:pt idx="741">
                  <c:v>40462</c:v>
                </c:pt>
                <c:pt idx="742">
                  <c:v>40463</c:v>
                </c:pt>
                <c:pt idx="743">
                  <c:v>40464</c:v>
                </c:pt>
                <c:pt idx="744">
                  <c:v>40465</c:v>
                </c:pt>
                <c:pt idx="745">
                  <c:v>40466</c:v>
                </c:pt>
                <c:pt idx="746">
                  <c:v>40467</c:v>
                </c:pt>
                <c:pt idx="747">
                  <c:v>40468</c:v>
                </c:pt>
                <c:pt idx="748">
                  <c:v>40469</c:v>
                </c:pt>
                <c:pt idx="749">
                  <c:v>40470</c:v>
                </c:pt>
                <c:pt idx="750">
                  <c:v>40471</c:v>
                </c:pt>
                <c:pt idx="751">
                  <c:v>40472</c:v>
                </c:pt>
                <c:pt idx="752">
                  <c:v>40473</c:v>
                </c:pt>
                <c:pt idx="753">
                  <c:v>40474</c:v>
                </c:pt>
                <c:pt idx="754">
                  <c:v>40475</c:v>
                </c:pt>
                <c:pt idx="755">
                  <c:v>40476</c:v>
                </c:pt>
                <c:pt idx="756">
                  <c:v>40477</c:v>
                </c:pt>
                <c:pt idx="757">
                  <c:v>40478</c:v>
                </c:pt>
                <c:pt idx="758">
                  <c:v>40479</c:v>
                </c:pt>
                <c:pt idx="759">
                  <c:v>40480</c:v>
                </c:pt>
                <c:pt idx="760">
                  <c:v>40481</c:v>
                </c:pt>
                <c:pt idx="761">
                  <c:v>40482</c:v>
                </c:pt>
                <c:pt idx="762">
                  <c:v>40483</c:v>
                </c:pt>
                <c:pt idx="763">
                  <c:v>40484</c:v>
                </c:pt>
                <c:pt idx="764">
                  <c:v>40485</c:v>
                </c:pt>
                <c:pt idx="765">
                  <c:v>40486</c:v>
                </c:pt>
                <c:pt idx="766">
                  <c:v>40487</c:v>
                </c:pt>
                <c:pt idx="767">
                  <c:v>40488</c:v>
                </c:pt>
                <c:pt idx="768">
                  <c:v>40489</c:v>
                </c:pt>
                <c:pt idx="769">
                  <c:v>40490</c:v>
                </c:pt>
                <c:pt idx="770">
                  <c:v>40491</c:v>
                </c:pt>
                <c:pt idx="771">
                  <c:v>40492</c:v>
                </c:pt>
                <c:pt idx="772">
                  <c:v>40493</c:v>
                </c:pt>
                <c:pt idx="773">
                  <c:v>40494</c:v>
                </c:pt>
                <c:pt idx="774">
                  <c:v>40495</c:v>
                </c:pt>
                <c:pt idx="775">
                  <c:v>40496</c:v>
                </c:pt>
                <c:pt idx="776">
                  <c:v>40497</c:v>
                </c:pt>
                <c:pt idx="777">
                  <c:v>40498</c:v>
                </c:pt>
                <c:pt idx="778">
                  <c:v>40499</c:v>
                </c:pt>
                <c:pt idx="779">
                  <c:v>40500</c:v>
                </c:pt>
                <c:pt idx="780">
                  <c:v>40501</c:v>
                </c:pt>
                <c:pt idx="781">
                  <c:v>40502</c:v>
                </c:pt>
                <c:pt idx="782">
                  <c:v>40503</c:v>
                </c:pt>
                <c:pt idx="783">
                  <c:v>40504</c:v>
                </c:pt>
                <c:pt idx="784">
                  <c:v>40505</c:v>
                </c:pt>
                <c:pt idx="785">
                  <c:v>40506</c:v>
                </c:pt>
                <c:pt idx="786">
                  <c:v>40507</c:v>
                </c:pt>
                <c:pt idx="787">
                  <c:v>40508</c:v>
                </c:pt>
                <c:pt idx="788">
                  <c:v>40509</c:v>
                </c:pt>
                <c:pt idx="789">
                  <c:v>40510</c:v>
                </c:pt>
                <c:pt idx="790">
                  <c:v>40511</c:v>
                </c:pt>
                <c:pt idx="791">
                  <c:v>40512</c:v>
                </c:pt>
                <c:pt idx="792">
                  <c:v>40513</c:v>
                </c:pt>
                <c:pt idx="793">
                  <c:v>40514</c:v>
                </c:pt>
                <c:pt idx="794">
                  <c:v>40515</c:v>
                </c:pt>
                <c:pt idx="795">
                  <c:v>40516</c:v>
                </c:pt>
                <c:pt idx="796">
                  <c:v>40517</c:v>
                </c:pt>
                <c:pt idx="797">
                  <c:v>40518</c:v>
                </c:pt>
                <c:pt idx="798">
                  <c:v>40519</c:v>
                </c:pt>
                <c:pt idx="799">
                  <c:v>40520</c:v>
                </c:pt>
                <c:pt idx="800">
                  <c:v>40521</c:v>
                </c:pt>
                <c:pt idx="801">
                  <c:v>40522</c:v>
                </c:pt>
                <c:pt idx="802">
                  <c:v>40523</c:v>
                </c:pt>
                <c:pt idx="803">
                  <c:v>40524</c:v>
                </c:pt>
                <c:pt idx="804">
                  <c:v>40525</c:v>
                </c:pt>
                <c:pt idx="805">
                  <c:v>40526</c:v>
                </c:pt>
                <c:pt idx="806">
                  <c:v>40527</c:v>
                </c:pt>
                <c:pt idx="807">
                  <c:v>40528</c:v>
                </c:pt>
                <c:pt idx="808">
                  <c:v>40529</c:v>
                </c:pt>
                <c:pt idx="809">
                  <c:v>40530</c:v>
                </c:pt>
                <c:pt idx="810">
                  <c:v>40531</c:v>
                </c:pt>
                <c:pt idx="811">
                  <c:v>40532</c:v>
                </c:pt>
                <c:pt idx="812">
                  <c:v>40533</c:v>
                </c:pt>
                <c:pt idx="813">
                  <c:v>40534</c:v>
                </c:pt>
                <c:pt idx="814">
                  <c:v>40535</c:v>
                </c:pt>
                <c:pt idx="815">
                  <c:v>40536</c:v>
                </c:pt>
                <c:pt idx="816">
                  <c:v>40537</c:v>
                </c:pt>
                <c:pt idx="817">
                  <c:v>40538</c:v>
                </c:pt>
                <c:pt idx="818">
                  <c:v>40539</c:v>
                </c:pt>
                <c:pt idx="819">
                  <c:v>40540</c:v>
                </c:pt>
                <c:pt idx="820">
                  <c:v>40541</c:v>
                </c:pt>
                <c:pt idx="821">
                  <c:v>40542</c:v>
                </c:pt>
                <c:pt idx="822">
                  <c:v>40543</c:v>
                </c:pt>
                <c:pt idx="823">
                  <c:v>40544</c:v>
                </c:pt>
                <c:pt idx="824">
                  <c:v>40545</c:v>
                </c:pt>
                <c:pt idx="825">
                  <c:v>40546</c:v>
                </c:pt>
                <c:pt idx="826">
                  <c:v>40547</c:v>
                </c:pt>
                <c:pt idx="827">
                  <c:v>40548</c:v>
                </c:pt>
                <c:pt idx="828">
                  <c:v>40549</c:v>
                </c:pt>
                <c:pt idx="829">
                  <c:v>40550</c:v>
                </c:pt>
                <c:pt idx="830">
                  <c:v>40551</c:v>
                </c:pt>
                <c:pt idx="831">
                  <c:v>40552</c:v>
                </c:pt>
                <c:pt idx="832">
                  <c:v>40553</c:v>
                </c:pt>
                <c:pt idx="833">
                  <c:v>40554</c:v>
                </c:pt>
                <c:pt idx="834">
                  <c:v>40555</c:v>
                </c:pt>
                <c:pt idx="835">
                  <c:v>40556</c:v>
                </c:pt>
                <c:pt idx="836">
                  <c:v>40557</c:v>
                </c:pt>
                <c:pt idx="837">
                  <c:v>40558</c:v>
                </c:pt>
                <c:pt idx="838">
                  <c:v>40559</c:v>
                </c:pt>
                <c:pt idx="839">
                  <c:v>40560</c:v>
                </c:pt>
                <c:pt idx="840">
                  <c:v>40561</c:v>
                </c:pt>
                <c:pt idx="841">
                  <c:v>40562</c:v>
                </c:pt>
                <c:pt idx="842">
                  <c:v>40563</c:v>
                </c:pt>
                <c:pt idx="843">
                  <c:v>40564</c:v>
                </c:pt>
                <c:pt idx="844">
                  <c:v>40565</c:v>
                </c:pt>
                <c:pt idx="845">
                  <c:v>40566</c:v>
                </c:pt>
                <c:pt idx="846">
                  <c:v>40567</c:v>
                </c:pt>
                <c:pt idx="847">
                  <c:v>40568</c:v>
                </c:pt>
                <c:pt idx="848">
                  <c:v>40569</c:v>
                </c:pt>
                <c:pt idx="849">
                  <c:v>40570</c:v>
                </c:pt>
                <c:pt idx="850">
                  <c:v>40571</c:v>
                </c:pt>
                <c:pt idx="851">
                  <c:v>40572</c:v>
                </c:pt>
                <c:pt idx="852">
                  <c:v>40573</c:v>
                </c:pt>
                <c:pt idx="853">
                  <c:v>40574</c:v>
                </c:pt>
                <c:pt idx="854">
                  <c:v>40575</c:v>
                </c:pt>
                <c:pt idx="855">
                  <c:v>40576</c:v>
                </c:pt>
                <c:pt idx="856">
                  <c:v>40577</c:v>
                </c:pt>
                <c:pt idx="857">
                  <c:v>40578</c:v>
                </c:pt>
                <c:pt idx="858">
                  <c:v>40579</c:v>
                </c:pt>
                <c:pt idx="859">
                  <c:v>40580</c:v>
                </c:pt>
                <c:pt idx="860">
                  <c:v>40581</c:v>
                </c:pt>
                <c:pt idx="861">
                  <c:v>40582</c:v>
                </c:pt>
                <c:pt idx="862">
                  <c:v>40583</c:v>
                </c:pt>
                <c:pt idx="863">
                  <c:v>40584</c:v>
                </c:pt>
                <c:pt idx="864">
                  <c:v>40585</c:v>
                </c:pt>
                <c:pt idx="865">
                  <c:v>40586</c:v>
                </c:pt>
                <c:pt idx="866">
                  <c:v>40587</c:v>
                </c:pt>
                <c:pt idx="867">
                  <c:v>40588</c:v>
                </c:pt>
                <c:pt idx="868">
                  <c:v>40589</c:v>
                </c:pt>
                <c:pt idx="869">
                  <c:v>40590</c:v>
                </c:pt>
                <c:pt idx="870">
                  <c:v>40591</c:v>
                </c:pt>
                <c:pt idx="871">
                  <c:v>40592</c:v>
                </c:pt>
                <c:pt idx="872">
                  <c:v>40593</c:v>
                </c:pt>
                <c:pt idx="873">
                  <c:v>40594</c:v>
                </c:pt>
                <c:pt idx="874">
                  <c:v>40595</c:v>
                </c:pt>
                <c:pt idx="875">
                  <c:v>40596</c:v>
                </c:pt>
                <c:pt idx="876">
                  <c:v>40597</c:v>
                </c:pt>
                <c:pt idx="877">
                  <c:v>40598</c:v>
                </c:pt>
                <c:pt idx="878">
                  <c:v>40599</c:v>
                </c:pt>
                <c:pt idx="879">
                  <c:v>40600</c:v>
                </c:pt>
                <c:pt idx="880">
                  <c:v>40601</c:v>
                </c:pt>
                <c:pt idx="881">
                  <c:v>40602</c:v>
                </c:pt>
                <c:pt idx="882">
                  <c:v>40603</c:v>
                </c:pt>
                <c:pt idx="883">
                  <c:v>40604</c:v>
                </c:pt>
                <c:pt idx="884">
                  <c:v>40605</c:v>
                </c:pt>
                <c:pt idx="885">
                  <c:v>40606</c:v>
                </c:pt>
                <c:pt idx="886">
                  <c:v>40607</c:v>
                </c:pt>
                <c:pt idx="887">
                  <c:v>40608</c:v>
                </c:pt>
                <c:pt idx="888">
                  <c:v>40609</c:v>
                </c:pt>
                <c:pt idx="889">
                  <c:v>40610</c:v>
                </c:pt>
                <c:pt idx="890">
                  <c:v>40611</c:v>
                </c:pt>
                <c:pt idx="891">
                  <c:v>40612</c:v>
                </c:pt>
                <c:pt idx="892">
                  <c:v>40613</c:v>
                </c:pt>
                <c:pt idx="893">
                  <c:v>40614</c:v>
                </c:pt>
                <c:pt idx="894">
                  <c:v>40615</c:v>
                </c:pt>
                <c:pt idx="895">
                  <c:v>40616</c:v>
                </c:pt>
                <c:pt idx="896">
                  <c:v>40617</c:v>
                </c:pt>
                <c:pt idx="897">
                  <c:v>40618</c:v>
                </c:pt>
                <c:pt idx="898">
                  <c:v>40619</c:v>
                </c:pt>
                <c:pt idx="899">
                  <c:v>40620</c:v>
                </c:pt>
                <c:pt idx="900">
                  <c:v>40621</c:v>
                </c:pt>
                <c:pt idx="901">
                  <c:v>40622</c:v>
                </c:pt>
                <c:pt idx="902">
                  <c:v>40623</c:v>
                </c:pt>
                <c:pt idx="903">
                  <c:v>40624</c:v>
                </c:pt>
                <c:pt idx="904">
                  <c:v>40625</c:v>
                </c:pt>
                <c:pt idx="905">
                  <c:v>40626</c:v>
                </c:pt>
                <c:pt idx="906">
                  <c:v>40627</c:v>
                </c:pt>
                <c:pt idx="907">
                  <c:v>40628</c:v>
                </c:pt>
                <c:pt idx="908">
                  <c:v>40629</c:v>
                </c:pt>
                <c:pt idx="909">
                  <c:v>40630</c:v>
                </c:pt>
                <c:pt idx="910">
                  <c:v>40631</c:v>
                </c:pt>
                <c:pt idx="911">
                  <c:v>40632</c:v>
                </c:pt>
                <c:pt idx="912">
                  <c:v>40633</c:v>
                </c:pt>
                <c:pt idx="913">
                  <c:v>40634</c:v>
                </c:pt>
                <c:pt idx="914">
                  <c:v>40635</c:v>
                </c:pt>
                <c:pt idx="915">
                  <c:v>40636</c:v>
                </c:pt>
                <c:pt idx="916">
                  <c:v>40637</c:v>
                </c:pt>
                <c:pt idx="917">
                  <c:v>40638</c:v>
                </c:pt>
                <c:pt idx="918">
                  <c:v>40639</c:v>
                </c:pt>
                <c:pt idx="919">
                  <c:v>40640</c:v>
                </c:pt>
                <c:pt idx="920">
                  <c:v>40641</c:v>
                </c:pt>
                <c:pt idx="921">
                  <c:v>40642</c:v>
                </c:pt>
                <c:pt idx="922">
                  <c:v>40643</c:v>
                </c:pt>
                <c:pt idx="923">
                  <c:v>40644</c:v>
                </c:pt>
                <c:pt idx="924">
                  <c:v>40645</c:v>
                </c:pt>
                <c:pt idx="925">
                  <c:v>40646</c:v>
                </c:pt>
                <c:pt idx="926">
                  <c:v>40647</c:v>
                </c:pt>
                <c:pt idx="927">
                  <c:v>40648</c:v>
                </c:pt>
                <c:pt idx="928">
                  <c:v>40649</c:v>
                </c:pt>
                <c:pt idx="929">
                  <c:v>40650</c:v>
                </c:pt>
                <c:pt idx="930">
                  <c:v>40651</c:v>
                </c:pt>
                <c:pt idx="931">
                  <c:v>40652</c:v>
                </c:pt>
                <c:pt idx="932">
                  <c:v>40653</c:v>
                </c:pt>
                <c:pt idx="933">
                  <c:v>40654</c:v>
                </c:pt>
                <c:pt idx="934">
                  <c:v>40655</c:v>
                </c:pt>
                <c:pt idx="935">
                  <c:v>40656</c:v>
                </c:pt>
                <c:pt idx="936">
                  <c:v>40657</c:v>
                </c:pt>
                <c:pt idx="937">
                  <c:v>40658</c:v>
                </c:pt>
                <c:pt idx="938">
                  <c:v>40659</c:v>
                </c:pt>
                <c:pt idx="939">
                  <c:v>40660</c:v>
                </c:pt>
                <c:pt idx="940">
                  <c:v>40661</c:v>
                </c:pt>
                <c:pt idx="941">
                  <c:v>40662</c:v>
                </c:pt>
                <c:pt idx="942">
                  <c:v>40663</c:v>
                </c:pt>
                <c:pt idx="943">
                  <c:v>40664</c:v>
                </c:pt>
                <c:pt idx="944">
                  <c:v>40665</c:v>
                </c:pt>
                <c:pt idx="945">
                  <c:v>40666</c:v>
                </c:pt>
                <c:pt idx="946">
                  <c:v>40667</c:v>
                </c:pt>
                <c:pt idx="947">
                  <c:v>40668</c:v>
                </c:pt>
                <c:pt idx="948">
                  <c:v>40669</c:v>
                </c:pt>
                <c:pt idx="949">
                  <c:v>40670</c:v>
                </c:pt>
                <c:pt idx="950">
                  <c:v>40671</c:v>
                </c:pt>
                <c:pt idx="951">
                  <c:v>40672</c:v>
                </c:pt>
                <c:pt idx="952">
                  <c:v>40673</c:v>
                </c:pt>
                <c:pt idx="953">
                  <c:v>40674</c:v>
                </c:pt>
                <c:pt idx="954">
                  <c:v>40675</c:v>
                </c:pt>
                <c:pt idx="955">
                  <c:v>40676</c:v>
                </c:pt>
                <c:pt idx="956">
                  <c:v>40677</c:v>
                </c:pt>
                <c:pt idx="957">
                  <c:v>40678</c:v>
                </c:pt>
                <c:pt idx="958">
                  <c:v>40679</c:v>
                </c:pt>
                <c:pt idx="959">
                  <c:v>40680</c:v>
                </c:pt>
                <c:pt idx="960">
                  <c:v>40681</c:v>
                </c:pt>
                <c:pt idx="961">
                  <c:v>40682</c:v>
                </c:pt>
                <c:pt idx="962">
                  <c:v>40683</c:v>
                </c:pt>
                <c:pt idx="963">
                  <c:v>40684</c:v>
                </c:pt>
                <c:pt idx="964">
                  <c:v>40685</c:v>
                </c:pt>
                <c:pt idx="965">
                  <c:v>40686</c:v>
                </c:pt>
                <c:pt idx="966">
                  <c:v>40687</c:v>
                </c:pt>
                <c:pt idx="967">
                  <c:v>40688</c:v>
                </c:pt>
                <c:pt idx="968">
                  <c:v>40689</c:v>
                </c:pt>
                <c:pt idx="969">
                  <c:v>40690</c:v>
                </c:pt>
                <c:pt idx="970">
                  <c:v>40691</c:v>
                </c:pt>
                <c:pt idx="971">
                  <c:v>40692</c:v>
                </c:pt>
                <c:pt idx="972">
                  <c:v>40693</c:v>
                </c:pt>
                <c:pt idx="973">
                  <c:v>40694</c:v>
                </c:pt>
                <c:pt idx="974">
                  <c:v>40695</c:v>
                </c:pt>
                <c:pt idx="975">
                  <c:v>40696</c:v>
                </c:pt>
                <c:pt idx="976">
                  <c:v>40697</c:v>
                </c:pt>
                <c:pt idx="977">
                  <c:v>40698</c:v>
                </c:pt>
                <c:pt idx="978">
                  <c:v>40699</c:v>
                </c:pt>
                <c:pt idx="979">
                  <c:v>40700</c:v>
                </c:pt>
                <c:pt idx="980">
                  <c:v>40701</c:v>
                </c:pt>
                <c:pt idx="981">
                  <c:v>40702</c:v>
                </c:pt>
                <c:pt idx="982">
                  <c:v>40703</c:v>
                </c:pt>
                <c:pt idx="983">
                  <c:v>40704</c:v>
                </c:pt>
                <c:pt idx="984">
                  <c:v>40705</c:v>
                </c:pt>
                <c:pt idx="985">
                  <c:v>40706</c:v>
                </c:pt>
                <c:pt idx="986">
                  <c:v>40707</c:v>
                </c:pt>
                <c:pt idx="987">
                  <c:v>40708</c:v>
                </c:pt>
                <c:pt idx="988">
                  <c:v>40709</c:v>
                </c:pt>
                <c:pt idx="989">
                  <c:v>40710</c:v>
                </c:pt>
                <c:pt idx="990">
                  <c:v>40711</c:v>
                </c:pt>
                <c:pt idx="991">
                  <c:v>40712</c:v>
                </c:pt>
                <c:pt idx="992">
                  <c:v>40713</c:v>
                </c:pt>
                <c:pt idx="993">
                  <c:v>40714</c:v>
                </c:pt>
                <c:pt idx="994">
                  <c:v>40715</c:v>
                </c:pt>
                <c:pt idx="995">
                  <c:v>40716</c:v>
                </c:pt>
                <c:pt idx="996">
                  <c:v>40717</c:v>
                </c:pt>
                <c:pt idx="997">
                  <c:v>40718</c:v>
                </c:pt>
                <c:pt idx="998">
                  <c:v>40719</c:v>
                </c:pt>
                <c:pt idx="999">
                  <c:v>40720</c:v>
                </c:pt>
                <c:pt idx="1000">
                  <c:v>40721</c:v>
                </c:pt>
                <c:pt idx="1001">
                  <c:v>40722</c:v>
                </c:pt>
                <c:pt idx="1002">
                  <c:v>40723</c:v>
                </c:pt>
                <c:pt idx="1003">
                  <c:v>40724</c:v>
                </c:pt>
                <c:pt idx="1004">
                  <c:v>40725</c:v>
                </c:pt>
                <c:pt idx="1005">
                  <c:v>40726</c:v>
                </c:pt>
                <c:pt idx="1006">
                  <c:v>40727</c:v>
                </c:pt>
                <c:pt idx="1007">
                  <c:v>40728</c:v>
                </c:pt>
                <c:pt idx="1008">
                  <c:v>40729</c:v>
                </c:pt>
                <c:pt idx="1009">
                  <c:v>40730</c:v>
                </c:pt>
                <c:pt idx="1010">
                  <c:v>40731</c:v>
                </c:pt>
                <c:pt idx="1011">
                  <c:v>40732</c:v>
                </c:pt>
                <c:pt idx="1012">
                  <c:v>40733</c:v>
                </c:pt>
                <c:pt idx="1013">
                  <c:v>40734</c:v>
                </c:pt>
                <c:pt idx="1014">
                  <c:v>40735</c:v>
                </c:pt>
                <c:pt idx="1015">
                  <c:v>40736</c:v>
                </c:pt>
                <c:pt idx="1016">
                  <c:v>40737</c:v>
                </c:pt>
                <c:pt idx="1017">
                  <c:v>40738</c:v>
                </c:pt>
                <c:pt idx="1018">
                  <c:v>40739</c:v>
                </c:pt>
                <c:pt idx="1019">
                  <c:v>40740</c:v>
                </c:pt>
                <c:pt idx="1020">
                  <c:v>40741</c:v>
                </c:pt>
                <c:pt idx="1021">
                  <c:v>40742</c:v>
                </c:pt>
                <c:pt idx="1022">
                  <c:v>40743</c:v>
                </c:pt>
                <c:pt idx="1023">
                  <c:v>40744</c:v>
                </c:pt>
                <c:pt idx="1024">
                  <c:v>40745</c:v>
                </c:pt>
                <c:pt idx="1025">
                  <c:v>40746</c:v>
                </c:pt>
                <c:pt idx="1026">
                  <c:v>40747</c:v>
                </c:pt>
                <c:pt idx="1027">
                  <c:v>40748</c:v>
                </c:pt>
                <c:pt idx="1028">
                  <c:v>40749</c:v>
                </c:pt>
                <c:pt idx="1029">
                  <c:v>40750</c:v>
                </c:pt>
                <c:pt idx="1030">
                  <c:v>40751</c:v>
                </c:pt>
                <c:pt idx="1031">
                  <c:v>40752</c:v>
                </c:pt>
                <c:pt idx="1032">
                  <c:v>40753</c:v>
                </c:pt>
                <c:pt idx="1033">
                  <c:v>40754</c:v>
                </c:pt>
                <c:pt idx="1034">
                  <c:v>40755</c:v>
                </c:pt>
                <c:pt idx="1035">
                  <c:v>40756</c:v>
                </c:pt>
                <c:pt idx="1036">
                  <c:v>40757</c:v>
                </c:pt>
                <c:pt idx="1037">
                  <c:v>40758</c:v>
                </c:pt>
                <c:pt idx="1038">
                  <c:v>40759</c:v>
                </c:pt>
                <c:pt idx="1039">
                  <c:v>40760</c:v>
                </c:pt>
                <c:pt idx="1040">
                  <c:v>40761</c:v>
                </c:pt>
                <c:pt idx="1041">
                  <c:v>40762</c:v>
                </c:pt>
                <c:pt idx="1042">
                  <c:v>40763</c:v>
                </c:pt>
                <c:pt idx="1043">
                  <c:v>40764</c:v>
                </c:pt>
                <c:pt idx="1044">
                  <c:v>40765</c:v>
                </c:pt>
                <c:pt idx="1045">
                  <c:v>40766</c:v>
                </c:pt>
                <c:pt idx="1046">
                  <c:v>40767</c:v>
                </c:pt>
                <c:pt idx="1047">
                  <c:v>40768</c:v>
                </c:pt>
                <c:pt idx="1048">
                  <c:v>40769</c:v>
                </c:pt>
                <c:pt idx="1049">
                  <c:v>40770</c:v>
                </c:pt>
                <c:pt idx="1050">
                  <c:v>40771</c:v>
                </c:pt>
                <c:pt idx="1051">
                  <c:v>40772</c:v>
                </c:pt>
                <c:pt idx="1052">
                  <c:v>40773</c:v>
                </c:pt>
                <c:pt idx="1053">
                  <c:v>40774</c:v>
                </c:pt>
                <c:pt idx="1054">
                  <c:v>40775</c:v>
                </c:pt>
                <c:pt idx="1055">
                  <c:v>40776</c:v>
                </c:pt>
                <c:pt idx="1056">
                  <c:v>40777</c:v>
                </c:pt>
                <c:pt idx="1057">
                  <c:v>40778</c:v>
                </c:pt>
                <c:pt idx="1058">
                  <c:v>40779</c:v>
                </c:pt>
                <c:pt idx="1059">
                  <c:v>40780</c:v>
                </c:pt>
                <c:pt idx="1060">
                  <c:v>40781</c:v>
                </c:pt>
                <c:pt idx="1061">
                  <c:v>40782</c:v>
                </c:pt>
                <c:pt idx="1062">
                  <c:v>40783</c:v>
                </c:pt>
                <c:pt idx="1063">
                  <c:v>40784</c:v>
                </c:pt>
                <c:pt idx="1064">
                  <c:v>40785</c:v>
                </c:pt>
                <c:pt idx="1065">
                  <c:v>40786</c:v>
                </c:pt>
                <c:pt idx="1066">
                  <c:v>40787</c:v>
                </c:pt>
                <c:pt idx="1067">
                  <c:v>40788</c:v>
                </c:pt>
                <c:pt idx="1068">
                  <c:v>40789</c:v>
                </c:pt>
                <c:pt idx="1069">
                  <c:v>40790</c:v>
                </c:pt>
                <c:pt idx="1070">
                  <c:v>40791</c:v>
                </c:pt>
                <c:pt idx="1071">
                  <c:v>40792</c:v>
                </c:pt>
                <c:pt idx="1072">
                  <c:v>40793</c:v>
                </c:pt>
                <c:pt idx="1073">
                  <c:v>40794</c:v>
                </c:pt>
                <c:pt idx="1074">
                  <c:v>40795</c:v>
                </c:pt>
                <c:pt idx="1075">
                  <c:v>40796</c:v>
                </c:pt>
                <c:pt idx="1076">
                  <c:v>40797</c:v>
                </c:pt>
                <c:pt idx="1077">
                  <c:v>40798</c:v>
                </c:pt>
                <c:pt idx="1078">
                  <c:v>40799</c:v>
                </c:pt>
                <c:pt idx="1079">
                  <c:v>40800</c:v>
                </c:pt>
                <c:pt idx="1080">
                  <c:v>40801</c:v>
                </c:pt>
                <c:pt idx="1081">
                  <c:v>40802</c:v>
                </c:pt>
                <c:pt idx="1082">
                  <c:v>40803</c:v>
                </c:pt>
                <c:pt idx="1083">
                  <c:v>40804</c:v>
                </c:pt>
                <c:pt idx="1084">
                  <c:v>40805</c:v>
                </c:pt>
                <c:pt idx="1085">
                  <c:v>40806</c:v>
                </c:pt>
                <c:pt idx="1086">
                  <c:v>40807</c:v>
                </c:pt>
                <c:pt idx="1087">
                  <c:v>40808</c:v>
                </c:pt>
                <c:pt idx="1088">
                  <c:v>40809</c:v>
                </c:pt>
                <c:pt idx="1089">
                  <c:v>40810</c:v>
                </c:pt>
                <c:pt idx="1090">
                  <c:v>40811</c:v>
                </c:pt>
                <c:pt idx="1091">
                  <c:v>40812</c:v>
                </c:pt>
                <c:pt idx="1092">
                  <c:v>40813</c:v>
                </c:pt>
                <c:pt idx="1093">
                  <c:v>40814</c:v>
                </c:pt>
                <c:pt idx="1094">
                  <c:v>40815</c:v>
                </c:pt>
                <c:pt idx="1095">
                  <c:v>40816</c:v>
                </c:pt>
                <c:pt idx="1096">
                  <c:v>40817</c:v>
                </c:pt>
                <c:pt idx="1097">
                  <c:v>40818</c:v>
                </c:pt>
                <c:pt idx="1098">
                  <c:v>40819</c:v>
                </c:pt>
                <c:pt idx="1099">
                  <c:v>40820</c:v>
                </c:pt>
                <c:pt idx="1100">
                  <c:v>40821</c:v>
                </c:pt>
                <c:pt idx="1101">
                  <c:v>40822</c:v>
                </c:pt>
                <c:pt idx="1102">
                  <c:v>40823</c:v>
                </c:pt>
                <c:pt idx="1103">
                  <c:v>40824</c:v>
                </c:pt>
                <c:pt idx="1104">
                  <c:v>40825</c:v>
                </c:pt>
                <c:pt idx="1105">
                  <c:v>40826</c:v>
                </c:pt>
                <c:pt idx="1106">
                  <c:v>40827</c:v>
                </c:pt>
                <c:pt idx="1107">
                  <c:v>40828</c:v>
                </c:pt>
                <c:pt idx="1108">
                  <c:v>40829</c:v>
                </c:pt>
                <c:pt idx="1109">
                  <c:v>40830</c:v>
                </c:pt>
                <c:pt idx="1110">
                  <c:v>40831</c:v>
                </c:pt>
                <c:pt idx="1111">
                  <c:v>40832</c:v>
                </c:pt>
                <c:pt idx="1112">
                  <c:v>40833</c:v>
                </c:pt>
                <c:pt idx="1113">
                  <c:v>40834</c:v>
                </c:pt>
                <c:pt idx="1114">
                  <c:v>40835</c:v>
                </c:pt>
                <c:pt idx="1115">
                  <c:v>40836</c:v>
                </c:pt>
                <c:pt idx="1116">
                  <c:v>40837</c:v>
                </c:pt>
                <c:pt idx="1117">
                  <c:v>40838</c:v>
                </c:pt>
                <c:pt idx="1118">
                  <c:v>40839</c:v>
                </c:pt>
                <c:pt idx="1119">
                  <c:v>40840</c:v>
                </c:pt>
                <c:pt idx="1120">
                  <c:v>40841</c:v>
                </c:pt>
                <c:pt idx="1121">
                  <c:v>40842</c:v>
                </c:pt>
                <c:pt idx="1122">
                  <c:v>40843</c:v>
                </c:pt>
                <c:pt idx="1123">
                  <c:v>40844</c:v>
                </c:pt>
                <c:pt idx="1124">
                  <c:v>40845</c:v>
                </c:pt>
                <c:pt idx="1125">
                  <c:v>40846</c:v>
                </c:pt>
                <c:pt idx="1126">
                  <c:v>40847</c:v>
                </c:pt>
                <c:pt idx="1127">
                  <c:v>40848</c:v>
                </c:pt>
                <c:pt idx="1128">
                  <c:v>40849</c:v>
                </c:pt>
                <c:pt idx="1129">
                  <c:v>40850</c:v>
                </c:pt>
                <c:pt idx="1130">
                  <c:v>40851</c:v>
                </c:pt>
                <c:pt idx="1131">
                  <c:v>40852</c:v>
                </c:pt>
                <c:pt idx="1132">
                  <c:v>40853</c:v>
                </c:pt>
                <c:pt idx="1133">
                  <c:v>40854</c:v>
                </c:pt>
                <c:pt idx="1134">
                  <c:v>40855</c:v>
                </c:pt>
                <c:pt idx="1135">
                  <c:v>40856</c:v>
                </c:pt>
                <c:pt idx="1136">
                  <c:v>40857</c:v>
                </c:pt>
                <c:pt idx="1137">
                  <c:v>40858</c:v>
                </c:pt>
                <c:pt idx="1138">
                  <c:v>40859</c:v>
                </c:pt>
                <c:pt idx="1139">
                  <c:v>40860</c:v>
                </c:pt>
                <c:pt idx="1140">
                  <c:v>40861</c:v>
                </c:pt>
                <c:pt idx="1141">
                  <c:v>40862</c:v>
                </c:pt>
                <c:pt idx="1142">
                  <c:v>40863</c:v>
                </c:pt>
                <c:pt idx="1143">
                  <c:v>40864</c:v>
                </c:pt>
                <c:pt idx="1144">
                  <c:v>40865</c:v>
                </c:pt>
                <c:pt idx="1145">
                  <c:v>40866</c:v>
                </c:pt>
                <c:pt idx="1146">
                  <c:v>40867</c:v>
                </c:pt>
                <c:pt idx="1147">
                  <c:v>40868</c:v>
                </c:pt>
                <c:pt idx="1148">
                  <c:v>40869</c:v>
                </c:pt>
                <c:pt idx="1149">
                  <c:v>40870</c:v>
                </c:pt>
                <c:pt idx="1150">
                  <c:v>40871</c:v>
                </c:pt>
                <c:pt idx="1151">
                  <c:v>40872</c:v>
                </c:pt>
                <c:pt idx="1152">
                  <c:v>40873</c:v>
                </c:pt>
                <c:pt idx="1153">
                  <c:v>40874</c:v>
                </c:pt>
                <c:pt idx="1154">
                  <c:v>40875</c:v>
                </c:pt>
                <c:pt idx="1155">
                  <c:v>40876</c:v>
                </c:pt>
                <c:pt idx="1156">
                  <c:v>40877</c:v>
                </c:pt>
                <c:pt idx="1157">
                  <c:v>40878</c:v>
                </c:pt>
                <c:pt idx="1158">
                  <c:v>40879</c:v>
                </c:pt>
                <c:pt idx="1159">
                  <c:v>40880</c:v>
                </c:pt>
                <c:pt idx="1160">
                  <c:v>40881</c:v>
                </c:pt>
                <c:pt idx="1161">
                  <c:v>40882</c:v>
                </c:pt>
                <c:pt idx="1162">
                  <c:v>40883</c:v>
                </c:pt>
                <c:pt idx="1163">
                  <c:v>40884</c:v>
                </c:pt>
                <c:pt idx="1164">
                  <c:v>40885</c:v>
                </c:pt>
                <c:pt idx="1165">
                  <c:v>40886</c:v>
                </c:pt>
                <c:pt idx="1166">
                  <c:v>40887</c:v>
                </c:pt>
                <c:pt idx="1167">
                  <c:v>40888</c:v>
                </c:pt>
                <c:pt idx="1168">
                  <c:v>40889</c:v>
                </c:pt>
                <c:pt idx="1169">
                  <c:v>40890</c:v>
                </c:pt>
                <c:pt idx="1170">
                  <c:v>40891</c:v>
                </c:pt>
                <c:pt idx="1171">
                  <c:v>40892</c:v>
                </c:pt>
                <c:pt idx="1172">
                  <c:v>40893</c:v>
                </c:pt>
                <c:pt idx="1173">
                  <c:v>40894</c:v>
                </c:pt>
                <c:pt idx="1174">
                  <c:v>40895</c:v>
                </c:pt>
                <c:pt idx="1175">
                  <c:v>40896</c:v>
                </c:pt>
                <c:pt idx="1176">
                  <c:v>40897</c:v>
                </c:pt>
                <c:pt idx="1177">
                  <c:v>40898</c:v>
                </c:pt>
                <c:pt idx="1178">
                  <c:v>40899</c:v>
                </c:pt>
                <c:pt idx="1179">
                  <c:v>40900</c:v>
                </c:pt>
                <c:pt idx="1180">
                  <c:v>40901</c:v>
                </c:pt>
                <c:pt idx="1181">
                  <c:v>40902</c:v>
                </c:pt>
                <c:pt idx="1182">
                  <c:v>40903</c:v>
                </c:pt>
                <c:pt idx="1183">
                  <c:v>40904</c:v>
                </c:pt>
                <c:pt idx="1184">
                  <c:v>40905</c:v>
                </c:pt>
                <c:pt idx="1185">
                  <c:v>40906</c:v>
                </c:pt>
                <c:pt idx="1186">
                  <c:v>40907</c:v>
                </c:pt>
                <c:pt idx="1187">
                  <c:v>40908</c:v>
                </c:pt>
                <c:pt idx="1188">
                  <c:v>40909</c:v>
                </c:pt>
                <c:pt idx="1189">
                  <c:v>40910</c:v>
                </c:pt>
                <c:pt idx="1190">
                  <c:v>40911</c:v>
                </c:pt>
                <c:pt idx="1191">
                  <c:v>40912</c:v>
                </c:pt>
                <c:pt idx="1192">
                  <c:v>40913</c:v>
                </c:pt>
                <c:pt idx="1193">
                  <c:v>40914</c:v>
                </c:pt>
                <c:pt idx="1194">
                  <c:v>40915</c:v>
                </c:pt>
                <c:pt idx="1195">
                  <c:v>40916</c:v>
                </c:pt>
                <c:pt idx="1196">
                  <c:v>40917</c:v>
                </c:pt>
                <c:pt idx="1197">
                  <c:v>40918</c:v>
                </c:pt>
                <c:pt idx="1198">
                  <c:v>40919</c:v>
                </c:pt>
                <c:pt idx="1199">
                  <c:v>40920</c:v>
                </c:pt>
                <c:pt idx="1200">
                  <c:v>40921</c:v>
                </c:pt>
                <c:pt idx="1201">
                  <c:v>40922</c:v>
                </c:pt>
                <c:pt idx="1202">
                  <c:v>40923</c:v>
                </c:pt>
                <c:pt idx="1203">
                  <c:v>40924</c:v>
                </c:pt>
                <c:pt idx="1204">
                  <c:v>40925</c:v>
                </c:pt>
                <c:pt idx="1205">
                  <c:v>40926</c:v>
                </c:pt>
                <c:pt idx="1206">
                  <c:v>40927</c:v>
                </c:pt>
                <c:pt idx="1207">
                  <c:v>40928</c:v>
                </c:pt>
                <c:pt idx="1208">
                  <c:v>40929</c:v>
                </c:pt>
                <c:pt idx="1209">
                  <c:v>40930</c:v>
                </c:pt>
                <c:pt idx="1210">
                  <c:v>40931</c:v>
                </c:pt>
                <c:pt idx="1211">
                  <c:v>40932</c:v>
                </c:pt>
                <c:pt idx="1212">
                  <c:v>40933</c:v>
                </c:pt>
                <c:pt idx="1213">
                  <c:v>40934</c:v>
                </c:pt>
                <c:pt idx="1214">
                  <c:v>40935</c:v>
                </c:pt>
                <c:pt idx="1215">
                  <c:v>40936</c:v>
                </c:pt>
                <c:pt idx="1216">
                  <c:v>40937</c:v>
                </c:pt>
                <c:pt idx="1217">
                  <c:v>40938</c:v>
                </c:pt>
                <c:pt idx="1218">
                  <c:v>40939</c:v>
                </c:pt>
                <c:pt idx="1219">
                  <c:v>40940</c:v>
                </c:pt>
                <c:pt idx="1220">
                  <c:v>40941</c:v>
                </c:pt>
                <c:pt idx="1221">
                  <c:v>40942</c:v>
                </c:pt>
                <c:pt idx="1222">
                  <c:v>40943</c:v>
                </c:pt>
                <c:pt idx="1223">
                  <c:v>40944</c:v>
                </c:pt>
                <c:pt idx="1224">
                  <c:v>40945</c:v>
                </c:pt>
                <c:pt idx="1225">
                  <c:v>40946</c:v>
                </c:pt>
                <c:pt idx="1226">
                  <c:v>40947</c:v>
                </c:pt>
                <c:pt idx="1227">
                  <c:v>40948</c:v>
                </c:pt>
                <c:pt idx="1228">
                  <c:v>40949</c:v>
                </c:pt>
                <c:pt idx="1229">
                  <c:v>40950</c:v>
                </c:pt>
                <c:pt idx="1230">
                  <c:v>40951</c:v>
                </c:pt>
                <c:pt idx="1231">
                  <c:v>40952</c:v>
                </c:pt>
                <c:pt idx="1232">
                  <c:v>40953</c:v>
                </c:pt>
                <c:pt idx="1233">
                  <c:v>40954</c:v>
                </c:pt>
                <c:pt idx="1234">
                  <c:v>40955</c:v>
                </c:pt>
                <c:pt idx="1235">
                  <c:v>40956</c:v>
                </c:pt>
                <c:pt idx="1236">
                  <c:v>40957</c:v>
                </c:pt>
                <c:pt idx="1237">
                  <c:v>40958</c:v>
                </c:pt>
                <c:pt idx="1238">
                  <c:v>40959</c:v>
                </c:pt>
                <c:pt idx="1239">
                  <c:v>40960</c:v>
                </c:pt>
                <c:pt idx="1240">
                  <c:v>40961</c:v>
                </c:pt>
                <c:pt idx="1241">
                  <c:v>40962</c:v>
                </c:pt>
                <c:pt idx="1242">
                  <c:v>40963</c:v>
                </c:pt>
                <c:pt idx="1243">
                  <c:v>40964</c:v>
                </c:pt>
                <c:pt idx="1244">
                  <c:v>40965</c:v>
                </c:pt>
                <c:pt idx="1245">
                  <c:v>40966</c:v>
                </c:pt>
                <c:pt idx="1246">
                  <c:v>40967</c:v>
                </c:pt>
                <c:pt idx="1247">
                  <c:v>40968</c:v>
                </c:pt>
                <c:pt idx="1248">
                  <c:v>40969</c:v>
                </c:pt>
                <c:pt idx="1249">
                  <c:v>40970</c:v>
                </c:pt>
                <c:pt idx="1250">
                  <c:v>40971</c:v>
                </c:pt>
                <c:pt idx="1251">
                  <c:v>40972</c:v>
                </c:pt>
                <c:pt idx="1252">
                  <c:v>40973</c:v>
                </c:pt>
                <c:pt idx="1253">
                  <c:v>40974</c:v>
                </c:pt>
                <c:pt idx="1254">
                  <c:v>40975</c:v>
                </c:pt>
                <c:pt idx="1255">
                  <c:v>40976</c:v>
                </c:pt>
                <c:pt idx="1256">
                  <c:v>40977</c:v>
                </c:pt>
                <c:pt idx="1257">
                  <c:v>40978</c:v>
                </c:pt>
                <c:pt idx="1258">
                  <c:v>40979</c:v>
                </c:pt>
                <c:pt idx="1259">
                  <c:v>40980</c:v>
                </c:pt>
                <c:pt idx="1260">
                  <c:v>40981</c:v>
                </c:pt>
                <c:pt idx="1261">
                  <c:v>40982</c:v>
                </c:pt>
                <c:pt idx="1262">
                  <c:v>40983</c:v>
                </c:pt>
                <c:pt idx="1263">
                  <c:v>40984</c:v>
                </c:pt>
                <c:pt idx="1264">
                  <c:v>40985</c:v>
                </c:pt>
                <c:pt idx="1265">
                  <c:v>40986</c:v>
                </c:pt>
                <c:pt idx="1266">
                  <c:v>40987</c:v>
                </c:pt>
                <c:pt idx="1267">
                  <c:v>40988</c:v>
                </c:pt>
                <c:pt idx="1268">
                  <c:v>40989</c:v>
                </c:pt>
                <c:pt idx="1269">
                  <c:v>40990</c:v>
                </c:pt>
                <c:pt idx="1270">
                  <c:v>40991</c:v>
                </c:pt>
                <c:pt idx="1271">
                  <c:v>40992</c:v>
                </c:pt>
                <c:pt idx="1272">
                  <c:v>40993</c:v>
                </c:pt>
                <c:pt idx="1273">
                  <c:v>40994</c:v>
                </c:pt>
                <c:pt idx="1274">
                  <c:v>40995</c:v>
                </c:pt>
                <c:pt idx="1275">
                  <c:v>40996</c:v>
                </c:pt>
                <c:pt idx="1276">
                  <c:v>40997</c:v>
                </c:pt>
                <c:pt idx="1277">
                  <c:v>40998</c:v>
                </c:pt>
                <c:pt idx="1278">
                  <c:v>40999</c:v>
                </c:pt>
                <c:pt idx="1279">
                  <c:v>41000</c:v>
                </c:pt>
                <c:pt idx="1280">
                  <c:v>41001</c:v>
                </c:pt>
                <c:pt idx="1281">
                  <c:v>41002</c:v>
                </c:pt>
                <c:pt idx="1282">
                  <c:v>41003</c:v>
                </c:pt>
                <c:pt idx="1283">
                  <c:v>41004</c:v>
                </c:pt>
                <c:pt idx="1284">
                  <c:v>41005</c:v>
                </c:pt>
                <c:pt idx="1285">
                  <c:v>41006</c:v>
                </c:pt>
                <c:pt idx="1286">
                  <c:v>41007</c:v>
                </c:pt>
                <c:pt idx="1287">
                  <c:v>41008</c:v>
                </c:pt>
                <c:pt idx="1288">
                  <c:v>41009</c:v>
                </c:pt>
                <c:pt idx="1289">
                  <c:v>41010</c:v>
                </c:pt>
                <c:pt idx="1290">
                  <c:v>41011</c:v>
                </c:pt>
                <c:pt idx="1291">
                  <c:v>41012</c:v>
                </c:pt>
                <c:pt idx="1292">
                  <c:v>41013</c:v>
                </c:pt>
                <c:pt idx="1293">
                  <c:v>41014</c:v>
                </c:pt>
                <c:pt idx="1294">
                  <c:v>41015</c:v>
                </c:pt>
                <c:pt idx="1295">
                  <c:v>41016</c:v>
                </c:pt>
                <c:pt idx="1296">
                  <c:v>41017</c:v>
                </c:pt>
                <c:pt idx="1297">
                  <c:v>41018</c:v>
                </c:pt>
                <c:pt idx="1298">
                  <c:v>41019</c:v>
                </c:pt>
                <c:pt idx="1299">
                  <c:v>41020</c:v>
                </c:pt>
                <c:pt idx="1300">
                  <c:v>41021</c:v>
                </c:pt>
                <c:pt idx="1301">
                  <c:v>41022</c:v>
                </c:pt>
                <c:pt idx="1302">
                  <c:v>41023</c:v>
                </c:pt>
                <c:pt idx="1303">
                  <c:v>41024</c:v>
                </c:pt>
                <c:pt idx="1304">
                  <c:v>41025</c:v>
                </c:pt>
                <c:pt idx="1305">
                  <c:v>41026</c:v>
                </c:pt>
                <c:pt idx="1306">
                  <c:v>41027</c:v>
                </c:pt>
                <c:pt idx="1307">
                  <c:v>41028</c:v>
                </c:pt>
                <c:pt idx="1308">
                  <c:v>41029</c:v>
                </c:pt>
                <c:pt idx="1309">
                  <c:v>41030</c:v>
                </c:pt>
                <c:pt idx="1310">
                  <c:v>41031</c:v>
                </c:pt>
                <c:pt idx="1311">
                  <c:v>41032</c:v>
                </c:pt>
                <c:pt idx="1312">
                  <c:v>41033</c:v>
                </c:pt>
                <c:pt idx="1313">
                  <c:v>41034</c:v>
                </c:pt>
                <c:pt idx="1314">
                  <c:v>41035</c:v>
                </c:pt>
                <c:pt idx="1315">
                  <c:v>41036</c:v>
                </c:pt>
                <c:pt idx="1316">
                  <c:v>41037</c:v>
                </c:pt>
                <c:pt idx="1317">
                  <c:v>41038</c:v>
                </c:pt>
                <c:pt idx="1318">
                  <c:v>41039</c:v>
                </c:pt>
                <c:pt idx="1319">
                  <c:v>41040</c:v>
                </c:pt>
                <c:pt idx="1320">
                  <c:v>41041</c:v>
                </c:pt>
                <c:pt idx="1321">
                  <c:v>41042</c:v>
                </c:pt>
                <c:pt idx="1322">
                  <c:v>41043</c:v>
                </c:pt>
                <c:pt idx="1323">
                  <c:v>41044</c:v>
                </c:pt>
                <c:pt idx="1324">
                  <c:v>41045</c:v>
                </c:pt>
                <c:pt idx="1325">
                  <c:v>41046</c:v>
                </c:pt>
                <c:pt idx="1326">
                  <c:v>41047</c:v>
                </c:pt>
                <c:pt idx="1327">
                  <c:v>41048</c:v>
                </c:pt>
                <c:pt idx="1328">
                  <c:v>41049</c:v>
                </c:pt>
                <c:pt idx="1329">
                  <c:v>41050</c:v>
                </c:pt>
                <c:pt idx="1330">
                  <c:v>41051</c:v>
                </c:pt>
                <c:pt idx="1331">
                  <c:v>41052</c:v>
                </c:pt>
                <c:pt idx="1332">
                  <c:v>41053</c:v>
                </c:pt>
                <c:pt idx="1333">
                  <c:v>41054</c:v>
                </c:pt>
                <c:pt idx="1334">
                  <c:v>41055</c:v>
                </c:pt>
                <c:pt idx="1335">
                  <c:v>41056</c:v>
                </c:pt>
                <c:pt idx="1336">
                  <c:v>41057</c:v>
                </c:pt>
                <c:pt idx="1337">
                  <c:v>41058</c:v>
                </c:pt>
                <c:pt idx="1338">
                  <c:v>41059</c:v>
                </c:pt>
                <c:pt idx="1339">
                  <c:v>41060</c:v>
                </c:pt>
                <c:pt idx="1340">
                  <c:v>41061</c:v>
                </c:pt>
                <c:pt idx="1341">
                  <c:v>41062</c:v>
                </c:pt>
                <c:pt idx="1342">
                  <c:v>41063</c:v>
                </c:pt>
                <c:pt idx="1343">
                  <c:v>41064</c:v>
                </c:pt>
                <c:pt idx="1344">
                  <c:v>41065</c:v>
                </c:pt>
                <c:pt idx="1345">
                  <c:v>41066</c:v>
                </c:pt>
                <c:pt idx="1346">
                  <c:v>41067</c:v>
                </c:pt>
                <c:pt idx="1347">
                  <c:v>41068</c:v>
                </c:pt>
                <c:pt idx="1348">
                  <c:v>41069</c:v>
                </c:pt>
                <c:pt idx="1349">
                  <c:v>41070</c:v>
                </c:pt>
                <c:pt idx="1350">
                  <c:v>41071</c:v>
                </c:pt>
                <c:pt idx="1351">
                  <c:v>41072</c:v>
                </c:pt>
                <c:pt idx="1352">
                  <c:v>41073</c:v>
                </c:pt>
                <c:pt idx="1353">
                  <c:v>41074</c:v>
                </c:pt>
                <c:pt idx="1354">
                  <c:v>41075</c:v>
                </c:pt>
                <c:pt idx="1355">
                  <c:v>41076</c:v>
                </c:pt>
                <c:pt idx="1356">
                  <c:v>41077</c:v>
                </c:pt>
                <c:pt idx="1357">
                  <c:v>41078</c:v>
                </c:pt>
                <c:pt idx="1358">
                  <c:v>41079</c:v>
                </c:pt>
                <c:pt idx="1359">
                  <c:v>41080</c:v>
                </c:pt>
                <c:pt idx="1360">
                  <c:v>41081</c:v>
                </c:pt>
                <c:pt idx="1361">
                  <c:v>41082</c:v>
                </c:pt>
                <c:pt idx="1362">
                  <c:v>41083</c:v>
                </c:pt>
                <c:pt idx="1363">
                  <c:v>41084</c:v>
                </c:pt>
                <c:pt idx="1364">
                  <c:v>41085</c:v>
                </c:pt>
                <c:pt idx="1365">
                  <c:v>41086</c:v>
                </c:pt>
                <c:pt idx="1366">
                  <c:v>41087</c:v>
                </c:pt>
                <c:pt idx="1367">
                  <c:v>41088</c:v>
                </c:pt>
                <c:pt idx="1368">
                  <c:v>41089</c:v>
                </c:pt>
                <c:pt idx="1369">
                  <c:v>41090</c:v>
                </c:pt>
                <c:pt idx="1370">
                  <c:v>41091</c:v>
                </c:pt>
                <c:pt idx="1371">
                  <c:v>41092</c:v>
                </c:pt>
                <c:pt idx="1372">
                  <c:v>41093</c:v>
                </c:pt>
                <c:pt idx="1373">
                  <c:v>41094</c:v>
                </c:pt>
                <c:pt idx="1374">
                  <c:v>41095</c:v>
                </c:pt>
                <c:pt idx="1375">
                  <c:v>41096</c:v>
                </c:pt>
                <c:pt idx="1376">
                  <c:v>41097</c:v>
                </c:pt>
                <c:pt idx="1377">
                  <c:v>41098</c:v>
                </c:pt>
                <c:pt idx="1378">
                  <c:v>41099</c:v>
                </c:pt>
                <c:pt idx="1379">
                  <c:v>41100</c:v>
                </c:pt>
                <c:pt idx="1380">
                  <c:v>41101</c:v>
                </c:pt>
                <c:pt idx="1381">
                  <c:v>41102</c:v>
                </c:pt>
                <c:pt idx="1382">
                  <c:v>41103</c:v>
                </c:pt>
                <c:pt idx="1383">
                  <c:v>41104</c:v>
                </c:pt>
                <c:pt idx="1384">
                  <c:v>41105</c:v>
                </c:pt>
                <c:pt idx="1385">
                  <c:v>41106</c:v>
                </c:pt>
                <c:pt idx="1386">
                  <c:v>41107</c:v>
                </c:pt>
                <c:pt idx="1387">
                  <c:v>41108</c:v>
                </c:pt>
                <c:pt idx="1388">
                  <c:v>41109</c:v>
                </c:pt>
                <c:pt idx="1389">
                  <c:v>41110</c:v>
                </c:pt>
                <c:pt idx="1390">
                  <c:v>41111</c:v>
                </c:pt>
                <c:pt idx="1391">
                  <c:v>41112</c:v>
                </c:pt>
                <c:pt idx="1392">
                  <c:v>41113</c:v>
                </c:pt>
                <c:pt idx="1393">
                  <c:v>41114</c:v>
                </c:pt>
                <c:pt idx="1394">
                  <c:v>41115</c:v>
                </c:pt>
                <c:pt idx="1395">
                  <c:v>41116</c:v>
                </c:pt>
                <c:pt idx="1396">
                  <c:v>41117</c:v>
                </c:pt>
                <c:pt idx="1397">
                  <c:v>41118</c:v>
                </c:pt>
                <c:pt idx="1398">
                  <c:v>41119</c:v>
                </c:pt>
                <c:pt idx="1399">
                  <c:v>41120</c:v>
                </c:pt>
                <c:pt idx="1400">
                  <c:v>41121</c:v>
                </c:pt>
                <c:pt idx="1401">
                  <c:v>41122</c:v>
                </c:pt>
                <c:pt idx="1402">
                  <c:v>41123</c:v>
                </c:pt>
                <c:pt idx="1403">
                  <c:v>41124</c:v>
                </c:pt>
                <c:pt idx="1404">
                  <c:v>41125</c:v>
                </c:pt>
                <c:pt idx="1405">
                  <c:v>41126</c:v>
                </c:pt>
                <c:pt idx="1406">
                  <c:v>41127</c:v>
                </c:pt>
                <c:pt idx="1407">
                  <c:v>41128</c:v>
                </c:pt>
                <c:pt idx="1408">
                  <c:v>41129</c:v>
                </c:pt>
                <c:pt idx="1409">
                  <c:v>41130</c:v>
                </c:pt>
                <c:pt idx="1410">
                  <c:v>41131</c:v>
                </c:pt>
                <c:pt idx="1411">
                  <c:v>41132</c:v>
                </c:pt>
                <c:pt idx="1412">
                  <c:v>41133</c:v>
                </c:pt>
                <c:pt idx="1413">
                  <c:v>41134</c:v>
                </c:pt>
                <c:pt idx="1414">
                  <c:v>41135</c:v>
                </c:pt>
                <c:pt idx="1415">
                  <c:v>41136</c:v>
                </c:pt>
                <c:pt idx="1416">
                  <c:v>41137</c:v>
                </c:pt>
                <c:pt idx="1417">
                  <c:v>41138</c:v>
                </c:pt>
                <c:pt idx="1418">
                  <c:v>41139</c:v>
                </c:pt>
                <c:pt idx="1419">
                  <c:v>41140</c:v>
                </c:pt>
                <c:pt idx="1420">
                  <c:v>41141</c:v>
                </c:pt>
                <c:pt idx="1421">
                  <c:v>41142</c:v>
                </c:pt>
                <c:pt idx="1422">
                  <c:v>41143</c:v>
                </c:pt>
                <c:pt idx="1423">
                  <c:v>41144</c:v>
                </c:pt>
                <c:pt idx="1424">
                  <c:v>41145</c:v>
                </c:pt>
                <c:pt idx="1425">
                  <c:v>41146</c:v>
                </c:pt>
                <c:pt idx="1426">
                  <c:v>41147</c:v>
                </c:pt>
                <c:pt idx="1427">
                  <c:v>41148</c:v>
                </c:pt>
                <c:pt idx="1428">
                  <c:v>41149</c:v>
                </c:pt>
                <c:pt idx="1429">
                  <c:v>41150</c:v>
                </c:pt>
                <c:pt idx="1430">
                  <c:v>41151</c:v>
                </c:pt>
                <c:pt idx="1431">
                  <c:v>41152</c:v>
                </c:pt>
                <c:pt idx="1432">
                  <c:v>41153</c:v>
                </c:pt>
                <c:pt idx="1433">
                  <c:v>41154</c:v>
                </c:pt>
                <c:pt idx="1434">
                  <c:v>41155</c:v>
                </c:pt>
                <c:pt idx="1435">
                  <c:v>41156</c:v>
                </c:pt>
                <c:pt idx="1436">
                  <c:v>41157</c:v>
                </c:pt>
                <c:pt idx="1437">
                  <c:v>41158</c:v>
                </c:pt>
                <c:pt idx="1438">
                  <c:v>41159</c:v>
                </c:pt>
                <c:pt idx="1439">
                  <c:v>41160</c:v>
                </c:pt>
                <c:pt idx="1440">
                  <c:v>41161</c:v>
                </c:pt>
                <c:pt idx="1441">
                  <c:v>41162</c:v>
                </c:pt>
                <c:pt idx="1442">
                  <c:v>41163</c:v>
                </c:pt>
                <c:pt idx="1443">
                  <c:v>41164</c:v>
                </c:pt>
                <c:pt idx="1444">
                  <c:v>41165</c:v>
                </c:pt>
                <c:pt idx="1445">
                  <c:v>41166</c:v>
                </c:pt>
                <c:pt idx="1446">
                  <c:v>41167</c:v>
                </c:pt>
                <c:pt idx="1447">
                  <c:v>41168</c:v>
                </c:pt>
                <c:pt idx="1448">
                  <c:v>41169</c:v>
                </c:pt>
                <c:pt idx="1449">
                  <c:v>41170</c:v>
                </c:pt>
                <c:pt idx="1450">
                  <c:v>41171</c:v>
                </c:pt>
                <c:pt idx="1451">
                  <c:v>41172</c:v>
                </c:pt>
                <c:pt idx="1452">
                  <c:v>41173</c:v>
                </c:pt>
                <c:pt idx="1453">
                  <c:v>41174</c:v>
                </c:pt>
                <c:pt idx="1454">
                  <c:v>41175</c:v>
                </c:pt>
                <c:pt idx="1455">
                  <c:v>41176</c:v>
                </c:pt>
                <c:pt idx="1456">
                  <c:v>41177</c:v>
                </c:pt>
                <c:pt idx="1457">
                  <c:v>41178</c:v>
                </c:pt>
                <c:pt idx="1458">
                  <c:v>41179</c:v>
                </c:pt>
                <c:pt idx="1459">
                  <c:v>41180</c:v>
                </c:pt>
                <c:pt idx="1460">
                  <c:v>41181</c:v>
                </c:pt>
                <c:pt idx="1461">
                  <c:v>41182</c:v>
                </c:pt>
                <c:pt idx="1462">
                  <c:v>41183</c:v>
                </c:pt>
                <c:pt idx="1463">
                  <c:v>41184</c:v>
                </c:pt>
                <c:pt idx="1464">
                  <c:v>41185</c:v>
                </c:pt>
                <c:pt idx="1465">
                  <c:v>41186</c:v>
                </c:pt>
                <c:pt idx="1466">
                  <c:v>41187</c:v>
                </c:pt>
                <c:pt idx="1467">
                  <c:v>41188</c:v>
                </c:pt>
                <c:pt idx="1468">
                  <c:v>41189</c:v>
                </c:pt>
                <c:pt idx="1469">
                  <c:v>41190</c:v>
                </c:pt>
                <c:pt idx="1470">
                  <c:v>41191</c:v>
                </c:pt>
                <c:pt idx="1471">
                  <c:v>41192</c:v>
                </c:pt>
                <c:pt idx="1472">
                  <c:v>41193</c:v>
                </c:pt>
                <c:pt idx="1473">
                  <c:v>41194</c:v>
                </c:pt>
                <c:pt idx="1474">
                  <c:v>41195</c:v>
                </c:pt>
                <c:pt idx="1475">
                  <c:v>41196</c:v>
                </c:pt>
                <c:pt idx="1476">
                  <c:v>41197</c:v>
                </c:pt>
                <c:pt idx="1477">
                  <c:v>41198</c:v>
                </c:pt>
                <c:pt idx="1478">
                  <c:v>41199</c:v>
                </c:pt>
                <c:pt idx="1479">
                  <c:v>41200</c:v>
                </c:pt>
                <c:pt idx="1480">
                  <c:v>41201</c:v>
                </c:pt>
                <c:pt idx="1481">
                  <c:v>41202</c:v>
                </c:pt>
                <c:pt idx="1482">
                  <c:v>41203</c:v>
                </c:pt>
                <c:pt idx="1483">
                  <c:v>41204</c:v>
                </c:pt>
                <c:pt idx="1484">
                  <c:v>41205</c:v>
                </c:pt>
                <c:pt idx="1485">
                  <c:v>41206</c:v>
                </c:pt>
                <c:pt idx="1486">
                  <c:v>41207</c:v>
                </c:pt>
                <c:pt idx="1487">
                  <c:v>41208</c:v>
                </c:pt>
                <c:pt idx="1488">
                  <c:v>41209</c:v>
                </c:pt>
                <c:pt idx="1489">
                  <c:v>41210</c:v>
                </c:pt>
                <c:pt idx="1490">
                  <c:v>41211</c:v>
                </c:pt>
                <c:pt idx="1491">
                  <c:v>41212</c:v>
                </c:pt>
                <c:pt idx="1492">
                  <c:v>41213</c:v>
                </c:pt>
                <c:pt idx="1493">
                  <c:v>41214</c:v>
                </c:pt>
                <c:pt idx="1494">
                  <c:v>41215</c:v>
                </c:pt>
                <c:pt idx="1495">
                  <c:v>41216</c:v>
                </c:pt>
                <c:pt idx="1496">
                  <c:v>41217</c:v>
                </c:pt>
                <c:pt idx="1497">
                  <c:v>41218</c:v>
                </c:pt>
                <c:pt idx="1498">
                  <c:v>41219</c:v>
                </c:pt>
                <c:pt idx="1499">
                  <c:v>41220</c:v>
                </c:pt>
                <c:pt idx="1500">
                  <c:v>41221</c:v>
                </c:pt>
                <c:pt idx="1501">
                  <c:v>41222</c:v>
                </c:pt>
                <c:pt idx="1502">
                  <c:v>41223</c:v>
                </c:pt>
                <c:pt idx="1503">
                  <c:v>41224</c:v>
                </c:pt>
                <c:pt idx="1504">
                  <c:v>41225</c:v>
                </c:pt>
                <c:pt idx="1505">
                  <c:v>41226</c:v>
                </c:pt>
                <c:pt idx="1506">
                  <c:v>41227</c:v>
                </c:pt>
                <c:pt idx="1507">
                  <c:v>41228</c:v>
                </c:pt>
                <c:pt idx="1508">
                  <c:v>41229</c:v>
                </c:pt>
                <c:pt idx="1509">
                  <c:v>41230</c:v>
                </c:pt>
                <c:pt idx="1510">
                  <c:v>41231</c:v>
                </c:pt>
                <c:pt idx="1511">
                  <c:v>41232</c:v>
                </c:pt>
                <c:pt idx="1512">
                  <c:v>41233</c:v>
                </c:pt>
                <c:pt idx="1513">
                  <c:v>41234</c:v>
                </c:pt>
                <c:pt idx="1514">
                  <c:v>41235</c:v>
                </c:pt>
                <c:pt idx="1515">
                  <c:v>41236</c:v>
                </c:pt>
                <c:pt idx="1516">
                  <c:v>41237</c:v>
                </c:pt>
                <c:pt idx="1517">
                  <c:v>41238</c:v>
                </c:pt>
                <c:pt idx="1518">
                  <c:v>41239</c:v>
                </c:pt>
                <c:pt idx="1519">
                  <c:v>41240</c:v>
                </c:pt>
                <c:pt idx="1520">
                  <c:v>41241</c:v>
                </c:pt>
                <c:pt idx="1521">
                  <c:v>41242</c:v>
                </c:pt>
                <c:pt idx="1522">
                  <c:v>41243</c:v>
                </c:pt>
                <c:pt idx="1523">
                  <c:v>41244</c:v>
                </c:pt>
                <c:pt idx="1524">
                  <c:v>41245</c:v>
                </c:pt>
                <c:pt idx="1525">
                  <c:v>41246</c:v>
                </c:pt>
                <c:pt idx="1526">
                  <c:v>41247</c:v>
                </c:pt>
                <c:pt idx="1527">
                  <c:v>41248</c:v>
                </c:pt>
                <c:pt idx="1528">
                  <c:v>41249</c:v>
                </c:pt>
                <c:pt idx="1529">
                  <c:v>41250</c:v>
                </c:pt>
                <c:pt idx="1530">
                  <c:v>41251</c:v>
                </c:pt>
                <c:pt idx="1531">
                  <c:v>41252</c:v>
                </c:pt>
                <c:pt idx="1532">
                  <c:v>41253</c:v>
                </c:pt>
                <c:pt idx="1533">
                  <c:v>41254</c:v>
                </c:pt>
                <c:pt idx="1534">
                  <c:v>41255</c:v>
                </c:pt>
                <c:pt idx="1535">
                  <c:v>41256</c:v>
                </c:pt>
                <c:pt idx="1536">
                  <c:v>41257</c:v>
                </c:pt>
                <c:pt idx="1537">
                  <c:v>41258</c:v>
                </c:pt>
                <c:pt idx="1538">
                  <c:v>41259</c:v>
                </c:pt>
                <c:pt idx="1539">
                  <c:v>41260</c:v>
                </c:pt>
                <c:pt idx="1540">
                  <c:v>41261</c:v>
                </c:pt>
                <c:pt idx="1541">
                  <c:v>41262</c:v>
                </c:pt>
                <c:pt idx="1542">
                  <c:v>41263</c:v>
                </c:pt>
                <c:pt idx="1543">
                  <c:v>41264</c:v>
                </c:pt>
                <c:pt idx="1544">
                  <c:v>41265</c:v>
                </c:pt>
                <c:pt idx="1545">
                  <c:v>41266</c:v>
                </c:pt>
                <c:pt idx="1546">
                  <c:v>41267</c:v>
                </c:pt>
                <c:pt idx="1547">
                  <c:v>41268</c:v>
                </c:pt>
                <c:pt idx="1548">
                  <c:v>41269</c:v>
                </c:pt>
                <c:pt idx="1549">
                  <c:v>41270</c:v>
                </c:pt>
                <c:pt idx="1550">
                  <c:v>41271</c:v>
                </c:pt>
                <c:pt idx="1551">
                  <c:v>41272</c:v>
                </c:pt>
                <c:pt idx="1552">
                  <c:v>41273</c:v>
                </c:pt>
                <c:pt idx="1553">
                  <c:v>41274</c:v>
                </c:pt>
                <c:pt idx="1554">
                  <c:v>41275</c:v>
                </c:pt>
                <c:pt idx="1555">
                  <c:v>41276</c:v>
                </c:pt>
                <c:pt idx="1556">
                  <c:v>41277</c:v>
                </c:pt>
                <c:pt idx="1557">
                  <c:v>41278</c:v>
                </c:pt>
                <c:pt idx="1558">
                  <c:v>41279</c:v>
                </c:pt>
                <c:pt idx="1559">
                  <c:v>41280</c:v>
                </c:pt>
                <c:pt idx="1560">
                  <c:v>41281</c:v>
                </c:pt>
                <c:pt idx="1561">
                  <c:v>41282</c:v>
                </c:pt>
                <c:pt idx="1562">
                  <c:v>41283</c:v>
                </c:pt>
                <c:pt idx="1563">
                  <c:v>41284</c:v>
                </c:pt>
                <c:pt idx="1564">
                  <c:v>41285</c:v>
                </c:pt>
                <c:pt idx="1565">
                  <c:v>41286</c:v>
                </c:pt>
                <c:pt idx="1566">
                  <c:v>41287</c:v>
                </c:pt>
                <c:pt idx="1567">
                  <c:v>41288</c:v>
                </c:pt>
                <c:pt idx="1568">
                  <c:v>41289</c:v>
                </c:pt>
                <c:pt idx="1569">
                  <c:v>41290</c:v>
                </c:pt>
                <c:pt idx="1570">
                  <c:v>41291</c:v>
                </c:pt>
                <c:pt idx="1571">
                  <c:v>41292</c:v>
                </c:pt>
                <c:pt idx="1572">
                  <c:v>41293</c:v>
                </c:pt>
                <c:pt idx="1573">
                  <c:v>41294</c:v>
                </c:pt>
                <c:pt idx="1574">
                  <c:v>41295</c:v>
                </c:pt>
                <c:pt idx="1575">
                  <c:v>41296</c:v>
                </c:pt>
                <c:pt idx="1576">
                  <c:v>41297</c:v>
                </c:pt>
                <c:pt idx="1577">
                  <c:v>41298</c:v>
                </c:pt>
                <c:pt idx="1578">
                  <c:v>41299</c:v>
                </c:pt>
                <c:pt idx="1579">
                  <c:v>41300</c:v>
                </c:pt>
                <c:pt idx="1580">
                  <c:v>41301</c:v>
                </c:pt>
                <c:pt idx="1581">
                  <c:v>41302</c:v>
                </c:pt>
                <c:pt idx="1582">
                  <c:v>41303</c:v>
                </c:pt>
                <c:pt idx="1583">
                  <c:v>41304</c:v>
                </c:pt>
                <c:pt idx="1584">
                  <c:v>41305</c:v>
                </c:pt>
                <c:pt idx="1585">
                  <c:v>41306</c:v>
                </c:pt>
                <c:pt idx="1586">
                  <c:v>41307</c:v>
                </c:pt>
                <c:pt idx="1587">
                  <c:v>41308</c:v>
                </c:pt>
                <c:pt idx="1588">
                  <c:v>41309</c:v>
                </c:pt>
                <c:pt idx="1589">
                  <c:v>41310</c:v>
                </c:pt>
                <c:pt idx="1590">
                  <c:v>41311</c:v>
                </c:pt>
                <c:pt idx="1591">
                  <c:v>41312</c:v>
                </c:pt>
                <c:pt idx="1592">
                  <c:v>41313</c:v>
                </c:pt>
                <c:pt idx="1593">
                  <c:v>41314</c:v>
                </c:pt>
                <c:pt idx="1594">
                  <c:v>41315</c:v>
                </c:pt>
                <c:pt idx="1595">
                  <c:v>41316</c:v>
                </c:pt>
                <c:pt idx="1596">
                  <c:v>41317</c:v>
                </c:pt>
                <c:pt idx="1597">
                  <c:v>41318</c:v>
                </c:pt>
                <c:pt idx="1598">
                  <c:v>41319</c:v>
                </c:pt>
                <c:pt idx="1599">
                  <c:v>41320</c:v>
                </c:pt>
                <c:pt idx="1600">
                  <c:v>41321</c:v>
                </c:pt>
                <c:pt idx="1601">
                  <c:v>41322</c:v>
                </c:pt>
                <c:pt idx="1602">
                  <c:v>41323</c:v>
                </c:pt>
                <c:pt idx="1603">
                  <c:v>41324</c:v>
                </c:pt>
                <c:pt idx="1604">
                  <c:v>41325</c:v>
                </c:pt>
                <c:pt idx="1605">
                  <c:v>41326</c:v>
                </c:pt>
                <c:pt idx="1606">
                  <c:v>41327</c:v>
                </c:pt>
                <c:pt idx="1607">
                  <c:v>41328</c:v>
                </c:pt>
                <c:pt idx="1608">
                  <c:v>41329</c:v>
                </c:pt>
                <c:pt idx="1609">
                  <c:v>41330</c:v>
                </c:pt>
                <c:pt idx="1610">
                  <c:v>41331</c:v>
                </c:pt>
                <c:pt idx="1611">
                  <c:v>41332</c:v>
                </c:pt>
                <c:pt idx="1612">
                  <c:v>41333</c:v>
                </c:pt>
                <c:pt idx="1613">
                  <c:v>41334</c:v>
                </c:pt>
                <c:pt idx="1614">
                  <c:v>41335</c:v>
                </c:pt>
                <c:pt idx="1615">
                  <c:v>41336</c:v>
                </c:pt>
                <c:pt idx="1616">
                  <c:v>41337</c:v>
                </c:pt>
                <c:pt idx="1617">
                  <c:v>41338</c:v>
                </c:pt>
                <c:pt idx="1618">
                  <c:v>41339</c:v>
                </c:pt>
                <c:pt idx="1619">
                  <c:v>41340</c:v>
                </c:pt>
                <c:pt idx="1620">
                  <c:v>41341</c:v>
                </c:pt>
                <c:pt idx="1621">
                  <c:v>41342</c:v>
                </c:pt>
                <c:pt idx="1622">
                  <c:v>41343</c:v>
                </c:pt>
                <c:pt idx="1623">
                  <c:v>41344</c:v>
                </c:pt>
                <c:pt idx="1624">
                  <c:v>41345</c:v>
                </c:pt>
                <c:pt idx="1625">
                  <c:v>41346</c:v>
                </c:pt>
                <c:pt idx="1626">
                  <c:v>41347</c:v>
                </c:pt>
                <c:pt idx="1627">
                  <c:v>41348</c:v>
                </c:pt>
                <c:pt idx="1628">
                  <c:v>41349</c:v>
                </c:pt>
                <c:pt idx="1629">
                  <c:v>41350</c:v>
                </c:pt>
                <c:pt idx="1630">
                  <c:v>41351</c:v>
                </c:pt>
                <c:pt idx="1631">
                  <c:v>41352</c:v>
                </c:pt>
                <c:pt idx="1632">
                  <c:v>41353</c:v>
                </c:pt>
                <c:pt idx="1633">
                  <c:v>41354</c:v>
                </c:pt>
                <c:pt idx="1634">
                  <c:v>41355</c:v>
                </c:pt>
                <c:pt idx="1635">
                  <c:v>41356</c:v>
                </c:pt>
                <c:pt idx="1636">
                  <c:v>41357</c:v>
                </c:pt>
                <c:pt idx="1637">
                  <c:v>41358</c:v>
                </c:pt>
                <c:pt idx="1638">
                  <c:v>41359</c:v>
                </c:pt>
                <c:pt idx="1639">
                  <c:v>41360</c:v>
                </c:pt>
                <c:pt idx="1640">
                  <c:v>41361</c:v>
                </c:pt>
                <c:pt idx="1641">
                  <c:v>41362</c:v>
                </c:pt>
                <c:pt idx="1642">
                  <c:v>41363</c:v>
                </c:pt>
                <c:pt idx="1643">
                  <c:v>41364</c:v>
                </c:pt>
                <c:pt idx="1644">
                  <c:v>41365</c:v>
                </c:pt>
                <c:pt idx="1645">
                  <c:v>41366</c:v>
                </c:pt>
                <c:pt idx="1646">
                  <c:v>41367</c:v>
                </c:pt>
                <c:pt idx="1647">
                  <c:v>41368</c:v>
                </c:pt>
                <c:pt idx="1648">
                  <c:v>41369</c:v>
                </c:pt>
                <c:pt idx="1649">
                  <c:v>41370</c:v>
                </c:pt>
                <c:pt idx="1650">
                  <c:v>41371</c:v>
                </c:pt>
                <c:pt idx="1651">
                  <c:v>41372</c:v>
                </c:pt>
                <c:pt idx="1652">
                  <c:v>41373</c:v>
                </c:pt>
                <c:pt idx="1653">
                  <c:v>41374</c:v>
                </c:pt>
                <c:pt idx="1654">
                  <c:v>41375</c:v>
                </c:pt>
                <c:pt idx="1655">
                  <c:v>41376</c:v>
                </c:pt>
                <c:pt idx="1656">
                  <c:v>41377</c:v>
                </c:pt>
                <c:pt idx="1657">
                  <c:v>41378</c:v>
                </c:pt>
                <c:pt idx="1658">
                  <c:v>41379</c:v>
                </c:pt>
                <c:pt idx="1659">
                  <c:v>41380</c:v>
                </c:pt>
                <c:pt idx="1660">
                  <c:v>41381</c:v>
                </c:pt>
                <c:pt idx="1661">
                  <c:v>41382</c:v>
                </c:pt>
                <c:pt idx="1662">
                  <c:v>41383</c:v>
                </c:pt>
                <c:pt idx="1663">
                  <c:v>41384</c:v>
                </c:pt>
                <c:pt idx="1664">
                  <c:v>41385</c:v>
                </c:pt>
                <c:pt idx="1665">
                  <c:v>41386</c:v>
                </c:pt>
                <c:pt idx="1666">
                  <c:v>41387</c:v>
                </c:pt>
                <c:pt idx="1667">
                  <c:v>41388</c:v>
                </c:pt>
                <c:pt idx="1668">
                  <c:v>41389</c:v>
                </c:pt>
                <c:pt idx="1669">
                  <c:v>41390</c:v>
                </c:pt>
                <c:pt idx="1670">
                  <c:v>41391</c:v>
                </c:pt>
                <c:pt idx="1671">
                  <c:v>41392</c:v>
                </c:pt>
                <c:pt idx="1672">
                  <c:v>41393</c:v>
                </c:pt>
                <c:pt idx="1673">
                  <c:v>41394</c:v>
                </c:pt>
                <c:pt idx="1674">
                  <c:v>41395</c:v>
                </c:pt>
                <c:pt idx="1675">
                  <c:v>41396</c:v>
                </c:pt>
                <c:pt idx="1676">
                  <c:v>41397</c:v>
                </c:pt>
                <c:pt idx="1677">
                  <c:v>41398</c:v>
                </c:pt>
                <c:pt idx="1678">
                  <c:v>41399</c:v>
                </c:pt>
                <c:pt idx="1679">
                  <c:v>41400</c:v>
                </c:pt>
                <c:pt idx="1680">
                  <c:v>41401</c:v>
                </c:pt>
                <c:pt idx="1681">
                  <c:v>41402</c:v>
                </c:pt>
                <c:pt idx="1682">
                  <c:v>41403</c:v>
                </c:pt>
                <c:pt idx="1683">
                  <c:v>41404</c:v>
                </c:pt>
                <c:pt idx="1684">
                  <c:v>41405</c:v>
                </c:pt>
                <c:pt idx="1685">
                  <c:v>41406</c:v>
                </c:pt>
                <c:pt idx="1686">
                  <c:v>41407</c:v>
                </c:pt>
                <c:pt idx="1687">
                  <c:v>41408</c:v>
                </c:pt>
                <c:pt idx="1688">
                  <c:v>41409</c:v>
                </c:pt>
                <c:pt idx="1689">
                  <c:v>41410</c:v>
                </c:pt>
                <c:pt idx="1690">
                  <c:v>41411</c:v>
                </c:pt>
                <c:pt idx="1691">
                  <c:v>41412</c:v>
                </c:pt>
                <c:pt idx="1692">
                  <c:v>41413</c:v>
                </c:pt>
                <c:pt idx="1693">
                  <c:v>41414</c:v>
                </c:pt>
                <c:pt idx="1694">
                  <c:v>41415</c:v>
                </c:pt>
                <c:pt idx="1695">
                  <c:v>41416</c:v>
                </c:pt>
                <c:pt idx="1696">
                  <c:v>41417</c:v>
                </c:pt>
                <c:pt idx="1697">
                  <c:v>41418</c:v>
                </c:pt>
                <c:pt idx="1698">
                  <c:v>41419</c:v>
                </c:pt>
                <c:pt idx="1699">
                  <c:v>41420</c:v>
                </c:pt>
                <c:pt idx="1700">
                  <c:v>41421</c:v>
                </c:pt>
                <c:pt idx="1701">
                  <c:v>41422</c:v>
                </c:pt>
                <c:pt idx="1702">
                  <c:v>41423</c:v>
                </c:pt>
                <c:pt idx="1703">
                  <c:v>41424</c:v>
                </c:pt>
                <c:pt idx="1704">
                  <c:v>41425</c:v>
                </c:pt>
                <c:pt idx="1705">
                  <c:v>41426</c:v>
                </c:pt>
                <c:pt idx="1706">
                  <c:v>41427</c:v>
                </c:pt>
                <c:pt idx="1707">
                  <c:v>41428</c:v>
                </c:pt>
                <c:pt idx="1708">
                  <c:v>41429</c:v>
                </c:pt>
                <c:pt idx="1709">
                  <c:v>41430</c:v>
                </c:pt>
                <c:pt idx="1710">
                  <c:v>41431</c:v>
                </c:pt>
                <c:pt idx="1711">
                  <c:v>41432</c:v>
                </c:pt>
                <c:pt idx="1712">
                  <c:v>41433</c:v>
                </c:pt>
                <c:pt idx="1713">
                  <c:v>41434</c:v>
                </c:pt>
                <c:pt idx="1714">
                  <c:v>41435</c:v>
                </c:pt>
                <c:pt idx="1715">
                  <c:v>41436</c:v>
                </c:pt>
                <c:pt idx="1716">
                  <c:v>41437</c:v>
                </c:pt>
                <c:pt idx="1717">
                  <c:v>41438</c:v>
                </c:pt>
                <c:pt idx="1718">
                  <c:v>41439</c:v>
                </c:pt>
                <c:pt idx="1719">
                  <c:v>41440</c:v>
                </c:pt>
                <c:pt idx="1720">
                  <c:v>41441</c:v>
                </c:pt>
                <c:pt idx="1721">
                  <c:v>41442</c:v>
                </c:pt>
                <c:pt idx="1722">
                  <c:v>41443</c:v>
                </c:pt>
                <c:pt idx="1723">
                  <c:v>41444</c:v>
                </c:pt>
                <c:pt idx="1724">
                  <c:v>41445</c:v>
                </c:pt>
                <c:pt idx="1725">
                  <c:v>41446</c:v>
                </c:pt>
                <c:pt idx="1726">
                  <c:v>41447</c:v>
                </c:pt>
                <c:pt idx="1727">
                  <c:v>41448</c:v>
                </c:pt>
                <c:pt idx="1728">
                  <c:v>41449</c:v>
                </c:pt>
                <c:pt idx="1729">
                  <c:v>41450</c:v>
                </c:pt>
                <c:pt idx="1730">
                  <c:v>41451</c:v>
                </c:pt>
                <c:pt idx="1731">
                  <c:v>41452</c:v>
                </c:pt>
                <c:pt idx="1732">
                  <c:v>41453</c:v>
                </c:pt>
                <c:pt idx="1733">
                  <c:v>41454</c:v>
                </c:pt>
                <c:pt idx="1734">
                  <c:v>41455</c:v>
                </c:pt>
                <c:pt idx="1735">
                  <c:v>41456</c:v>
                </c:pt>
                <c:pt idx="1736">
                  <c:v>41457</c:v>
                </c:pt>
                <c:pt idx="1737">
                  <c:v>41458</c:v>
                </c:pt>
                <c:pt idx="1738">
                  <c:v>41459</c:v>
                </c:pt>
                <c:pt idx="1739">
                  <c:v>41460</c:v>
                </c:pt>
                <c:pt idx="1740">
                  <c:v>41461</c:v>
                </c:pt>
                <c:pt idx="1741">
                  <c:v>41462</c:v>
                </c:pt>
                <c:pt idx="1742">
                  <c:v>41463</c:v>
                </c:pt>
                <c:pt idx="1743">
                  <c:v>41464</c:v>
                </c:pt>
                <c:pt idx="1744">
                  <c:v>41465</c:v>
                </c:pt>
                <c:pt idx="1745">
                  <c:v>41466</c:v>
                </c:pt>
                <c:pt idx="1746">
                  <c:v>41467</c:v>
                </c:pt>
                <c:pt idx="1747">
                  <c:v>41468</c:v>
                </c:pt>
                <c:pt idx="1748">
                  <c:v>41469</c:v>
                </c:pt>
                <c:pt idx="1749">
                  <c:v>41470</c:v>
                </c:pt>
                <c:pt idx="1750">
                  <c:v>41471</c:v>
                </c:pt>
                <c:pt idx="1751">
                  <c:v>41472</c:v>
                </c:pt>
                <c:pt idx="1752">
                  <c:v>41473</c:v>
                </c:pt>
                <c:pt idx="1753">
                  <c:v>41474</c:v>
                </c:pt>
                <c:pt idx="1754">
                  <c:v>41475</c:v>
                </c:pt>
                <c:pt idx="1755">
                  <c:v>41476</c:v>
                </c:pt>
                <c:pt idx="1756">
                  <c:v>41477</c:v>
                </c:pt>
                <c:pt idx="1757">
                  <c:v>41478</c:v>
                </c:pt>
                <c:pt idx="1758">
                  <c:v>41479</c:v>
                </c:pt>
                <c:pt idx="1759">
                  <c:v>41480</c:v>
                </c:pt>
                <c:pt idx="1760">
                  <c:v>41481</c:v>
                </c:pt>
                <c:pt idx="1761">
                  <c:v>41482</c:v>
                </c:pt>
                <c:pt idx="1762">
                  <c:v>41483</c:v>
                </c:pt>
                <c:pt idx="1763">
                  <c:v>41484</c:v>
                </c:pt>
                <c:pt idx="1764">
                  <c:v>41485</c:v>
                </c:pt>
                <c:pt idx="1765">
                  <c:v>41486</c:v>
                </c:pt>
                <c:pt idx="1766">
                  <c:v>41487</c:v>
                </c:pt>
                <c:pt idx="1767">
                  <c:v>41488</c:v>
                </c:pt>
                <c:pt idx="1768">
                  <c:v>41489</c:v>
                </c:pt>
                <c:pt idx="1769">
                  <c:v>41490</c:v>
                </c:pt>
                <c:pt idx="1770">
                  <c:v>41491</c:v>
                </c:pt>
                <c:pt idx="1771">
                  <c:v>41492</c:v>
                </c:pt>
                <c:pt idx="1772">
                  <c:v>41493</c:v>
                </c:pt>
                <c:pt idx="1773">
                  <c:v>41494</c:v>
                </c:pt>
                <c:pt idx="1774">
                  <c:v>41495</c:v>
                </c:pt>
                <c:pt idx="1775">
                  <c:v>41496</c:v>
                </c:pt>
                <c:pt idx="1776">
                  <c:v>41497</c:v>
                </c:pt>
                <c:pt idx="1777">
                  <c:v>41498</c:v>
                </c:pt>
                <c:pt idx="1778">
                  <c:v>41499</c:v>
                </c:pt>
                <c:pt idx="1779">
                  <c:v>41500</c:v>
                </c:pt>
                <c:pt idx="1780">
                  <c:v>41501</c:v>
                </c:pt>
                <c:pt idx="1781">
                  <c:v>41502</c:v>
                </c:pt>
                <c:pt idx="1782">
                  <c:v>41503</c:v>
                </c:pt>
                <c:pt idx="1783">
                  <c:v>41504</c:v>
                </c:pt>
                <c:pt idx="1784">
                  <c:v>41505</c:v>
                </c:pt>
                <c:pt idx="1785">
                  <c:v>41506</c:v>
                </c:pt>
                <c:pt idx="1786">
                  <c:v>41507</c:v>
                </c:pt>
                <c:pt idx="1787">
                  <c:v>41508</c:v>
                </c:pt>
                <c:pt idx="1788">
                  <c:v>41509</c:v>
                </c:pt>
                <c:pt idx="1789">
                  <c:v>41510</c:v>
                </c:pt>
                <c:pt idx="1790">
                  <c:v>41511</c:v>
                </c:pt>
                <c:pt idx="1791">
                  <c:v>41512</c:v>
                </c:pt>
                <c:pt idx="1792">
                  <c:v>41513</c:v>
                </c:pt>
                <c:pt idx="1793">
                  <c:v>41514</c:v>
                </c:pt>
                <c:pt idx="1794">
                  <c:v>41515</c:v>
                </c:pt>
                <c:pt idx="1795">
                  <c:v>41516</c:v>
                </c:pt>
                <c:pt idx="1796">
                  <c:v>41517</c:v>
                </c:pt>
                <c:pt idx="1797">
                  <c:v>41518</c:v>
                </c:pt>
                <c:pt idx="1798">
                  <c:v>41519</c:v>
                </c:pt>
                <c:pt idx="1799">
                  <c:v>41520</c:v>
                </c:pt>
                <c:pt idx="1800">
                  <c:v>41521</c:v>
                </c:pt>
                <c:pt idx="1801">
                  <c:v>41522</c:v>
                </c:pt>
                <c:pt idx="1802">
                  <c:v>41523</c:v>
                </c:pt>
                <c:pt idx="1803">
                  <c:v>41524</c:v>
                </c:pt>
                <c:pt idx="1804">
                  <c:v>41525</c:v>
                </c:pt>
                <c:pt idx="1805">
                  <c:v>41526</c:v>
                </c:pt>
                <c:pt idx="1806">
                  <c:v>41527</c:v>
                </c:pt>
                <c:pt idx="1807">
                  <c:v>41528</c:v>
                </c:pt>
                <c:pt idx="1808">
                  <c:v>41529</c:v>
                </c:pt>
                <c:pt idx="1809">
                  <c:v>41530</c:v>
                </c:pt>
                <c:pt idx="1810">
                  <c:v>41531</c:v>
                </c:pt>
                <c:pt idx="1811">
                  <c:v>41532</c:v>
                </c:pt>
                <c:pt idx="1812">
                  <c:v>41533</c:v>
                </c:pt>
                <c:pt idx="1813">
                  <c:v>41534</c:v>
                </c:pt>
                <c:pt idx="1814">
                  <c:v>41535</c:v>
                </c:pt>
                <c:pt idx="1815">
                  <c:v>41536</c:v>
                </c:pt>
                <c:pt idx="1816">
                  <c:v>41537</c:v>
                </c:pt>
                <c:pt idx="1817">
                  <c:v>41538</c:v>
                </c:pt>
                <c:pt idx="1818">
                  <c:v>41539</c:v>
                </c:pt>
                <c:pt idx="1819">
                  <c:v>41540</c:v>
                </c:pt>
                <c:pt idx="1820">
                  <c:v>41541</c:v>
                </c:pt>
                <c:pt idx="1821">
                  <c:v>41542</c:v>
                </c:pt>
                <c:pt idx="1822">
                  <c:v>41543</c:v>
                </c:pt>
                <c:pt idx="1823">
                  <c:v>41544</c:v>
                </c:pt>
                <c:pt idx="1824">
                  <c:v>41545</c:v>
                </c:pt>
                <c:pt idx="1825">
                  <c:v>41546</c:v>
                </c:pt>
                <c:pt idx="1826">
                  <c:v>41547</c:v>
                </c:pt>
                <c:pt idx="1827">
                  <c:v>41548</c:v>
                </c:pt>
                <c:pt idx="1828">
                  <c:v>41549</c:v>
                </c:pt>
                <c:pt idx="1829">
                  <c:v>41550</c:v>
                </c:pt>
                <c:pt idx="1830">
                  <c:v>41551</c:v>
                </c:pt>
                <c:pt idx="1831">
                  <c:v>41552</c:v>
                </c:pt>
                <c:pt idx="1832">
                  <c:v>41553</c:v>
                </c:pt>
                <c:pt idx="1833">
                  <c:v>41554</c:v>
                </c:pt>
                <c:pt idx="1834">
                  <c:v>41555</c:v>
                </c:pt>
                <c:pt idx="1835">
                  <c:v>41556</c:v>
                </c:pt>
                <c:pt idx="1836">
                  <c:v>41557</c:v>
                </c:pt>
                <c:pt idx="1837">
                  <c:v>41558</c:v>
                </c:pt>
                <c:pt idx="1838">
                  <c:v>41559</c:v>
                </c:pt>
                <c:pt idx="1839">
                  <c:v>41560</c:v>
                </c:pt>
                <c:pt idx="1840">
                  <c:v>41561</c:v>
                </c:pt>
                <c:pt idx="1841">
                  <c:v>41562</c:v>
                </c:pt>
                <c:pt idx="1842">
                  <c:v>41563</c:v>
                </c:pt>
                <c:pt idx="1843">
                  <c:v>41564</c:v>
                </c:pt>
                <c:pt idx="1844">
                  <c:v>41565</c:v>
                </c:pt>
                <c:pt idx="1845">
                  <c:v>41566</c:v>
                </c:pt>
                <c:pt idx="1846">
                  <c:v>41567</c:v>
                </c:pt>
                <c:pt idx="1847">
                  <c:v>41568</c:v>
                </c:pt>
                <c:pt idx="1848">
                  <c:v>41569</c:v>
                </c:pt>
                <c:pt idx="1849">
                  <c:v>41570</c:v>
                </c:pt>
                <c:pt idx="1850">
                  <c:v>41571</c:v>
                </c:pt>
                <c:pt idx="1851">
                  <c:v>41572</c:v>
                </c:pt>
                <c:pt idx="1852">
                  <c:v>41573</c:v>
                </c:pt>
                <c:pt idx="1853">
                  <c:v>41574</c:v>
                </c:pt>
                <c:pt idx="1854">
                  <c:v>41575</c:v>
                </c:pt>
                <c:pt idx="1855">
                  <c:v>41576</c:v>
                </c:pt>
                <c:pt idx="1856">
                  <c:v>41577</c:v>
                </c:pt>
                <c:pt idx="1857">
                  <c:v>41578</c:v>
                </c:pt>
                <c:pt idx="1858">
                  <c:v>41579</c:v>
                </c:pt>
                <c:pt idx="1859">
                  <c:v>41580</c:v>
                </c:pt>
                <c:pt idx="1860">
                  <c:v>41581</c:v>
                </c:pt>
                <c:pt idx="1861">
                  <c:v>41582</c:v>
                </c:pt>
                <c:pt idx="1862">
                  <c:v>41583</c:v>
                </c:pt>
                <c:pt idx="1863">
                  <c:v>41584</c:v>
                </c:pt>
                <c:pt idx="1864">
                  <c:v>41585</c:v>
                </c:pt>
                <c:pt idx="1865">
                  <c:v>41586</c:v>
                </c:pt>
                <c:pt idx="1866">
                  <c:v>41587</c:v>
                </c:pt>
                <c:pt idx="1867">
                  <c:v>41588</c:v>
                </c:pt>
                <c:pt idx="1868">
                  <c:v>41589</c:v>
                </c:pt>
                <c:pt idx="1869">
                  <c:v>41590</c:v>
                </c:pt>
                <c:pt idx="1870">
                  <c:v>41591</c:v>
                </c:pt>
                <c:pt idx="1871">
                  <c:v>41592</c:v>
                </c:pt>
                <c:pt idx="1872">
                  <c:v>41593</c:v>
                </c:pt>
                <c:pt idx="1873">
                  <c:v>41594</c:v>
                </c:pt>
                <c:pt idx="1874">
                  <c:v>41595</c:v>
                </c:pt>
                <c:pt idx="1875">
                  <c:v>41596</c:v>
                </c:pt>
                <c:pt idx="1876">
                  <c:v>41597</c:v>
                </c:pt>
                <c:pt idx="1877">
                  <c:v>41598</c:v>
                </c:pt>
                <c:pt idx="1878">
                  <c:v>41599</c:v>
                </c:pt>
                <c:pt idx="1879">
                  <c:v>41600</c:v>
                </c:pt>
                <c:pt idx="1880">
                  <c:v>41601</c:v>
                </c:pt>
                <c:pt idx="1881">
                  <c:v>41602</c:v>
                </c:pt>
                <c:pt idx="1882">
                  <c:v>41603</c:v>
                </c:pt>
                <c:pt idx="1883">
                  <c:v>41604</c:v>
                </c:pt>
                <c:pt idx="1884">
                  <c:v>41605</c:v>
                </c:pt>
                <c:pt idx="1885">
                  <c:v>41606</c:v>
                </c:pt>
                <c:pt idx="1886">
                  <c:v>41607</c:v>
                </c:pt>
                <c:pt idx="1887">
                  <c:v>41608</c:v>
                </c:pt>
                <c:pt idx="1888">
                  <c:v>41609</c:v>
                </c:pt>
                <c:pt idx="1889">
                  <c:v>41610</c:v>
                </c:pt>
                <c:pt idx="1890">
                  <c:v>41611</c:v>
                </c:pt>
                <c:pt idx="1891">
                  <c:v>41612</c:v>
                </c:pt>
                <c:pt idx="1892">
                  <c:v>41613</c:v>
                </c:pt>
                <c:pt idx="1893">
                  <c:v>41614</c:v>
                </c:pt>
                <c:pt idx="1894">
                  <c:v>41615</c:v>
                </c:pt>
                <c:pt idx="1895">
                  <c:v>41616</c:v>
                </c:pt>
                <c:pt idx="1896">
                  <c:v>41617</c:v>
                </c:pt>
                <c:pt idx="1897">
                  <c:v>41618</c:v>
                </c:pt>
                <c:pt idx="1898">
                  <c:v>41619</c:v>
                </c:pt>
                <c:pt idx="1899">
                  <c:v>41620</c:v>
                </c:pt>
                <c:pt idx="1900">
                  <c:v>41621</c:v>
                </c:pt>
                <c:pt idx="1901">
                  <c:v>41622</c:v>
                </c:pt>
                <c:pt idx="1902">
                  <c:v>41623</c:v>
                </c:pt>
                <c:pt idx="1903">
                  <c:v>41624</c:v>
                </c:pt>
                <c:pt idx="1904">
                  <c:v>41625</c:v>
                </c:pt>
                <c:pt idx="1905">
                  <c:v>41626</c:v>
                </c:pt>
                <c:pt idx="1906">
                  <c:v>41627</c:v>
                </c:pt>
                <c:pt idx="1907">
                  <c:v>41628</c:v>
                </c:pt>
                <c:pt idx="1908">
                  <c:v>41629</c:v>
                </c:pt>
                <c:pt idx="1909">
                  <c:v>41630</c:v>
                </c:pt>
                <c:pt idx="1910">
                  <c:v>41631</c:v>
                </c:pt>
                <c:pt idx="1911">
                  <c:v>41632</c:v>
                </c:pt>
                <c:pt idx="1912">
                  <c:v>41633</c:v>
                </c:pt>
                <c:pt idx="1913">
                  <c:v>41634</c:v>
                </c:pt>
                <c:pt idx="1914">
                  <c:v>41635</c:v>
                </c:pt>
                <c:pt idx="1915">
                  <c:v>41636</c:v>
                </c:pt>
                <c:pt idx="1916">
                  <c:v>41637</c:v>
                </c:pt>
                <c:pt idx="1917">
                  <c:v>41638</c:v>
                </c:pt>
                <c:pt idx="1918">
                  <c:v>41639</c:v>
                </c:pt>
                <c:pt idx="1919">
                  <c:v>41640</c:v>
                </c:pt>
                <c:pt idx="1920">
                  <c:v>41641</c:v>
                </c:pt>
                <c:pt idx="1921">
                  <c:v>41642</c:v>
                </c:pt>
                <c:pt idx="1922">
                  <c:v>41643</c:v>
                </c:pt>
                <c:pt idx="1923">
                  <c:v>41644</c:v>
                </c:pt>
                <c:pt idx="1924">
                  <c:v>41645</c:v>
                </c:pt>
                <c:pt idx="1925">
                  <c:v>41646</c:v>
                </c:pt>
                <c:pt idx="1926">
                  <c:v>41647</c:v>
                </c:pt>
                <c:pt idx="1927">
                  <c:v>41648</c:v>
                </c:pt>
                <c:pt idx="1928">
                  <c:v>41649</c:v>
                </c:pt>
                <c:pt idx="1929">
                  <c:v>41650</c:v>
                </c:pt>
                <c:pt idx="1930">
                  <c:v>41651</c:v>
                </c:pt>
                <c:pt idx="1931">
                  <c:v>41652</c:v>
                </c:pt>
                <c:pt idx="1932">
                  <c:v>41653</c:v>
                </c:pt>
                <c:pt idx="1933">
                  <c:v>41654</c:v>
                </c:pt>
                <c:pt idx="1934">
                  <c:v>41655</c:v>
                </c:pt>
                <c:pt idx="1935">
                  <c:v>41656</c:v>
                </c:pt>
                <c:pt idx="1936">
                  <c:v>41657</c:v>
                </c:pt>
                <c:pt idx="1937">
                  <c:v>41658</c:v>
                </c:pt>
                <c:pt idx="1938">
                  <c:v>41659</c:v>
                </c:pt>
                <c:pt idx="1939">
                  <c:v>41660</c:v>
                </c:pt>
                <c:pt idx="1940">
                  <c:v>41661</c:v>
                </c:pt>
                <c:pt idx="1941">
                  <c:v>41662</c:v>
                </c:pt>
                <c:pt idx="1942">
                  <c:v>41663</c:v>
                </c:pt>
                <c:pt idx="1943">
                  <c:v>41664</c:v>
                </c:pt>
                <c:pt idx="1944">
                  <c:v>41665</c:v>
                </c:pt>
                <c:pt idx="1945">
                  <c:v>41666</c:v>
                </c:pt>
                <c:pt idx="1946">
                  <c:v>41667</c:v>
                </c:pt>
                <c:pt idx="1947">
                  <c:v>41668</c:v>
                </c:pt>
                <c:pt idx="1948">
                  <c:v>41669</c:v>
                </c:pt>
                <c:pt idx="1949">
                  <c:v>41670</c:v>
                </c:pt>
                <c:pt idx="1950">
                  <c:v>41671</c:v>
                </c:pt>
                <c:pt idx="1951">
                  <c:v>41672</c:v>
                </c:pt>
                <c:pt idx="1952">
                  <c:v>41673</c:v>
                </c:pt>
                <c:pt idx="1953">
                  <c:v>41674</c:v>
                </c:pt>
                <c:pt idx="1954">
                  <c:v>41675</c:v>
                </c:pt>
                <c:pt idx="1955">
                  <c:v>41676</c:v>
                </c:pt>
                <c:pt idx="1956">
                  <c:v>41677</c:v>
                </c:pt>
                <c:pt idx="1957">
                  <c:v>41678</c:v>
                </c:pt>
                <c:pt idx="1958">
                  <c:v>41679</c:v>
                </c:pt>
                <c:pt idx="1959">
                  <c:v>41680</c:v>
                </c:pt>
                <c:pt idx="1960">
                  <c:v>41681</c:v>
                </c:pt>
                <c:pt idx="1961">
                  <c:v>41682</c:v>
                </c:pt>
                <c:pt idx="1962">
                  <c:v>41683</c:v>
                </c:pt>
                <c:pt idx="1963">
                  <c:v>41684</c:v>
                </c:pt>
                <c:pt idx="1964">
                  <c:v>41685</c:v>
                </c:pt>
                <c:pt idx="1965">
                  <c:v>41686</c:v>
                </c:pt>
                <c:pt idx="1966">
                  <c:v>41687</c:v>
                </c:pt>
                <c:pt idx="1967">
                  <c:v>41688</c:v>
                </c:pt>
                <c:pt idx="1968">
                  <c:v>41689</c:v>
                </c:pt>
                <c:pt idx="1969">
                  <c:v>41690</c:v>
                </c:pt>
                <c:pt idx="1970">
                  <c:v>41691</c:v>
                </c:pt>
                <c:pt idx="1971">
                  <c:v>41692</c:v>
                </c:pt>
                <c:pt idx="1972">
                  <c:v>41693</c:v>
                </c:pt>
                <c:pt idx="1973">
                  <c:v>41694</c:v>
                </c:pt>
                <c:pt idx="1974">
                  <c:v>41695</c:v>
                </c:pt>
                <c:pt idx="1975">
                  <c:v>41696</c:v>
                </c:pt>
                <c:pt idx="1976">
                  <c:v>41697</c:v>
                </c:pt>
                <c:pt idx="1977">
                  <c:v>41698</c:v>
                </c:pt>
                <c:pt idx="1978">
                  <c:v>41699</c:v>
                </c:pt>
                <c:pt idx="1979">
                  <c:v>41700</c:v>
                </c:pt>
                <c:pt idx="1980">
                  <c:v>41701</c:v>
                </c:pt>
                <c:pt idx="1981">
                  <c:v>41702</c:v>
                </c:pt>
                <c:pt idx="1982">
                  <c:v>41703</c:v>
                </c:pt>
                <c:pt idx="1983">
                  <c:v>41704</c:v>
                </c:pt>
                <c:pt idx="1984">
                  <c:v>41705</c:v>
                </c:pt>
                <c:pt idx="1985">
                  <c:v>41706</c:v>
                </c:pt>
                <c:pt idx="1986">
                  <c:v>41707</c:v>
                </c:pt>
                <c:pt idx="1987">
                  <c:v>41708</c:v>
                </c:pt>
                <c:pt idx="1988">
                  <c:v>41709</c:v>
                </c:pt>
                <c:pt idx="1989">
                  <c:v>41710</c:v>
                </c:pt>
                <c:pt idx="1990">
                  <c:v>41711</c:v>
                </c:pt>
                <c:pt idx="1991">
                  <c:v>41712</c:v>
                </c:pt>
                <c:pt idx="1992">
                  <c:v>41713</c:v>
                </c:pt>
                <c:pt idx="1993">
                  <c:v>41714</c:v>
                </c:pt>
                <c:pt idx="1994">
                  <c:v>41715</c:v>
                </c:pt>
                <c:pt idx="1995">
                  <c:v>41716</c:v>
                </c:pt>
                <c:pt idx="1996">
                  <c:v>41717</c:v>
                </c:pt>
                <c:pt idx="1997">
                  <c:v>41718</c:v>
                </c:pt>
                <c:pt idx="1998">
                  <c:v>41719</c:v>
                </c:pt>
                <c:pt idx="1999">
                  <c:v>41720</c:v>
                </c:pt>
                <c:pt idx="2000">
                  <c:v>41721</c:v>
                </c:pt>
                <c:pt idx="2001">
                  <c:v>41722</c:v>
                </c:pt>
                <c:pt idx="2002">
                  <c:v>41723</c:v>
                </c:pt>
                <c:pt idx="2003">
                  <c:v>41724</c:v>
                </c:pt>
                <c:pt idx="2004">
                  <c:v>41725</c:v>
                </c:pt>
                <c:pt idx="2005">
                  <c:v>41726</c:v>
                </c:pt>
                <c:pt idx="2006">
                  <c:v>41727</c:v>
                </c:pt>
                <c:pt idx="2007">
                  <c:v>41728</c:v>
                </c:pt>
                <c:pt idx="2008">
                  <c:v>41729</c:v>
                </c:pt>
                <c:pt idx="2009">
                  <c:v>41730</c:v>
                </c:pt>
                <c:pt idx="2010">
                  <c:v>41731</c:v>
                </c:pt>
                <c:pt idx="2011">
                  <c:v>41732</c:v>
                </c:pt>
                <c:pt idx="2012">
                  <c:v>41733</c:v>
                </c:pt>
                <c:pt idx="2013">
                  <c:v>41734</c:v>
                </c:pt>
                <c:pt idx="2014">
                  <c:v>41735</c:v>
                </c:pt>
                <c:pt idx="2015">
                  <c:v>41736</c:v>
                </c:pt>
                <c:pt idx="2016">
                  <c:v>41737</c:v>
                </c:pt>
                <c:pt idx="2017">
                  <c:v>41738</c:v>
                </c:pt>
                <c:pt idx="2018">
                  <c:v>41739</c:v>
                </c:pt>
                <c:pt idx="2019">
                  <c:v>41740</c:v>
                </c:pt>
                <c:pt idx="2020">
                  <c:v>41741</c:v>
                </c:pt>
                <c:pt idx="2021">
                  <c:v>41742</c:v>
                </c:pt>
                <c:pt idx="2022">
                  <c:v>41743</c:v>
                </c:pt>
                <c:pt idx="2023">
                  <c:v>41744</c:v>
                </c:pt>
                <c:pt idx="2024">
                  <c:v>41745</c:v>
                </c:pt>
                <c:pt idx="2025">
                  <c:v>41746</c:v>
                </c:pt>
                <c:pt idx="2026">
                  <c:v>41747</c:v>
                </c:pt>
                <c:pt idx="2027">
                  <c:v>41748</c:v>
                </c:pt>
                <c:pt idx="2028">
                  <c:v>41749</c:v>
                </c:pt>
                <c:pt idx="2029">
                  <c:v>41750</c:v>
                </c:pt>
                <c:pt idx="2030">
                  <c:v>41751</c:v>
                </c:pt>
                <c:pt idx="2031">
                  <c:v>41752</c:v>
                </c:pt>
                <c:pt idx="2032">
                  <c:v>41753</c:v>
                </c:pt>
                <c:pt idx="2033">
                  <c:v>41754</c:v>
                </c:pt>
                <c:pt idx="2034">
                  <c:v>41755</c:v>
                </c:pt>
                <c:pt idx="2035">
                  <c:v>41756</c:v>
                </c:pt>
                <c:pt idx="2036">
                  <c:v>41757</c:v>
                </c:pt>
                <c:pt idx="2037">
                  <c:v>41758</c:v>
                </c:pt>
                <c:pt idx="2038">
                  <c:v>41759</c:v>
                </c:pt>
                <c:pt idx="2039">
                  <c:v>41760</c:v>
                </c:pt>
                <c:pt idx="2040">
                  <c:v>41761</c:v>
                </c:pt>
                <c:pt idx="2041">
                  <c:v>41762</c:v>
                </c:pt>
                <c:pt idx="2042">
                  <c:v>41763</c:v>
                </c:pt>
                <c:pt idx="2043">
                  <c:v>41764</c:v>
                </c:pt>
                <c:pt idx="2044">
                  <c:v>41765</c:v>
                </c:pt>
                <c:pt idx="2045">
                  <c:v>41766</c:v>
                </c:pt>
                <c:pt idx="2046">
                  <c:v>41767</c:v>
                </c:pt>
                <c:pt idx="2047">
                  <c:v>41768</c:v>
                </c:pt>
                <c:pt idx="2048">
                  <c:v>41769</c:v>
                </c:pt>
                <c:pt idx="2049">
                  <c:v>41770</c:v>
                </c:pt>
                <c:pt idx="2050">
                  <c:v>41771</c:v>
                </c:pt>
                <c:pt idx="2051">
                  <c:v>41772</c:v>
                </c:pt>
                <c:pt idx="2052">
                  <c:v>41773</c:v>
                </c:pt>
                <c:pt idx="2053">
                  <c:v>41774</c:v>
                </c:pt>
                <c:pt idx="2054">
                  <c:v>41775</c:v>
                </c:pt>
                <c:pt idx="2055">
                  <c:v>41776</c:v>
                </c:pt>
                <c:pt idx="2056">
                  <c:v>41777</c:v>
                </c:pt>
                <c:pt idx="2057">
                  <c:v>41778</c:v>
                </c:pt>
                <c:pt idx="2058">
                  <c:v>41779</c:v>
                </c:pt>
                <c:pt idx="2059">
                  <c:v>41780</c:v>
                </c:pt>
                <c:pt idx="2060">
                  <c:v>41781</c:v>
                </c:pt>
                <c:pt idx="2061">
                  <c:v>41782</c:v>
                </c:pt>
                <c:pt idx="2062">
                  <c:v>41783</c:v>
                </c:pt>
                <c:pt idx="2063">
                  <c:v>41784</c:v>
                </c:pt>
                <c:pt idx="2064">
                  <c:v>41785</c:v>
                </c:pt>
                <c:pt idx="2065">
                  <c:v>41786</c:v>
                </c:pt>
                <c:pt idx="2066">
                  <c:v>41787</c:v>
                </c:pt>
                <c:pt idx="2067">
                  <c:v>41788</c:v>
                </c:pt>
                <c:pt idx="2068">
                  <c:v>41789</c:v>
                </c:pt>
                <c:pt idx="2069">
                  <c:v>41790</c:v>
                </c:pt>
                <c:pt idx="2070">
                  <c:v>41791</c:v>
                </c:pt>
                <c:pt idx="2071">
                  <c:v>41792</c:v>
                </c:pt>
                <c:pt idx="2072">
                  <c:v>41793</c:v>
                </c:pt>
                <c:pt idx="2073">
                  <c:v>41794</c:v>
                </c:pt>
                <c:pt idx="2074">
                  <c:v>41795</c:v>
                </c:pt>
                <c:pt idx="2075">
                  <c:v>41796</c:v>
                </c:pt>
                <c:pt idx="2076">
                  <c:v>41797</c:v>
                </c:pt>
                <c:pt idx="2077">
                  <c:v>41798</c:v>
                </c:pt>
                <c:pt idx="2078">
                  <c:v>41799</c:v>
                </c:pt>
                <c:pt idx="2079">
                  <c:v>41800</c:v>
                </c:pt>
                <c:pt idx="2080">
                  <c:v>41801</c:v>
                </c:pt>
                <c:pt idx="2081">
                  <c:v>41802</c:v>
                </c:pt>
                <c:pt idx="2082">
                  <c:v>41803</c:v>
                </c:pt>
                <c:pt idx="2083">
                  <c:v>41804</c:v>
                </c:pt>
                <c:pt idx="2084">
                  <c:v>41805</c:v>
                </c:pt>
                <c:pt idx="2085">
                  <c:v>41806</c:v>
                </c:pt>
                <c:pt idx="2086">
                  <c:v>41807</c:v>
                </c:pt>
                <c:pt idx="2087">
                  <c:v>41808</c:v>
                </c:pt>
                <c:pt idx="2088">
                  <c:v>41809</c:v>
                </c:pt>
                <c:pt idx="2089">
                  <c:v>41810</c:v>
                </c:pt>
                <c:pt idx="2090">
                  <c:v>41811</c:v>
                </c:pt>
                <c:pt idx="2091">
                  <c:v>41812</c:v>
                </c:pt>
                <c:pt idx="2092">
                  <c:v>41813</c:v>
                </c:pt>
                <c:pt idx="2093">
                  <c:v>41814</c:v>
                </c:pt>
                <c:pt idx="2094">
                  <c:v>41815</c:v>
                </c:pt>
                <c:pt idx="2095">
                  <c:v>41816</c:v>
                </c:pt>
                <c:pt idx="2096">
                  <c:v>41817</c:v>
                </c:pt>
                <c:pt idx="2097">
                  <c:v>41818</c:v>
                </c:pt>
                <c:pt idx="2098">
                  <c:v>41819</c:v>
                </c:pt>
                <c:pt idx="2099">
                  <c:v>41820</c:v>
                </c:pt>
                <c:pt idx="2100">
                  <c:v>41821</c:v>
                </c:pt>
                <c:pt idx="2101">
                  <c:v>41822</c:v>
                </c:pt>
                <c:pt idx="2102">
                  <c:v>41823</c:v>
                </c:pt>
                <c:pt idx="2103">
                  <c:v>41824</c:v>
                </c:pt>
                <c:pt idx="2104">
                  <c:v>41825</c:v>
                </c:pt>
                <c:pt idx="2105">
                  <c:v>41826</c:v>
                </c:pt>
                <c:pt idx="2106">
                  <c:v>41827</c:v>
                </c:pt>
                <c:pt idx="2107">
                  <c:v>41828</c:v>
                </c:pt>
                <c:pt idx="2108">
                  <c:v>41829</c:v>
                </c:pt>
                <c:pt idx="2109">
                  <c:v>41830</c:v>
                </c:pt>
                <c:pt idx="2110">
                  <c:v>41831</c:v>
                </c:pt>
                <c:pt idx="2111">
                  <c:v>41832</c:v>
                </c:pt>
                <c:pt idx="2112">
                  <c:v>41833</c:v>
                </c:pt>
                <c:pt idx="2113">
                  <c:v>41834</c:v>
                </c:pt>
                <c:pt idx="2114">
                  <c:v>41835</c:v>
                </c:pt>
                <c:pt idx="2115">
                  <c:v>41836</c:v>
                </c:pt>
                <c:pt idx="2116">
                  <c:v>41837</c:v>
                </c:pt>
                <c:pt idx="2117">
                  <c:v>41838</c:v>
                </c:pt>
                <c:pt idx="2118">
                  <c:v>41839</c:v>
                </c:pt>
                <c:pt idx="2119">
                  <c:v>41840</c:v>
                </c:pt>
                <c:pt idx="2120">
                  <c:v>41841</c:v>
                </c:pt>
                <c:pt idx="2121">
                  <c:v>41842</c:v>
                </c:pt>
                <c:pt idx="2122">
                  <c:v>41843</c:v>
                </c:pt>
                <c:pt idx="2123">
                  <c:v>41844</c:v>
                </c:pt>
                <c:pt idx="2124">
                  <c:v>41845</c:v>
                </c:pt>
                <c:pt idx="2125">
                  <c:v>41846</c:v>
                </c:pt>
                <c:pt idx="2126">
                  <c:v>41847</c:v>
                </c:pt>
                <c:pt idx="2127">
                  <c:v>41848</c:v>
                </c:pt>
                <c:pt idx="2128">
                  <c:v>41849</c:v>
                </c:pt>
                <c:pt idx="2129">
                  <c:v>41850</c:v>
                </c:pt>
                <c:pt idx="2130">
                  <c:v>41851</c:v>
                </c:pt>
                <c:pt idx="2131">
                  <c:v>41852</c:v>
                </c:pt>
                <c:pt idx="2132">
                  <c:v>41853</c:v>
                </c:pt>
                <c:pt idx="2133">
                  <c:v>41854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41860</c:v>
                </c:pt>
                <c:pt idx="2140">
                  <c:v>41861</c:v>
                </c:pt>
                <c:pt idx="2141">
                  <c:v>41862</c:v>
                </c:pt>
                <c:pt idx="2142">
                  <c:v>41863</c:v>
                </c:pt>
                <c:pt idx="2143">
                  <c:v>41864</c:v>
                </c:pt>
                <c:pt idx="2144">
                  <c:v>41865</c:v>
                </c:pt>
                <c:pt idx="2145">
                  <c:v>41866</c:v>
                </c:pt>
                <c:pt idx="2146">
                  <c:v>41867</c:v>
                </c:pt>
                <c:pt idx="2147">
                  <c:v>41868</c:v>
                </c:pt>
                <c:pt idx="2148">
                  <c:v>41869</c:v>
                </c:pt>
                <c:pt idx="2149">
                  <c:v>41870</c:v>
                </c:pt>
                <c:pt idx="2150">
                  <c:v>41871</c:v>
                </c:pt>
                <c:pt idx="2151">
                  <c:v>41872</c:v>
                </c:pt>
                <c:pt idx="2152">
                  <c:v>41873</c:v>
                </c:pt>
                <c:pt idx="2153">
                  <c:v>41874</c:v>
                </c:pt>
                <c:pt idx="2154">
                  <c:v>41875</c:v>
                </c:pt>
                <c:pt idx="2155">
                  <c:v>41876</c:v>
                </c:pt>
                <c:pt idx="2156">
                  <c:v>41877</c:v>
                </c:pt>
                <c:pt idx="2157">
                  <c:v>41878</c:v>
                </c:pt>
                <c:pt idx="2158">
                  <c:v>41879</c:v>
                </c:pt>
                <c:pt idx="2159">
                  <c:v>41880</c:v>
                </c:pt>
                <c:pt idx="2160">
                  <c:v>41881</c:v>
                </c:pt>
                <c:pt idx="2161">
                  <c:v>41882</c:v>
                </c:pt>
                <c:pt idx="2162">
                  <c:v>41883</c:v>
                </c:pt>
                <c:pt idx="2163">
                  <c:v>41884</c:v>
                </c:pt>
                <c:pt idx="2164">
                  <c:v>41885</c:v>
                </c:pt>
                <c:pt idx="2165">
                  <c:v>41886</c:v>
                </c:pt>
                <c:pt idx="2166">
                  <c:v>41887</c:v>
                </c:pt>
                <c:pt idx="2167">
                  <c:v>41888</c:v>
                </c:pt>
                <c:pt idx="2168">
                  <c:v>41889</c:v>
                </c:pt>
                <c:pt idx="2169">
                  <c:v>41890</c:v>
                </c:pt>
                <c:pt idx="2170">
                  <c:v>41891</c:v>
                </c:pt>
                <c:pt idx="2171">
                  <c:v>41892</c:v>
                </c:pt>
                <c:pt idx="2172">
                  <c:v>41893</c:v>
                </c:pt>
                <c:pt idx="2173">
                  <c:v>41894</c:v>
                </c:pt>
                <c:pt idx="2174">
                  <c:v>41895</c:v>
                </c:pt>
                <c:pt idx="2175">
                  <c:v>41896</c:v>
                </c:pt>
                <c:pt idx="2176">
                  <c:v>41897</c:v>
                </c:pt>
                <c:pt idx="2177">
                  <c:v>41898</c:v>
                </c:pt>
                <c:pt idx="2178">
                  <c:v>41899</c:v>
                </c:pt>
                <c:pt idx="2179">
                  <c:v>41900</c:v>
                </c:pt>
                <c:pt idx="2180">
                  <c:v>41901</c:v>
                </c:pt>
                <c:pt idx="2181">
                  <c:v>41902</c:v>
                </c:pt>
                <c:pt idx="2182">
                  <c:v>41903</c:v>
                </c:pt>
                <c:pt idx="2183">
                  <c:v>41904</c:v>
                </c:pt>
                <c:pt idx="2184">
                  <c:v>41905</c:v>
                </c:pt>
                <c:pt idx="2185">
                  <c:v>41906</c:v>
                </c:pt>
                <c:pt idx="2186">
                  <c:v>41907</c:v>
                </c:pt>
                <c:pt idx="2187">
                  <c:v>41908</c:v>
                </c:pt>
                <c:pt idx="2188">
                  <c:v>41909</c:v>
                </c:pt>
                <c:pt idx="2189">
                  <c:v>41910</c:v>
                </c:pt>
                <c:pt idx="2190">
                  <c:v>41911</c:v>
                </c:pt>
                <c:pt idx="2191">
                  <c:v>41912</c:v>
                </c:pt>
                <c:pt idx="2192">
                  <c:v>41913</c:v>
                </c:pt>
                <c:pt idx="2193">
                  <c:v>41914</c:v>
                </c:pt>
                <c:pt idx="2194">
                  <c:v>41915</c:v>
                </c:pt>
                <c:pt idx="2195">
                  <c:v>41916</c:v>
                </c:pt>
                <c:pt idx="2196">
                  <c:v>41917</c:v>
                </c:pt>
                <c:pt idx="2197">
                  <c:v>41918</c:v>
                </c:pt>
                <c:pt idx="2198">
                  <c:v>41919</c:v>
                </c:pt>
                <c:pt idx="2199">
                  <c:v>41920</c:v>
                </c:pt>
                <c:pt idx="2200">
                  <c:v>41921</c:v>
                </c:pt>
                <c:pt idx="2201">
                  <c:v>41922</c:v>
                </c:pt>
                <c:pt idx="2202">
                  <c:v>41923</c:v>
                </c:pt>
                <c:pt idx="2203">
                  <c:v>41924</c:v>
                </c:pt>
                <c:pt idx="2204">
                  <c:v>41925</c:v>
                </c:pt>
                <c:pt idx="2205">
                  <c:v>41926</c:v>
                </c:pt>
                <c:pt idx="2206">
                  <c:v>41927</c:v>
                </c:pt>
                <c:pt idx="2207">
                  <c:v>41928</c:v>
                </c:pt>
                <c:pt idx="2208">
                  <c:v>41929</c:v>
                </c:pt>
                <c:pt idx="2209">
                  <c:v>41930</c:v>
                </c:pt>
                <c:pt idx="2210">
                  <c:v>41931</c:v>
                </c:pt>
                <c:pt idx="2211">
                  <c:v>41932</c:v>
                </c:pt>
                <c:pt idx="2212">
                  <c:v>41933</c:v>
                </c:pt>
                <c:pt idx="2213">
                  <c:v>41934</c:v>
                </c:pt>
                <c:pt idx="2214">
                  <c:v>41935</c:v>
                </c:pt>
                <c:pt idx="2215">
                  <c:v>41936</c:v>
                </c:pt>
                <c:pt idx="2216">
                  <c:v>41937</c:v>
                </c:pt>
                <c:pt idx="2217">
                  <c:v>41938</c:v>
                </c:pt>
                <c:pt idx="2218">
                  <c:v>41939</c:v>
                </c:pt>
                <c:pt idx="2219">
                  <c:v>41940</c:v>
                </c:pt>
                <c:pt idx="2220">
                  <c:v>41941</c:v>
                </c:pt>
                <c:pt idx="2221">
                  <c:v>41942</c:v>
                </c:pt>
                <c:pt idx="2222">
                  <c:v>41943</c:v>
                </c:pt>
                <c:pt idx="2223">
                  <c:v>41944</c:v>
                </c:pt>
                <c:pt idx="2224">
                  <c:v>41945</c:v>
                </c:pt>
                <c:pt idx="2225">
                  <c:v>41946</c:v>
                </c:pt>
                <c:pt idx="2226">
                  <c:v>41947</c:v>
                </c:pt>
                <c:pt idx="2227">
                  <c:v>41948</c:v>
                </c:pt>
                <c:pt idx="2228">
                  <c:v>41949</c:v>
                </c:pt>
                <c:pt idx="2229">
                  <c:v>41950</c:v>
                </c:pt>
                <c:pt idx="2230">
                  <c:v>41951</c:v>
                </c:pt>
                <c:pt idx="2231">
                  <c:v>41952</c:v>
                </c:pt>
                <c:pt idx="2232">
                  <c:v>41953</c:v>
                </c:pt>
                <c:pt idx="2233">
                  <c:v>41954</c:v>
                </c:pt>
                <c:pt idx="2234">
                  <c:v>41955</c:v>
                </c:pt>
                <c:pt idx="2235">
                  <c:v>41956</c:v>
                </c:pt>
                <c:pt idx="2236">
                  <c:v>41957</c:v>
                </c:pt>
                <c:pt idx="2237">
                  <c:v>41958</c:v>
                </c:pt>
                <c:pt idx="2238">
                  <c:v>41959</c:v>
                </c:pt>
                <c:pt idx="2239">
                  <c:v>41960</c:v>
                </c:pt>
                <c:pt idx="2240">
                  <c:v>41961</c:v>
                </c:pt>
                <c:pt idx="2241">
                  <c:v>41962</c:v>
                </c:pt>
                <c:pt idx="2242">
                  <c:v>41963</c:v>
                </c:pt>
                <c:pt idx="2243">
                  <c:v>41964</c:v>
                </c:pt>
                <c:pt idx="2244">
                  <c:v>41965</c:v>
                </c:pt>
                <c:pt idx="2245">
                  <c:v>41966</c:v>
                </c:pt>
                <c:pt idx="2246">
                  <c:v>41967</c:v>
                </c:pt>
                <c:pt idx="2247">
                  <c:v>41968</c:v>
                </c:pt>
                <c:pt idx="2248">
                  <c:v>41969</c:v>
                </c:pt>
                <c:pt idx="2249">
                  <c:v>41970</c:v>
                </c:pt>
                <c:pt idx="2250">
                  <c:v>41971</c:v>
                </c:pt>
                <c:pt idx="2251">
                  <c:v>41972</c:v>
                </c:pt>
                <c:pt idx="2252">
                  <c:v>41973</c:v>
                </c:pt>
                <c:pt idx="2253">
                  <c:v>41974</c:v>
                </c:pt>
                <c:pt idx="2254">
                  <c:v>41975</c:v>
                </c:pt>
                <c:pt idx="2255">
                  <c:v>41976</c:v>
                </c:pt>
                <c:pt idx="2256">
                  <c:v>41977</c:v>
                </c:pt>
                <c:pt idx="2257">
                  <c:v>41978</c:v>
                </c:pt>
                <c:pt idx="2258">
                  <c:v>41979</c:v>
                </c:pt>
                <c:pt idx="2259">
                  <c:v>41980</c:v>
                </c:pt>
                <c:pt idx="2260">
                  <c:v>41981</c:v>
                </c:pt>
                <c:pt idx="2261">
                  <c:v>41982</c:v>
                </c:pt>
                <c:pt idx="2262">
                  <c:v>41983</c:v>
                </c:pt>
                <c:pt idx="2263">
                  <c:v>41984</c:v>
                </c:pt>
                <c:pt idx="2264">
                  <c:v>41985</c:v>
                </c:pt>
                <c:pt idx="2265">
                  <c:v>41986</c:v>
                </c:pt>
                <c:pt idx="2266">
                  <c:v>41987</c:v>
                </c:pt>
                <c:pt idx="2267">
                  <c:v>41988</c:v>
                </c:pt>
                <c:pt idx="2268">
                  <c:v>41989</c:v>
                </c:pt>
                <c:pt idx="2269">
                  <c:v>41990</c:v>
                </c:pt>
                <c:pt idx="2270">
                  <c:v>41991</c:v>
                </c:pt>
                <c:pt idx="2271">
                  <c:v>41992</c:v>
                </c:pt>
                <c:pt idx="2272">
                  <c:v>41993</c:v>
                </c:pt>
                <c:pt idx="2273">
                  <c:v>41994</c:v>
                </c:pt>
                <c:pt idx="2274">
                  <c:v>41995</c:v>
                </c:pt>
                <c:pt idx="2275">
                  <c:v>41996</c:v>
                </c:pt>
                <c:pt idx="2276">
                  <c:v>41997</c:v>
                </c:pt>
                <c:pt idx="2277">
                  <c:v>41998</c:v>
                </c:pt>
                <c:pt idx="2278">
                  <c:v>41999</c:v>
                </c:pt>
                <c:pt idx="2279">
                  <c:v>42000</c:v>
                </c:pt>
                <c:pt idx="2280">
                  <c:v>42001</c:v>
                </c:pt>
                <c:pt idx="2281">
                  <c:v>42002</c:v>
                </c:pt>
                <c:pt idx="2282">
                  <c:v>42003</c:v>
                </c:pt>
                <c:pt idx="2283">
                  <c:v>42004</c:v>
                </c:pt>
                <c:pt idx="2284">
                  <c:v>42005</c:v>
                </c:pt>
                <c:pt idx="2285">
                  <c:v>42006</c:v>
                </c:pt>
                <c:pt idx="2286">
                  <c:v>42007</c:v>
                </c:pt>
                <c:pt idx="2287">
                  <c:v>42008</c:v>
                </c:pt>
                <c:pt idx="2288">
                  <c:v>42009</c:v>
                </c:pt>
                <c:pt idx="2289">
                  <c:v>42010</c:v>
                </c:pt>
                <c:pt idx="2290">
                  <c:v>42011</c:v>
                </c:pt>
                <c:pt idx="2291">
                  <c:v>42012</c:v>
                </c:pt>
                <c:pt idx="2292">
                  <c:v>42013</c:v>
                </c:pt>
                <c:pt idx="2293">
                  <c:v>42014</c:v>
                </c:pt>
                <c:pt idx="2294">
                  <c:v>42015</c:v>
                </c:pt>
                <c:pt idx="2295">
                  <c:v>42016</c:v>
                </c:pt>
                <c:pt idx="2296">
                  <c:v>42017</c:v>
                </c:pt>
                <c:pt idx="2297">
                  <c:v>42018</c:v>
                </c:pt>
                <c:pt idx="2298">
                  <c:v>42019</c:v>
                </c:pt>
                <c:pt idx="2299">
                  <c:v>42020</c:v>
                </c:pt>
                <c:pt idx="2300">
                  <c:v>42021</c:v>
                </c:pt>
                <c:pt idx="2301">
                  <c:v>42022</c:v>
                </c:pt>
                <c:pt idx="2302">
                  <c:v>42023</c:v>
                </c:pt>
                <c:pt idx="2303">
                  <c:v>42024</c:v>
                </c:pt>
                <c:pt idx="2304">
                  <c:v>42025</c:v>
                </c:pt>
                <c:pt idx="2305">
                  <c:v>42026</c:v>
                </c:pt>
                <c:pt idx="2306">
                  <c:v>42027</c:v>
                </c:pt>
                <c:pt idx="2307">
                  <c:v>42028</c:v>
                </c:pt>
                <c:pt idx="2308">
                  <c:v>42029</c:v>
                </c:pt>
                <c:pt idx="2309">
                  <c:v>42030</c:v>
                </c:pt>
                <c:pt idx="2310">
                  <c:v>42031</c:v>
                </c:pt>
                <c:pt idx="2311">
                  <c:v>42032</c:v>
                </c:pt>
                <c:pt idx="2312">
                  <c:v>42033</c:v>
                </c:pt>
                <c:pt idx="2313">
                  <c:v>42034</c:v>
                </c:pt>
                <c:pt idx="2314">
                  <c:v>42035</c:v>
                </c:pt>
                <c:pt idx="2315">
                  <c:v>42036</c:v>
                </c:pt>
                <c:pt idx="2316">
                  <c:v>42037</c:v>
                </c:pt>
                <c:pt idx="2317">
                  <c:v>42038</c:v>
                </c:pt>
                <c:pt idx="2318">
                  <c:v>42039</c:v>
                </c:pt>
                <c:pt idx="2319">
                  <c:v>42040</c:v>
                </c:pt>
                <c:pt idx="2320">
                  <c:v>42041</c:v>
                </c:pt>
                <c:pt idx="2321">
                  <c:v>42042</c:v>
                </c:pt>
                <c:pt idx="2322">
                  <c:v>42043</c:v>
                </c:pt>
                <c:pt idx="2323">
                  <c:v>42044</c:v>
                </c:pt>
                <c:pt idx="2324">
                  <c:v>42045</c:v>
                </c:pt>
                <c:pt idx="2325">
                  <c:v>42046</c:v>
                </c:pt>
                <c:pt idx="2326">
                  <c:v>42047</c:v>
                </c:pt>
                <c:pt idx="2327">
                  <c:v>42048</c:v>
                </c:pt>
                <c:pt idx="2328">
                  <c:v>42049</c:v>
                </c:pt>
                <c:pt idx="2329">
                  <c:v>42050</c:v>
                </c:pt>
                <c:pt idx="2330">
                  <c:v>42051</c:v>
                </c:pt>
                <c:pt idx="2331">
                  <c:v>42052</c:v>
                </c:pt>
                <c:pt idx="2332">
                  <c:v>42053</c:v>
                </c:pt>
                <c:pt idx="2333">
                  <c:v>42054</c:v>
                </c:pt>
                <c:pt idx="2334">
                  <c:v>42055</c:v>
                </c:pt>
                <c:pt idx="2335">
                  <c:v>42056</c:v>
                </c:pt>
                <c:pt idx="2336">
                  <c:v>42057</c:v>
                </c:pt>
                <c:pt idx="2337">
                  <c:v>42058</c:v>
                </c:pt>
                <c:pt idx="2338">
                  <c:v>42059</c:v>
                </c:pt>
                <c:pt idx="2339">
                  <c:v>42060</c:v>
                </c:pt>
                <c:pt idx="2340">
                  <c:v>42061</c:v>
                </c:pt>
                <c:pt idx="2341">
                  <c:v>42062</c:v>
                </c:pt>
                <c:pt idx="2342">
                  <c:v>42063</c:v>
                </c:pt>
                <c:pt idx="2343">
                  <c:v>42064</c:v>
                </c:pt>
                <c:pt idx="2344">
                  <c:v>42065</c:v>
                </c:pt>
                <c:pt idx="2345">
                  <c:v>42066</c:v>
                </c:pt>
                <c:pt idx="2346">
                  <c:v>42067</c:v>
                </c:pt>
                <c:pt idx="2347">
                  <c:v>42068</c:v>
                </c:pt>
                <c:pt idx="2348">
                  <c:v>42069</c:v>
                </c:pt>
                <c:pt idx="2349">
                  <c:v>42070</c:v>
                </c:pt>
                <c:pt idx="2350">
                  <c:v>42071</c:v>
                </c:pt>
                <c:pt idx="2351">
                  <c:v>42072</c:v>
                </c:pt>
                <c:pt idx="2352">
                  <c:v>42073</c:v>
                </c:pt>
                <c:pt idx="2353">
                  <c:v>42074</c:v>
                </c:pt>
                <c:pt idx="2354">
                  <c:v>42075</c:v>
                </c:pt>
                <c:pt idx="2355">
                  <c:v>42076</c:v>
                </c:pt>
                <c:pt idx="2356">
                  <c:v>42077</c:v>
                </c:pt>
                <c:pt idx="2357">
                  <c:v>42078</c:v>
                </c:pt>
                <c:pt idx="2358">
                  <c:v>42079</c:v>
                </c:pt>
                <c:pt idx="2359">
                  <c:v>42080</c:v>
                </c:pt>
                <c:pt idx="2360">
                  <c:v>42081</c:v>
                </c:pt>
                <c:pt idx="2361">
                  <c:v>42082</c:v>
                </c:pt>
                <c:pt idx="2362">
                  <c:v>42083</c:v>
                </c:pt>
                <c:pt idx="2363">
                  <c:v>42084</c:v>
                </c:pt>
                <c:pt idx="2364">
                  <c:v>42085</c:v>
                </c:pt>
                <c:pt idx="2365">
                  <c:v>42086</c:v>
                </c:pt>
                <c:pt idx="2366">
                  <c:v>42087</c:v>
                </c:pt>
                <c:pt idx="2367">
                  <c:v>42088</c:v>
                </c:pt>
                <c:pt idx="2368">
                  <c:v>42089</c:v>
                </c:pt>
                <c:pt idx="2369">
                  <c:v>42090</c:v>
                </c:pt>
                <c:pt idx="2370">
                  <c:v>42091</c:v>
                </c:pt>
                <c:pt idx="2371">
                  <c:v>42092</c:v>
                </c:pt>
                <c:pt idx="2372">
                  <c:v>42093</c:v>
                </c:pt>
                <c:pt idx="2373">
                  <c:v>42094</c:v>
                </c:pt>
                <c:pt idx="2374">
                  <c:v>42095</c:v>
                </c:pt>
                <c:pt idx="2375">
                  <c:v>42096</c:v>
                </c:pt>
                <c:pt idx="2376">
                  <c:v>42097</c:v>
                </c:pt>
                <c:pt idx="2377">
                  <c:v>42098</c:v>
                </c:pt>
                <c:pt idx="2378">
                  <c:v>42099</c:v>
                </c:pt>
                <c:pt idx="2379">
                  <c:v>42100</c:v>
                </c:pt>
                <c:pt idx="2380">
                  <c:v>42101</c:v>
                </c:pt>
                <c:pt idx="2381">
                  <c:v>42102</c:v>
                </c:pt>
                <c:pt idx="2382">
                  <c:v>42103</c:v>
                </c:pt>
                <c:pt idx="2383">
                  <c:v>42104</c:v>
                </c:pt>
                <c:pt idx="2384">
                  <c:v>42105</c:v>
                </c:pt>
                <c:pt idx="2385">
                  <c:v>42106</c:v>
                </c:pt>
                <c:pt idx="2386">
                  <c:v>42107</c:v>
                </c:pt>
                <c:pt idx="2387">
                  <c:v>42108</c:v>
                </c:pt>
                <c:pt idx="2388">
                  <c:v>42109</c:v>
                </c:pt>
                <c:pt idx="2389">
                  <c:v>42110</c:v>
                </c:pt>
                <c:pt idx="2390">
                  <c:v>42111</c:v>
                </c:pt>
                <c:pt idx="2391">
                  <c:v>42112</c:v>
                </c:pt>
                <c:pt idx="2392">
                  <c:v>42113</c:v>
                </c:pt>
                <c:pt idx="2393">
                  <c:v>42114</c:v>
                </c:pt>
                <c:pt idx="2394">
                  <c:v>42115</c:v>
                </c:pt>
                <c:pt idx="2395">
                  <c:v>42116</c:v>
                </c:pt>
                <c:pt idx="2396">
                  <c:v>42117</c:v>
                </c:pt>
                <c:pt idx="2397">
                  <c:v>42118</c:v>
                </c:pt>
                <c:pt idx="2398">
                  <c:v>42119</c:v>
                </c:pt>
                <c:pt idx="2399">
                  <c:v>42120</c:v>
                </c:pt>
                <c:pt idx="2400">
                  <c:v>42121</c:v>
                </c:pt>
                <c:pt idx="2401">
                  <c:v>42122</c:v>
                </c:pt>
                <c:pt idx="2402">
                  <c:v>42123</c:v>
                </c:pt>
                <c:pt idx="2403">
                  <c:v>42124</c:v>
                </c:pt>
                <c:pt idx="2404">
                  <c:v>42125</c:v>
                </c:pt>
                <c:pt idx="2405">
                  <c:v>42126</c:v>
                </c:pt>
                <c:pt idx="2406">
                  <c:v>42127</c:v>
                </c:pt>
                <c:pt idx="2407">
                  <c:v>42128</c:v>
                </c:pt>
                <c:pt idx="2408">
                  <c:v>42129</c:v>
                </c:pt>
                <c:pt idx="2409">
                  <c:v>42130</c:v>
                </c:pt>
                <c:pt idx="2410">
                  <c:v>42131</c:v>
                </c:pt>
                <c:pt idx="2411">
                  <c:v>42132</c:v>
                </c:pt>
                <c:pt idx="2412">
                  <c:v>42133</c:v>
                </c:pt>
                <c:pt idx="2413">
                  <c:v>42134</c:v>
                </c:pt>
                <c:pt idx="2414">
                  <c:v>42135</c:v>
                </c:pt>
                <c:pt idx="2415">
                  <c:v>42136</c:v>
                </c:pt>
                <c:pt idx="2416">
                  <c:v>42137</c:v>
                </c:pt>
                <c:pt idx="2417">
                  <c:v>42138</c:v>
                </c:pt>
                <c:pt idx="2418">
                  <c:v>42139</c:v>
                </c:pt>
                <c:pt idx="2419">
                  <c:v>42140</c:v>
                </c:pt>
                <c:pt idx="2420">
                  <c:v>42141</c:v>
                </c:pt>
                <c:pt idx="2421">
                  <c:v>42142</c:v>
                </c:pt>
                <c:pt idx="2422">
                  <c:v>42143</c:v>
                </c:pt>
                <c:pt idx="2423">
                  <c:v>42144</c:v>
                </c:pt>
                <c:pt idx="2424">
                  <c:v>42145</c:v>
                </c:pt>
                <c:pt idx="2425">
                  <c:v>42146</c:v>
                </c:pt>
                <c:pt idx="2426">
                  <c:v>42147</c:v>
                </c:pt>
                <c:pt idx="2427">
                  <c:v>42148</c:v>
                </c:pt>
                <c:pt idx="2428">
                  <c:v>42149</c:v>
                </c:pt>
                <c:pt idx="2429">
                  <c:v>42150</c:v>
                </c:pt>
                <c:pt idx="2430">
                  <c:v>42151</c:v>
                </c:pt>
                <c:pt idx="2431">
                  <c:v>42152</c:v>
                </c:pt>
                <c:pt idx="2432">
                  <c:v>42153</c:v>
                </c:pt>
                <c:pt idx="2433">
                  <c:v>42154</c:v>
                </c:pt>
                <c:pt idx="2434">
                  <c:v>42155</c:v>
                </c:pt>
                <c:pt idx="2435">
                  <c:v>42156</c:v>
                </c:pt>
                <c:pt idx="2436">
                  <c:v>42157</c:v>
                </c:pt>
                <c:pt idx="2437">
                  <c:v>42158</c:v>
                </c:pt>
                <c:pt idx="2438">
                  <c:v>42159</c:v>
                </c:pt>
                <c:pt idx="2439">
                  <c:v>42160</c:v>
                </c:pt>
                <c:pt idx="2440">
                  <c:v>42161</c:v>
                </c:pt>
                <c:pt idx="2441">
                  <c:v>42162</c:v>
                </c:pt>
                <c:pt idx="2442">
                  <c:v>42163</c:v>
                </c:pt>
                <c:pt idx="2443">
                  <c:v>42164</c:v>
                </c:pt>
                <c:pt idx="2444">
                  <c:v>42165</c:v>
                </c:pt>
                <c:pt idx="2445">
                  <c:v>42166</c:v>
                </c:pt>
                <c:pt idx="2446">
                  <c:v>42167</c:v>
                </c:pt>
                <c:pt idx="2447">
                  <c:v>42168</c:v>
                </c:pt>
                <c:pt idx="2448">
                  <c:v>42169</c:v>
                </c:pt>
                <c:pt idx="2449">
                  <c:v>42170</c:v>
                </c:pt>
                <c:pt idx="2450">
                  <c:v>42171</c:v>
                </c:pt>
                <c:pt idx="2451">
                  <c:v>42172</c:v>
                </c:pt>
                <c:pt idx="2452">
                  <c:v>42173</c:v>
                </c:pt>
                <c:pt idx="2453">
                  <c:v>42174</c:v>
                </c:pt>
                <c:pt idx="2454">
                  <c:v>42175</c:v>
                </c:pt>
                <c:pt idx="2455">
                  <c:v>42176</c:v>
                </c:pt>
                <c:pt idx="2456">
                  <c:v>42177</c:v>
                </c:pt>
                <c:pt idx="2457">
                  <c:v>42178</c:v>
                </c:pt>
                <c:pt idx="2458">
                  <c:v>42179</c:v>
                </c:pt>
                <c:pt idx="2459">
                  <c:v>42180</c:v>
                </c:pt>
                <c:pt idx="2460">
                  <c:v>42181</c:v>
                </c:pt>
                <c:pt idx="2461">
                  <c:v>42182</c:v>
                </c:pt>
                <c:pt idx="2462">
                  <c:v>42183</c:v>
                </c:pt>
                <c:pt idx="2463">
                  <c:v>42184</c:v>
                </c:pt>
                <c:pt idx="2464">
                  <c:v>42185</c:v>
                </c:pt>
                <c:pt idx="2465">
                  <c:v>42186</c:v>
                </c:pt>
                <c:pt idx="2466">
                  <c:v>42187</c:v>
                </c:pt>
                <c:pt idx="2467">
                  <c:v>42188</c:v>
                </c:pt>
                <c:pt idx="2468">
                  <c:v>42189</c:v>
                </c:pt>
                <c:pt idx="2469">
                  <c:v>42190</c:v>
                </c:pt>
                <c:pt idx="2470">
                  <c:v>42191</c:v>
                </c:pt>
                <c:pt idx="2471">
                  <c:v>42192</c:v>
                </c:pt>
                <c:pt idx="2472">
                  <c:v>42193</c:v>
                </c:pt>
                <c:pt idx="2473">
                  <c:v>42194</c:v>
                </c:pt>
                <c:pt idx="2474">
                  <c:v>42195</c:v>
                </c:pt>
                <c:pt idx="2475">
                  <c:v>42196</c:v>
                </c:pt>
                <c:pt idx="2476">
                  <c:v>42197</c:v>
                </c:pt>
                <c:pt idx="2477">
                  <c:v>42198</c:v>
                </c:pt>
                <c:pt idx="2478">
                  <c:v>42199</c:v>
                </c:pt>
                <c:pt idx="2479">
                  <c:v>42200</c:v>
                </c:pt>
                <c:pt idx="2480">
                  <c:v>42201</c:v>
                </c:pt>
                <c:pt idx="2481">
                  <c:v>42202</c:v>
                </c:pt>
                <c:pt idx="2482">
                  <c:v>42203</c:v>
                </c:pt>
                <c:pt idx="2483">
                  <c:v>42204</c:v>
                </c:pt>
                <c:pt idx="2484">
                  <c:v>42205</c:v>
                </c:pt>
                <c:pt idx="2485">
                  <c:v>42206</c:v>
                </c:pt>
                <c:pt idx="2486">
                  <c:v>42207</c:v>
                </c:pt>
                <c:pt idx="2487">
                  <c:v>42208</c:v>
                </c:pt>
                <c:pt idx="2488">
                  <c:v>42209</c:v>
                </c:pt>
                <c:pt idx="2489">
                  <c:v>42210</c:v>
                </c:pt>
                <c:pt idx="2490">
                  <c:v>42211</c:v>
                </c:pt>
                <c:pt idx="2491">
                  <c:v>42212</c:v>
                </c:pt>
                <c:pt idx="2492">
                  <c:v>42213</c:v>
                </c:pt>
                <c:pt idx="2493">
                  <c:v>42214</c:v>
                </c:pt>
                <c:pt idx="2494">
                  <c:v>42215</c:v>
                </c:pt>
                <c:pt idx="2495">
                  <c:v>42216</c:v>
                </c:pt>
                <c:pt idx="2496">
                  <c:v>42217</c:v>
                </c:pt>
                <c:pt idx="2497">
                  <c:v>42218</c:v>
                </c:pt>
                <c:pt idx="2498">
                  <c:v>42219</c:v>
                </c:pt>
                <c:pt idx="2499">
                  <c:v>42220</c:v>
                </c:pt>
                <c:pt idx="2500">
                  <c:v>42221</c:v>
                </c:pt>
                <c:pt idx="2501">
                  <c:v>42222</c:v>
                </c:pt>
                <c:pt idx="2502">
                  <c:v>42223</c:v>
                </c:pt>
                <c:pt idx="2503">
                  <c:v>42224</c:v>
                </c:pt>
                <c:pt idx="2504">
                  <c:v>42225</c:v>
                </c:pt>
                <c:pt idx="2505">
                  <c:v>42226</c:v>
                </c:pt>
                <c:pt idx="2506">
                  <c:v>42227</c:v>
                </c:pt>
                <c:pt idx="2507">
                  <c:v>42228</c:v>
                </c:pt>
                <c:pt idx="2508">
                  <c:v>42229</c:v>
                </c:pt>
                <c:pt idx="2509">
                  <c:v>42230</c:v>
                </c:pt>
                <c:pt idx="2510">
                  <c:v>42231</c:v>
                </c:pt>
                <c:pt idx="2511">
                  <c:v>42232</c:v>
                </c:pt>
                <c:pt idx="2512">
                  <c:v>42233</c:v>
                </c:pt>
                <c:pt idx="2513">
                  <c:v>42234</c:v>
                </c:pt>
                <c:pt idx="2514">
                  <c:v>42235</c:v>
                </c:pt>
                <c:pt idx="2515">
                  <c:v>42236</c:v>
                </c:pt>
                <c:pt idx="2516">
                  <c:v>42237</c:v>
                </c:pt>
                <c:pt idx="2517">
                  <c:v>42238</c:v>
                </c:pt>
                <c:pt idx="2518">
                  <c:v>42239</c:v>
                </c:pt>
                <c:pt idx="2519">
                  <c:v>42240</c:v>
                </c:pt>
                <c:pt idx="2520">
                  <c:v>42241</c:v>
                </c:pt>
                <c:pt idx="2521">
                  <c:v>42242</c:v>
                </c:pt>
                <c:pt idx="2522">
                  <c:v>42243</c:v>
                </c:pt>
                <c:pt idx="2523">
                  <c:v>42244</c:v>
                </c:pt>
                <c:pt idx="2524">
                  <c:v>42245</c:v>
                </c:pt>
                <c:pt idx="2525">
                  <c:v>42246</c:v>
                </c:pt>
                <c:pt idx="2526">
                  <c:v>42247</c:v>
                </c:pt>
                <c:pt idx="2527">
                  <c:v>42248</c:v>
                </c:pt>
                <c:pt idx="2528">
                  <c:v>42249</c:v>
                </c:pt>
                <c:pt idx="2529">
                  <c:v>42250</c:v>
                </c:pt>
                <c:pt idx="2530">
                  <c:v>42251</c:v>
                </c:pt>
                <c:pt idx="2531">
                  <c:v>42252</c:v>
                </c:pt>
                <c:pt idx="2532">
                  <c:v>42253</c:v>
                </c:pt>
                <c:pt idx="2533">
                  <c:v>42254</c:v>
                </c:pt>
                <c:pt idx="2534">
                  <c:v>42255</c:v>
                </c:pt>
                <c:pt idx="2535">
                  <c:v>42256</c:v>
                </c:pt>
                <c:pt idx="2536">
                  <c:v>42257</c:v>
                </c:pt>
                <c:pt idx="2537">
                  <c:v>42258</c:v>
                </c:pt>
                <c:pt idx="2538">
                  <c:v>42259</c:v>
                </c:pt>
                <c:pt idx="2539">
                  <c:v>42260</c:v>
                </c:pt>
                <c:pt idx="2540">
                  <c:v>42261</c:v>
                </c:pt>
                <c:pt idx="2541">
                  <c:v>42262</c:v>
                </c:pt>
                <c:pt idx="2542">
                  <c:v>42263</c:v>
                </c:pt>
                <c:pt idx="2543">
                  <c:v>42264</c:v>
                </c:pt>
                <c:pt idx="2544">
                  <c:v>42265</c:v>
                </c:pt>
                <c:pt idx="2545">
                  <c:v>42266</c:v>
                </c:pt>
                <c:pt idx="2546">
                  <c:v>42267</c:v>
                </c:pt>
                <c:pt idx="2547">
                  <c:v>42268</c:v>
                </c:pt>
                <c:pt idx="2548">
                  <c:v>42269</c:v>
                </c:pt>
                <c:pt idx="2549">
                  <c:v>42270</c:v>
                </c:pt>
                <c:pt idx="2550">
                  <c:v>42271</c:v>
                </c:pt>
                <c:pt idx="2551">
                  <c:v>42272</c:v>
                </c:pt>
                <c:pt idx="2552">
                  <c:v>42273</c:v>
                </c:pt>
                <c:pt idx="2553">
                  <c:v>42274</c:v>
                </c:pt>
                <c:pt idx="2554">
                  <c:v>42275</c:v>
                </c:pt>
                <c:pt idx="2555">
                  <c:v>42276</c:v>
                </c:pt>
                <c:pt idx="2556">
                  <c:v>42277</c:v>
                </c:pt>
                <c:pt idx="2557">
                  <c:v>42278</c:v>
                </c:pt>
                <c:pt idx="2558">
                  <c:v>42279</c:v>
                </c:pt>
                <c:pt idx="2559">
                  <c:v>42280</c:v>
                </c:pt>
                <c:pt idx="2560">
                  <c:v>42281</c:v>
                </c:pt>
                <c:pt idx="2561">
                  <c:v>42282</c:v>
                </c:pt>
                <c:pt idx="2562">
                  <c:v>42283</c:v>
                </c:pt>
                <c:pt idx="2563">
                  <c:v>42284</c:v>
                </c:pt>
                <c:pt idx="2564">
                  <c:v>42285</c:v>
                </c:pt>
                <c:pt idx="2565">
                  <c:v>42286</c:v>
                </c:pt>
                <c:pt idx="2566">
                  <c:v>42287</c:v>
                </c:pt>
                <c:pt idx="2567">
                  <c:v>42288</c:v>
                </c:pt>
                <c:pt idx="2568">
                  <c:v>42289</c:v>
                </c:pt>
                <c:pt idx="2569">
                  <c:v>42290</c:v>
                </c:pt>
                <c:pt idx="2570">
                  <c:v>42291</c:v>
                </c:pt>
                <c:pt idx="2571">
                  <c:v>42292</c:v>
                </c:pt>
                <c:pt idx="2572">
                  <c:v>42293</c:v>
                </c:pt>
                <c:pt idx="2573">
                  <c:v>42294</c:v>
                </c:pt>
                <c:pt idx="2574">
                  <c:v>42295</c:v>
                </c:pt>
                <c:pt idx="2575">
                  <c:v>42296</c:v>
                </c:pt>
                <c:pt idx="2576">
                  <c:v>42297</c:v>
                </c:pt>
                <c:pt idx="2577">
                  <c:v>42298</c:v>
                </c:pt>
                <c:pt idx="2578">
                  <c:v>42299</c:v>
                </c:pt>
                <c:pt idx="2579">
                  <c:v>42300</c:v>
                </c:pt>
                <c:pt idx="2580">
                  <c:v>42301</c:v>
                </c:pt>
                <c:pt idx="2581">
                  <c:v>42302</c:v>
                </c:pt>
                <c:pt idx="2582">
                  <c:v>42303</c:v>
                </c:pt>
                <c:pt idx="2583">
                  <c:v>42304</c:v>
                </c:pt>
                <c:pt idx="2584">
                  <c:v>42305</c:v>
                </c:pt>
                <c:pt idx="2585">
                  <c:v>42306</c:v>
                </c:pt>
                <c:pt idx="2586">
                  <c:v>42307</c:v>
                </c:pt>
                <c:pt idx="2587">
                  <c:v>42308</c:v>
                </c:pt>
                <c:pt idx="2588">
                  <c:v>42309</c:v>
                </c:pt>
                <c:pt idx="2589">
                  <c:v>42310</c:v>
                </c:pt>
                <c:pt idx="2590">
                  <c:v>42311</c:v>
                </c:pt>
                <c:pt idx="2591">
                  <c:v>42312</c:v>
                </c:pt>
                <c:pt idx="2592">
                  <c:v>42313</c:v>
                </c:pt>
                <c:pt idx="2593">
                  <c:v>42314</c:v>
                </c:pt>
                <c:pt idx="2594">
                  <c:v>42315</c:v>
                </c:pt>
                <c:pt idx="2595">
                  <c:v>42316</c:v>
                </c:pt>
                <c:pt idx="2596">
                  <c:v>42317</c:v>
                </c:pt>
                <c:pt idx="2597">
                  <c:v>42318</c:v>
                </c:pt>
                <c:pt idx="2598">
                  <c:v>42319</c:v>
                </c:pt>
                <c:pt idx="2599">
                  <c:v>42320</c:v>
                </c:pt>
                <c:pt idx="2600">
                  <c:v>42321</c:v>
                </c:pt>
                <c:pt idx="2601">
                  <c:v>42322</c:v>
                </c:pt>
                <c:pt idx="2602">
                  <c:v>42323</c:v>
                </c:pt>
                <c:pt idx="2603">
                  <c:v>42324</c:v>
                </c:pt>
                <c:pt idx="2604">
                  <c:v>42325</c:v>
                </c:pt>
                <c:pt idx="2605">
                  <c:v>42326</c:v>
                </c:pt>
                <c:pt idx="2606">
                  <c:v>42327</c:v>
                </c:pt>
                <c:pt idx="2607">
                  <c:v>42328</c:v>
                </c:pt>
                <c:pt idx="2608">
                  <c:v>42329</c:v>
                </c:pt>
                <c:pt idx="2609">
                  <c:v>42330</c:v>
                </c:pt>
                <c:pt idx="2610">
                  <c:v>42331</c:v>
                </c:pt>
                <c:pt idx="2611">
                  <c:v>42332</c:v>
                </c:pt>
                <c:pt idx="2612">
                  <c:v>42333</c:v>
                </c:pt>
                <c:pt idx="2613">
                  <c:v>42334</c:v>
                </c:pt>
                <c:pt idx="2614">
                  <c:v>42335</c:v>
                </c:pt>
                <c:pt idx="2615">
                  <c:v>42336</c:v>
                </c:pt>
                <c:pt idx="2616">
                  <c:v>42337</c:v>
                </c:pt>
                <c:pt idx="2617">
                  <c:v>42338</c:v>
                </c:pt>
                <c:pt idx="2618">
                  <c:v>42339</c:v>
                </c:pt>
                <c:pt idx="2619">
                  <c:v>42340</c:v>
                </c:pt>
                <c:pt idx="2620">
                  <c:v>42341</c:v>
                </c:pt>
                <c:pt idx="2621">
                  <c:v>42342</c:v>
                </c:pt>
                <c:pt idx="2622">
                  <c:v>42343</c:v>
                </c:pt>
                <c:pt idx="2623">
                  <c:v>42344</c:v>
                </c:pt>
                <c:pt idx="2624">
                  <c:v>42345</c:v>
                </c:pt>
                <c:pt idx="2625">
                  <c:v>42346</c:v>
                </c:pt>
                <c:pt idx="2626">
                  <c:v>42347</c:v>
                </c:pt>
                <c:pt idx="2627">
                  <c:v>42348</c:v>
                </c:pt>
                <c:pt idx="2628">
                  <c:v>42349</c:v>
                </c:pt>
                <c:pt idx="2629">
                  <c:v>42350</c:v>
                </c:pt>
                <c:pt idx="2630">
                  <c:v>42351</c:v>
                </c:pt>
                <c:pt idx="2631">
                  <c:v>42352</c:v>
                </c:pt>
                <c:pt idx="2632">
                  <c:v>42353</c:v>
                </c:pt>
                <c:pt idx="2633">
                  <c:v>42354</c:v>
                </c:pt>
                <c:pt idx="2634">
                  <c:v>42355</c:v>
                </c:pt>
                <c:pt idx="2635">
                  <c:v>42356</c:v>
                </c:pt>
                <c:pt idx="2636">
                  <c:v>42357</c:v>
                </c:pt>
                <c:pt idx="2637">
                  <c:v>42358</c:v>
                </c:pt>
                <c:pt idx="2638">
                  <c:v>42359</c:v>
                </c:pt>
                <c:pt idx="2639">
                  <c:v>42360</c:v>
                </c:pt>
                <c:pt idx="2640">
                  <c:v>42361</c:v>
                </c:pt>
                <c:pt idx="2641">
                  <c:v>42362</c:v>
                </c:pt>
                <c:pt idx="2642">
                  <c:v>42363</c:v>
                </c:pt>
                <c:pt idx="2643">
                  <c:v>42364</c:v>
                </c:pt>
                <c:pt idx="2644">
                  <c:v>42365</c:v>
                </c:pt>
                <c:pt idx="2645">
                  <c:v>42366</c:v>
                </c:pt>
                <c:pt idx="2646">
                  <c:v>42367</c:v>
                </c:pt>
                <c:pt idx="2647">
                  <c:v>42368</c:v>
                </c:pt>
                <c:pt idx="2648">
                  <c:v>42369</c:v>
                </c:pt>
                <c:pt idx="2649">
                  <c:v>42370</c:v>
                </c:pt>
                <c:pt idx="2650">
                  <c:v>42371</c:v>
                </c:pt>
                <c:pt idx="2651">
                  <c:v>42372</c:v>
                </c:pt>
                <c:pt idx="2652">
                  <c:v>42373</c:v>
                </c:pt>
                <c:pt idx="2653">
                  <c:v>42374</c:v>
                </c:pt>
                <c:pt idx="2654">
                  <c:v>42375</c:v>
                </c:pt>
                <c:pt idx="2655">
                  <c:v>42376</c:v>
                </c:pt>
                <c:pt idx="2656">
                  <c:v>42377</c:v>
                </c:pt>
                <c:pt idx="2657">
                  <c:v>42378</c:v>
                </c:pt>
                <c:pt idx="2658">
                  <c:v>42379</c:v>
                </c:pt>
                <c:pt idx="2659">
                  <c:v>42380</c:v>
                </c:pt>
                <c:pt idx="2660">
                  <c:v>42381</c:v>
                </c:pt>
                <c:pt idx="2661">
                  <c:v>42382</c:v>
                </c:pt>
                <c:pt idx="2662">
                  <c:v>42383</c:v>
                </c:pt>
                <c:pt idx="2663">
                  <c:v>42384</c:v>
                </c:pt>
                <c:pt idx="2664">
                  <c:v>42385</c:v>
                </c:pt>
                <c:pt idx="2665">
                  <c:v>42386</c:v>
                </c:pt>
                <c:pt idx="2666">
                  <c:v>42387</c:v>
                </c:pt>
                <c:pt idx="2667">
                  <c:v>42388</c:v>
                </c:pt>
                <c:pt idx="2668">
                  <c:v>42389</c:v>
                </c:pt>
                <c:pt idx="2669">
                  <c:v>42390</c:v>
                </c:pt>
                <c:pt idx="2670">
                  <c:v>42391</c:v>
                </c:pt>
                <c:pt idx="2671">
                  <c:v>42392</c:v>
                </c:pt>
                <c:pt idx="2672">
                  <c:v>42393</c:v>
                </c:pt>
                <c:pt idx="2673">
                  <c:v>42394</c:v>
                </c:pt>
                <c:pt idx="2674">
                  <c:v>42395</c:v>
                </c:pt>
                <c:pt idx="2675">
                  <c:v>42396</c:v>
                </c:pt>
                <c:pt idx="2676">
                  <c:v>42397</c:v>
                </c:pt>
                <c:pt idx="2677">
                  <c:v>42398</c:v>
                </c:pt>
                <c:pt idx="2678">
                  <c:v>42399</c:v>
                </c:pt>
                <c:pt idx="2679">
                  <c:v>42400</c:v>
                </c:pt>
                <c:pt idx="2680">
                  <c:v>42401</c:v>
                </c:pt>
                <c:pt idx="2681">
                  <c:v>42402</c:v>
                </c:pt>
                <c:pt idx="2682">
                  <c:v>42403</c:v>
                </c:pt>
                <c:pt idx="2683">
                  <c:v>42404</c:v>
                </c:pt>
                <c:pt idx="2684">
                  <c:v>42405</c:v>
                </c:pt>
                <c:pt idx="2685">
                  <c:v>42406</c:v>
                </c:pt>
                <c:pt idx="2686">
                  <c:v>42407</c:v>
                </c:pt>
                <c:pt idx="2687">
                  <c:v>42408</c:v>
                </c:pt>
                <c:pt idx="2688">
                  <c:v>42409</c:v>
                </c:pt>
                <c:pt idx="2689">
                  <c:v>42410</c:v>
                </c:pt>
                <c:pt idx="2690">
                  <c:v>42411</c:v>
                </c:pt>
                <c:pt idx="2691">
                  <c:v>42412</c:v>
                </c:pt>
                <c:pt idx="2692">
                  <c:v>42413</c:v>
                </c:pt>
                <c:pt idx="2693">
                  <c:v>42414</c:v>
                </c:pt>
                <c:pt idx="2694">
                  <c:v>42415</c:v>
                </c:pt>
                <c:pt idx="2695">
                  <c:v>42416</c:v>
                </c:pt>
                <c:pt idx="2696">
                  <c:v>42417</c:v>
                </c:pt>
                <c:pt idx="2697">
                  <c:v>42418</c:v>
                </c:pt>
                <c:pt idx="2698">
                  <c:v>42419</c:v>
                </c:pt>
                <c:pt idx="2699">
                  <c:v>42420</c:v>
                </c:pt>
                <c:pt idx="2700">
                  <c:v>42421</c:v>
                </c:pt>
                <c:pt idx="2701">
                  <c:v>42422</c:v>
                </c:pt>
                <c:pt idx="2702">
                  <c:v>42423</c:v>
                </c:pt>
                <c:pt idx="2703">
                  <c:v>42424</c:v>
                </c:pt>
                <c:pt idx="2704">
                  <c:v>42425</c:v>
                </c:pt>
                <c:pt idx="2705">
                  <c:v>42426</c:v>
                </c:pt>
                <c:pt idx="2706">
                  <c:v>42427</c:v>
                </c:pt>
                <c:pt idx="2707">
                  <c:v>42428</c:v>
                </c:pt>
                <c:pt idx="2708">
                  <c:v>42429</c:v>
                </c:pt>
                <c:pt idx="2709">
                  <c:v>42430</c:v>
                </c:pt>
                <c:pt idx="2710">
                  <c:v>42431</c:v>
                </c:pt>
                <c:pt idx="2711">
                  <c:v>42432</c:v>
                </c:pt>
                <c:pt idx="2712">
                  <c:v>42433</c:v>
                </c:pt>
                <c:pt idx="2713">
                  <c:v>42434</c:v>
                </c:pt>
                <c:pt idx="2714">
                  <c:v>42435</c:v>
                </c:pt>
                <c:pt idx="2715">
                  <c:v>42436</c:v>
                </c:pt>
                <c:pt idx="2716">
                  <c:v>42437</c:v>
                </c:pt>
                <c:pt idx="2717">
                  <c:v>42438</c:v>
                </c:pt>
                <c:pt idx="2718">
                  <c:v>42439</c:v>
                </c:pt>
                <c:pt idx="2719">
                  <c:v>42440</c:v>
                </c:pt>
                <c:pt idx="2720">
                  <c:v>42441</c:v>
                </c:pt>
                <c:pt idx="2721">
                  <c:v>42442</c:v>
                </c:pt>
                <c:pt idx="2722">
                  <c:v>42443</c:v>
                </c:pt>
                <c:pt idx="2723">
                  <c:v>42444</c:v>
                </c:pt>
                <c:pt idx="2724">
                  <c:v>42445</c:v>
                </c:pt>
                <c:pt idx="2725">
                  <c:v>42446</c:v>
                </c:pt>
                <c:pt idx="2726">
                  <c:v>42447</c:v>
                </c:pt>
                <c:pt idx="2727">
                  <c:v>42448</c:v>
                </c:pt>
                <c:pt idx="2728">
                  <c:v>42449</c:v>
                </c:pt>
                <c:pt idx="2729">
                  <c:v>42450</c:v>
                </c:pt>
                <c:pt idx="2730">
                  <c:v>42451</c:v>
                </c:pt>
                <c:pt idx="2731">
                  <c:v>42452</c:v>
                </c:pt>
                <c:pt idx="2732">
                  <c:v>42453</c:v>
                </c:pt>
                <c:pt idx="2733">
                  <c:v>42454</c:v>
                </c:pt>
                <c:pt idx="2734">
                  <c:v>42455</c:v>
                </c:pt>
                <c:pt idx="2735">
                  <c:v>42456</c:v>
                </c:pt>
                <c:pt idx="2736">
                  <c:v>42457</c:v>
                </c:pt>
                <c:pt idx="2737">
                  <c:v>42458</c:v>
                </c:pt>
                <c:pt idx="2738">
                  <c:v>42459</c:v>
                </c:pt>
                <c:pt idx="2739">
                  <c:v>42460</c:v>
                </c:pt>
                <c:pt idx="2740">
                  <c:v>42461</c:v>
                </c:pt>
                <c:pt idx="2741">
                  <c:v>42462</c:v>
                </c:pt>
                <c:pt idx="2742">
                  <c:v>42463</c:v>
                </c:pt>
                <c:pt idx="2743">
                  <c:v>42464</c:v>
                </c:pt>
                <c:pt idx="2744">
                  <c:v>42465</c:v>
                </c:pt>
                <c:pt idx="2745">
                  <c:v>42466</c:v>
                </c:pt>
                <c:pt idx="2746">
                  <c:v>42467</c:v>
                </c:pt>
                <c:pt idx="2747">
                  <c:v>42468</c:v>
                </c:pt>
                <c:pt idx="2748">
                  <c:v>42469</c:v>
                </c:pt>
                <c:pt idx="2749">
                  <c:v>42470</c:v>
                </c:pt>
                <c:pt idx="2750">
                  <c:v>42471</c:v>
                </c:pt>
                <c:pt idx="2751">
                  <c:v>42472</c:v>
                </c:pt>
                <c:pt idx="2752">
                  <c:v>42473</c:v>
                </c:pt>
                <c:pt idx="2753">
                  <c:v>42474</c:v>
                </c:pt>
                <c:pt idx="2754">
                  <c:v>42475</c:v>
                </c:pt>
                <c:pt idx="2755">
                  <c:v>42476</c:v>
                </c:pt>
                <c:pt idx="2756">
                  <c:v>42477</c:v>
                </c:pt>
                <c:pt idx="2757">
                  <c:v>42478</c:v>
                </c:pt>
                <c:pt idx="2758">
                  <c:v>42479</c:v>
                </c:pt>
                <c:pt idx="2759">
                  <c:v>42480</c:v>
                </c:pt>
                <c:pt idx="2760">
                  <c:v>42481</c:v>
                </c:pt>
                <c:pt idx="2761">
                  <c:v>42482</c:v>
                </c:pt>
                <c:pt idx="2762">
                  <c:v>42483</c:v>
                </c:pt>
                <c:pt idx="2763">
                  <c:v>42484</c:v>
                </c:pt>
                <c:pt idx="2764">
                  <c:v>42485</c:v>
                </c:pt>
                <c:pt idx="2765">
                  <c:v>42486</c:v>
                </c:pt>
                <c:pt idx="2766">
                  <c:v>42487</c:v>
                </c:pt>
                <c:pt idx="2767">
                  <c:v>42488</c:v>
                </c:pt>
                <c:pt idx="2768">
                  <c:v>42489</c:v>
                </c:pt>
                <c:pt idx="2769">
                  <c:v>42490</c:v>
                </c:pt>
                <c:pt idx="2770">
                  <c:v>42491</c:v>
                </c:pt>
                <c:pt idx="2771">
                  <c:v>42492</c:v>
                </c:pt>
                <c:pt idx="2772">
                  <c:v>42493</c:v>
                </c:pt>
                <c:pt idx="2773">
                  <c:v>42494</c:v>
                </c:pt>
                <c:pt idx="2774">
                  <c:v>42495</c:v>
                </c:pt>
                <c:pt idx="2775">
                  <c:v>42496</c:v>
                </c:pt>
                <c:pt idx="2776">
                  <c:v>42497</c:v>
                </c:pt>
                <c:pt idx="2777">
                  <c:v>42498</c:v>
                </c:pt>
                <c:pt idx="2778">
                  <c:v>42499</c:v>
                </c:pt>
                <c:pt idx="2779">
                  <c:v>42500</c:v>
                </c:pt>
                <c:pt idx="2780">
                  <c:v>42501</c:v>
                </c:pt>
                <c:pt idx="2781">
                  <c:v>42502</c:v>
                </c:pt>
                <c:pt idx="2782">
                  <c:v>42503</c:v>
                </c:pt>
                <c:pt idx="2783">
                  <c:v>42504</c:v>
                </c:pt>
                <c:pt idx="2784">
                  <c:v>42505</c:v>
                </c:pt>
                <c:pt idx="2785">
                  <c:v>42506</c:v>
                </c:pt>
                <c:pt idx="2786">
                  <c:v>42507</c:v>
                </c:pt>
                <c:pt idx="2787">
                  <c:v>42508</c:v>
                </c:pt>
                <c:pt idx="2788">
                  <c:v>42509</c:v>
                </c:pt>
                <c:pt idx="2789">
                  <c:v>42510</c:v>
                </c:pt>
                <c:pt idx="2790">
                  <c:v>42511</c:v>
                </c:pt>
                <c:pt idx="2791">
                  <c:v>42512</c:v>
                </c:pt>
                <c:pt idx="2792">
                  <c:v>42513</c:v>
                </c:pt>
                <c:pt idx="2793">
                  <c:v>42514</c:v>
                </c:pt>
                <c:pt idx="2794">
                  <c:v>42515</c:v>
                </c:pt>
                <c:pt idx="2795">
                  <c:v>42516</c:v>
                </c:pt>
                <c:pt idx="2796">
                  <c:v>42517</c:v>
                </c:pt>
                <c:pt idx="2797">
                  <c:v>42518</c:v>
                </c:pt>
                <c:pt idx="2798">
                  <c:v>42519</c:v>
                </c:pt>
                <c:pt idx="2799">
                  <c:v>42520</c:v>
                </c:pt>
                <c:pt idx="2800">
                  <c:v>42521</c:v>
                </c:pt>
                <c:pt idx="2801">
                  <c:v>42522</c:v>
                </c:pt>
                <c:pt idx="2802">
                  <c:v>42523</c:v>
                </c:pt>
                <c:pt idx="2803">
                  <c:v>42524</c:v>
                </c:pt>
                <c:pt idx="2804">
                  <c:v>42525</c:v>
                </c:pt>
                <c:pt idx="2805">
                  <c:v>42526</c:v>
                </c:pt>
                <c:pt idx="2806">
                  <c:v>42527</c:v>
                </c:pt>
                <c:pt idx="2807">
                  <c:v>42528</c:v>
                </c:pt>
                <c:pt idx="2808">
                  <c:v>42529</c:v>
                </c:pt>
                <c:pt idx="2809">
                  <c:v>42530</c:v>
                </c:pt>
                <c:pt idx="2810">
                  <c:v>42531</c:v>
                </c:pt>
                <c:pt idx="2811">
                  <c:v>42532</c:v>
                </c:pt>
                <c:pt idx="2812">
                  <c:v>42533</c:v>
                </c:pt>
                <c:pt idx="2813">
                  <c:v>42534</c:v>
                </c:pt>
                <c:pt idx="2814">
                  <c:v>42535</c:v>
                </c:pt>
                <c:pt idx="2815">
                  <c:v>42536</c:v>
                </c:pt>
                <c:pt idx="2816">
                  <c:v>42537</c:v>
                </c:pt>
                <c:pt idx="2817">
                  <c:v>42538</c:v>
                </c:pt>
                <c:pt idx="2818">
                  <c:v>42539</c:v>
                </c:pt>
                <c:pt idx="2819">
                  <c:v>42540</c:v>
                </c:pt>
                <c:pt idx="2820">
                  <c:v>42541</c:v>
                </c:pt>
                <c:pt idx="2821">
                  <c:v>42542</c:v>
                </c:pt>
                <c:pt idx="2822">
                  <c:v>42543</c:v>
                </c:pt>
                <c:pt idx="2823">
                  <c:v>42544</c:v>
                </c:pt>
                <c:pt idx="2824">
                  <c:v>42545</c:v>
                </c:pt>
                <c:pt idx="2825">
                  <c:v>42546</c:v>
                </c:pt>
                <c:pt idx="2826">
                  <c:v>42547</c:v>
                </c:pt>
                <c:pt idx="2827">
                  <c:v>42548</c:v>
                </c:pt>
                <c:pt idx="2828">
                  <c:v>42549</c:v>
                </c:pt>
                <c:pt idx="2829">
                  <c:v>42550</c:v>
                </c:pt>
                <c:pt idx="2830">
                  <c:v>42551</c:v>
                </c:pt>
                <c:pt idx="2831">
                  <c:v>42552</c:v>
                </c:pt>
                <c:pt idx="2832">
                  <c:v>42553</c:v>
                </c:pt>
                <c:pt idx="2833">
                  <c:v>42554</c:v>
                </c:pt>
                <c:pt idx="2834">
                  <c:v>42555</c:v>
                </c:pt>
                <c:pt idx="2835">
                  <c:v>42556</c:v>
                </c:pt>
                <c:pt idx="2836">
                  <c:v>42557</c:v>
                </c:pt>
                <c:pt idx="2837">
                  <c:v>42558</c:v>
                </c:pt>
                <c:pt idx="2838">
                  <c:v>42559</c:v>
                </c:pt>
                <c:pt idx="2839">
                  <c:v>42560</c:v>
                </c:pt>
                <c:pt idx="2840">
                  <c:v>42561</c:v>
                </c:pt>
                <c:pt idx="2841">
                  <c:v>42562</c:v>
                </c:pt>
                <c:pt idx="2842">
                  <c:v>42563</c:v>
                </c:pt>
                <c:pt idx="2843">
                  <c:v>42564</c:v>
                </c:pt>
                <c:pt idx="2844">
                  <c:v>42565</c:v>
                </c:pt>
                <c:pt idx="2845">
                  <c:v>42566</c:v>
                </c:pt>
                <c:pt idx="2846">
                  <c:v>42567</c:v>
                </c:pt>
                <c:pt idx="2847">
                  <c:v>42568</c:v>
                </c:pt>
                <c:pt idx="2848">
                  <c:v>42569</c:v>
                </c:pt>
                <c:pt idx="2849">
                  <c:v>42570</c:v>
                </c:pt>
                <c:pt idx="2850">
                  <c:v>42571</c:v>
                </c:pt>
                <c:pt idx="2851">
                  <c:v>42572</c:v>
                </c:pt>
                <c:pt idx="2852">
                  <c:v>42573</c:v>
                </c:pt>
                <c:pt idx="2853">
                  <c:v>42574</c:v>
                </c:pt>
                <c:pt idx="2854">
                  <c:v>42575</c:v>
                </c:pt>
                <c:pt idx="2855">
                  <c:v>42576</c:v>
                </c:pt>
                <c:pt idx="2856">
                  <c:v>42577</c:v>
                </c:pt>
                <c:pt idx="2857">
                  <c:v>42578</c:v>
                </c:pt>
                <c:pt idx="2858">
                  <c:v>42579</c:v>
                </c:pt>
                <c:pt idx="2859">
                  <c:v>42580</c:v>
                </c:pt>
                <c:pt idx="2860">
                  <c:v>42581</c:v>
                </c:pt>
                <c:pt idx="2861">
                  <c:v>42582</c:v>
                </c:pt>
                <c:pt idx="2862">
                  <c:v>42583</c:v>
                </c:pt>
                <c:pt idx="2863">
                  <c:v>42584</c:v>
                </c:pt>
                <c:pt idx="2864">
                  <c:v>42585</c:v>
                </c:pt>
                <c:pt idx="2865">
                  <c:v>42586</c:v>
                </c:pt>
                <c:pt idx="2866">
                  <c:v>42587</c:v>
                </c:pt>
                <c:pt idx="2867">
                  <c:v>42588</c:v>
                </c:pt>
                <c:pt idx="2868">
                  <c:v>42589</c:v>
                </c:pt>
                <c:pt idx="2869">
                  <c:v>42590</c:v>
                </c:pt>
                <c:pt idx="2870">
                  <c:v>42591</c:v>
                </c:pt>
                <c:pt idx="2871">
                  <c:v>42592</c:v>
                </c:pt>
                <c:pt idx="2872">
                  <c:v>42593</c:v>
                </c:pt>
                <c:pt idx="2873">
                  <c:v>42594</c:v>
                </c:pt>
                <c:pt idx="2874">
                  <c:v>42595</c:v>
                </c:pt>
                <c:pt idx="2875">
                  <c:v>42596</c:v>
                </c:pt>
                <c:pt idx="2876">
                  <c:v>42597</c:v>
                </c:pt>
                <c:pt idx="2877">
                  <c:v>42598</c:v>
                </c:pt>
                <c:pt idx="2878">
                  <c:v>42599</c:v>
                </c:pt>
                <c:pt idx="2879">
                  <c:v>42600</c:v>
                </c:pt>
                <c:pt idx="2880">
                  <c:v>42601</c:v>
                </c:pt>
                <c:pt idx="2881">
                  <c:v>42602</c:v>
                </c:pt>
                <c:pt idx="2882">
                  <c:v>42603</c:v>
                </c:pt>
                <c:pt idx="2883">
                  <c:v>42604</c:v>
                </c:pt>
                <c:pt idx="2884">
                  <c:v>42605</c:v>
                </c:pt>
                <c:pt idx="2885">
                  <c:v>42606</c:v>
                </c:pt>
                <c:pt idx="2886">
                  <c:v>42607</c:v>
                </c:pt>
                <c:pt idx="2887">
                  <c:v>42608</c:v>
                </c:pt>
                <c:pt idx="2888">
                  <c:v>42609</c:v>
                </c:pt>
                <c:pt idx="2889">
                  <c:v>42610</c:v>
                </c:pt>
                <c:pt idx="2890">
                  <c:v>42611</c:v>
                </c:pt>
                <c:pt idx="2891">
                  <c:v>42612</c:v>
                </c:pt>
                <c:pt idx="2892">
                  <c:v>42613</c:v>
                </c:pt>
                <c:pt idx="2893">
                  <c:v>42614</c:v>
                </c:pt>
                <c:pt idx="2894">
                  <c:v>42615</c:v>
                </c:pt>
                <c:pt idx="2895">
                  <c:v>42616</c:v>
                </c:pt>
                <c:pt idx="2896">
                  <c:v>42617</c:v>
                </c:pt>
                <c:pt idx="2897">
                  <c:v>42618</c:v>
                </c:pt>
                <c:pt idx="2898">
                  <c:v>42619</c:v>
                </c:pt>
                <c:pt idx="2899">
                  <c:v>42620</c:v>
                </c:pt>
                <c:pt idx="2900">
                  <c:v>42621</c:v>
                </c:pt>
                <c:pt idx="2901">
                  <c:v>42622</c:v>
                </c:pt>
                <c:pt idx="2902">
                  <c:v>42623</c:v>
                </c:pt>
                <c:pt idx="2903">
                  <c:v>42624</c:v>
                </c:pt>
                <c:pt idx="2904">
                  <c:v>42625</c:v>
                </c:pt>
                <c:pt idx="2905">
                  <c:v>42626</c:v>
                </c:pt>
                <c:pt idx="2906">
                  <c:v>42627</c:v>
                </c:pt>
                <c:pt idx="2907">
                  <c:v>42628</c:v>
                </c:pt>
                <c:pt idx="2908">
                  <c:v>42629</c:v>
                </c:pt>
                <c:pt idx="2909">
                  <c:v>42630</c:v>
                </c:pt>
                <c:pt idx="2910">
                  <c:v>42631</c:v>
                </c:pt>
                <c:pt idx="2911">
                  <c:v>42632</c:v>
                </c:pt>
                <c:pt idx="2912">
                  <c:v>42633</c:v>
                </c:pt>
                <c:pt idx="2913">
                  <c:v>42634</c:v>
                </c:pt>
                <c:pt idx="2914">
                  <c:v>42635</c:v>
                </c:pt>
                <c:pt idx="2915">
                  <c:v>42636</c:v>
                </c:pt>
                <c:pt idx="2916">
                  <c:v>42637</c:v>
                </c:pt>
                <c:pt idx="2917">
                  <c:v>42638</c:v>
                </c:pt>
                <c:pt idx="2918">
                  <c:v>42639</c:v>
                </c:pt>
                <c:pt idx="2919">
                  <c:v>42640</c:v>
                </c:pt>
                <c:pt idx="2920">
                  <c:v>42641</c:v>
                </c:pt>
                <c:pt idx="2921">
                  <c:v>42642</c:v>
                </c:pt>
                <c:pt idx="2922">
                  <c:v>42643</c:v>
                </c:pt>
                <c:pt idx="2923">
                  <c:v>42644</c:v>
                </c:pt>
                <c:pt idx="2924">
                  <c:v>42645</c:v>
                </c:pt>
                <c:pt idx="2925">
                  <c:v>42646</c:v>
                </c:pt>
                <c:pt idx="2926">
                  <c:v>42647</c:v>
                </c:pt>
                <c:pt idx="2927">
                  <c:v>42648</c:v>
                </c:pt>
                <c:pt idx="2928">
                  <c:v>42649</c:v>
                </c:pt>
                <c:pt idx="2929">
                  <c:v>42650</c:v>
                </c:pt>
                <c:pt idx="2930">
                  <c:v>42651</c:v>
                </c:pt>
                <c:pt idx="2931">
                  <c:v>42652</c:v>
                </c:pt>
                <c:pt idx="2932">
                  <c:v>42653</c:v>
                </c:pt>
                <c:pt idx="2933">
                  <c:v>42654</c:v>
                </c:pt>
                <c:pt idx="2934">
                  <c:v>42655</c:v>
                </c:pt>
                <c:pt idx="2935">
                  <c:v>42656</c:v>
                </c:pt>
                <c:pt idx="2936">
                  <c:v>42657</c:v>
                </c:pt>
                <c:pt idx="2937">
                  <c:v>42658</c:v>
                </c:pt>
                <c:pt idx="2938">
                  <c:v>42659</c:v>
                </c:pt>
                <c:pt idx="2939">
                  <c:v>42660</c:v>
                </c:pt>
                <c:pt idx="2940">
                  <c:v>42661</c:v>
                </c:pt>
                <c:pt idx="2941">
                  <c:v>42662</c:v>
                </c:pt>
                <c:pt idx="2942">
                  <c:v>42663</c:v>
                </c:pt>
                <c:pt idx="2943">
                  <c:v>42664</c:v>
                </c:pt>
                <c:pt idx="2944">
                  <c:v>42665</c:v>
                </c:pt>
                <c:pt idx="2945">
                  <c:v>42666</c:v>
                </c:pt>
                <c:pt idx="2946">
                  <c:v>42667</c:v>
                </c:pt>
                <c:pt idx="2947">
                  <c:v>42668</c:v>
                </c:pt>
                <c:pt idx="2948">
                  <c:v>42669</c:v>
                </c:pt>
                <c:pt idx="2949">
                  <c:v>42670</c:v>
                </c:pt>
                <c:pt idx="2950">
                  <c:v>42671</c:v>
                </c:pt>
                <c:pt idx="2951">
                  <c:v>42672</c:v>
                </c:pt>
                <c:pt idx="2952">
                  <c:v>42673</c:v>
                </c:pt>
                <c:pt idx="2953">
                  <c:v>42674</c:v>
                </c:pt>
                <c:pt idx="2954">
                  <c:v>42675</c:v>
                </c:pt>
                <c:pt idx="2955">
                  <c:v>42676</c:v>
                </c:pt>
                <c:pt idx="2956">
                  <c:v>42677</c:v>
                </c:pt>
                <c:pt idx="2957">
                  <c:v>42678</c:v>
                </c:pt>
                <c:pt idx="2958">
                  <c:v>42679</c:v>
                </c:pt>
                <c:pt idx="2959">
                  <c:v>42680</c:v>
                </c:pt>
                <c:pt idx="2960">
                  <c:v>42681</c:v>
                </c:pt>
                <c:pt idx="2961">
                  <c:v>42682</c:v>
                </c:pt>
                <c:pt idx="2962">
                  <c:v>42683</c:v>
                </c:pt>
                <c:pt idx="2963">
                  <c:v>42684</c:v>
                </c:pt>
                <c:pt idx="2964">
                  <c:v>42685</c:v>
                </c:pt>
                <c:pt idx="2965">
                  <c:v>42686</c:v>
                </c:pt>
                <c:pt idx="2966">
                  <c:v>42687</c:v>
                </c:pt>
                <c:pt idx="2967">
                  <c:v>42688</c:v>
                </c:pt>
                <c:pt idx="2968">
                  <c:v>42689</c:v>
                </c:pt>
                <c:pt idx="2969">
                  <c:v>42690</c:v>
                </c:pt>
                <c:pt idx="2970">
                  <c:v>42691</c:v>
                </c:pt>
                <c:pt idx="2971">
                  <c:v>42692</c:v>
                </c:pt>
                <c:pt idx="2972">
                  <c:v>42693</c:v>
                </c:pt>
                <c:pt idx="2973">
                  <c:v>42694</c:v>
                </c:pt>
                <c:pt idx="2974">
                  <c:v>42695</c:v>
                </c:pt>
                <c:pt idx="2975">
                  <c:v>42696</c:v>
                </c:pt>
                <c:pt idx="2976">
                  <c:v>42697</c:v>
                </c:pt>
                <c:pt idx="2977">
                  <c:v>42698</c:v>
                </c:pt>
                <c:pt idx="2978">
                  <c:v>42699</c:v>
                </c:pt>
                <c:pt idx="2979">
                  <c:v>42700</c:v>
                </c:pt>
                <c:pt idx="2980">
                  <c:v>42701</c:v>
                </c:pt>
                <c:pt idx="2981">
                  <c:v>42702</c:v>
                </c:pt>
                <c:pt idx="2982">
                  <c:v>42703</c:v>
                </c:pt>
                <c:pt idx="2983">
                  <c:v>42704</c:v>
                </c:pt>
                <c:pt idx="2984">
                  <c:v>42705</c:v>
                </c:pt>
                <c:pt idx="2985">
                  <c:v>42706</c:v>
                </c:pt>
                <c:pt idx="2986">
                  <c:v>42707</c:v>
                </c:pt>
                <c:pt idx="2987">
                  <c:v>42708</c:v>
                </c:pt>
                <c:pt idx="2988">
                  <c:v>42709</c:v>
                </c:pt>
                <c:pt idx="2989">
                  <c:v>42710</c:v>
                </c:pt>
                <c:pt idx="2990">
                  <c:v>42711</c:v>
                </c:pt>
                <c:pt idx="2991">
                  <c:v>42712</c:v>
                </c:pt>
                <c:pt idx="2992">
                  <c:v>42713</c:v>
                </c:pt>
                <c:pt idx="2993">
                  <c:v>42714</c:v>
                </c:pt>
                <c:pt idx="2994">
                  <c:v>42715</c:v>
                </c:pt>
                <c:pt idx="2995">
                  <c:v>42716</c:v>
                </c:pt>
                <c:pt idx="2996">
                  <c:v>42717</c:v>
                </c:pt>
                <c:pt idx="2997">
                  <c:v>42718</c:v>
                </c:pt>
                <c:pt idx="2998">
                  <c:v>42719</c:v>
                </c:pt>
                <c:pt idx="2999">
                  <c:v>42720</c:v>
                </c:pt>
                <c:pt idx="3000">
                  <c:v>42721</c:v>
                </c:pt>
                <c:pt idx="3001">
                  <c:v>42722</c:v>
                </c:pt>
                <c:pt idx="3002">
                  <c:v>42723</c:v>
                </c:pt>
                <c:pt idx="3003">
                  <c:v>42724</c:v>
                </c:pt>
                <c:pt idx="3004">
                  <c:v>42725</c:v>
                </c:pt>
                <c:pt idx="3005">
                  <c:v>42726</c:v>
                </c:pt>
                <c:pt idx="3006">
                  <c:v>42727</c:v>
                </c:pt>
                <c:pt idx="3007">
                  <c:v>42728</c:v>
                </c:pt>
                <c:pt idx="3008">
                  <c:v>42729</c:v>
                </c:pt>
                <c:pt idx="3009">
                  <c:v>42730</c:v>
                </c:pt>
                <c:pt idx="3010">
                  <c:v>42731</c:v>
                </c:pt>
                <c:pt idx="3011">
                  <c:v>42732</c:v>
                </c:pt>
                <c:pt idx="3012">
                  <c:v>42733</c:v>
                </c:pt>
                <c:pt idx="3013">
                  <c:v>42734</c:v>
                </c:pt>
                <c:pt idx="3014">
                  <c:v>42735</c:v>
                </c:pt>
                <c:pt idx="3015">
                  <c:v>42736</c:v>
                </c:pt>
                <c:pt idx="3016">
                  <c:v>42737</c:v>
                </c:pt>
                <c:pt idx="3017">
                  <c:v>42738</c:v>
                </c:pt>
                <c:pt idx="3018">
                  <c:v>42739</c:v>
                </c:pt>
                <c:pt idx="3019">
                  <c:v>42740</c:v>
                </c:pt>
                <c:pt idx="3020">
                  <c:v>42741</c:v>
                </c:pt>
                <c:pt idx="3021">
                  <c:v>42742</c:v>
                </c:pt>
                <c:pt idx="3022">
                  <c:v>42743</c:v>
                </c:pt>
                <c:pt idx="3023">
                  <c:v>42744</c:v>
                </c:pt>
                <c:pt idx="3024">
                  <c:v>42745</c:v>
                </c:pt>
                <c:pt idx="3025">
                  <c:v>42746</c:v>
                </c:pt>
                <c:pt idx="3026">
                  <c:v>42747</c:v>
                </c:pt>
                <c:pt idx="3027">
                  <c:v>42748</c:v>
                </c:pt>
                <c:pt idx="3028">
                  <c:v>42749</c:v>
                </c:pt>
                <c:pt idx="3029">
                  <c:v>42750</c:v>
                </c:pt>
                <c:pt idx="3030">
                  <c:v>42751</c:v>
                </c:pt>
                <c:pt idx="3031">
                  <c:v>42752</c:v>
                </c:pt>
                <c:pt idx="3032">
                  <c:v>42753</c:v>
                </c:pt>
                <c:pt idx="3033">
                  <c:v>42754</c:v>
                </c:pt>
                <c:pt idx="3034">
                  <c:v>42755</c:v>
                </c:pt>
                <c:pt idx="3035">
                  <c:v>42756</c:v>
                </c:pt>
                <c:pt idx="3036">
                  <c:v>42757</c:v>
                </c:pt>
                <c:pt idx="3037">
                  <c:v>42758</c:v>
                </c:pt>
                <c:pt idx="3038">
                  <c:v>42759</c:v>
                </c:pt>
                <c:pt idx="3039">
                  <c:v>42760</c:v>
                </c:pt>
                <c:pt idx="3040">
                  <c:v>42761</c:v>
                </c:pt>
                <c:pt idx="3041">
                  <c:v>42762</c:v>
                </c:pt>
                <c:pt idx="3042">
                  <c:v>42763</c:v>
                </c:pt>
                <c:pt idx="3043">
                  <c:v>42764</c:v>
                </c:pt>
                <c:pt idx="3044">
                  <c:v>42765</c:v>
                </c:pt>
                <c:pt idx="3045">
                  <c:v>42766</c:v>
                </c:pt>
                <c:pt idx="3046">
                  <c:v>42767</c:v>
                </c:pt>
                <c:pt idx="3047">
                  <c:v>42768</c:v>
                </c:pt>
                <c:pt idx="3048">
                  <c:v>42769</c:v>
                </c:pt>
                <c:pt idx="3049">
                  <c:v>42770</c:v>
                </c:pt>
                <c:pt idx="3050">
                  <c:v>42771</c:v>
                </c:pt>
                <c:pt idx="3051">
                  <c:v>42772</c:v>
                </c:pt>
                <c:pt idx="3052">
                  <c:v>42773</c:v>
                </c:pt>
                <c:pt idx="3053">
                  <c:v>42774</c:v>
                </c:pt>
                <c:pt idx="3054">
                  <c:v>42775</c:v>
                </c:pt>
                <c:pt idx="3055">
                  <c:v>42776</c:v>
                </c:pt>
                <c:pt idx="3056">
                  <c:v>42777</c:v>
                </c:pt>
                <c:pt idx="3057">
                  <c:v>42778</c:v>
                </c:pt>
                <c:pt idx="3058">
                  <c:v>42779</c:v>
                </c:pt>
                <c:pt idx="3059">
                  <c:v>42780</c:v>
                </c:pt>
                <c:pt idx="3060">
                  <c:v>42781</c:v>
                </c:pt>
                <c:pt idx="3061">
                  <c:v>42782</c:v>
                </c:pt>
                <c:pt idx="3062">
                  <c:v>42783</c:v>
                </c:pt>
                <c:pt idx="3063">
                  <c:v>42784</c:v>
                </c:pt>
                <c:pt idx="3064">
                  <c:v>42785</c:v>
                </c:pt>
                <c:pt idx="3065">
                  <c:v>42786</c:v>
                </c:pt>
                <c:pt idx="3066">
                  <c:v>42787</c:v>
                </c:pt>
                <c:pt idx="3067">
                  <c:v>42788</c:v>
                </c:pt>
                <c:pt idx="3068">
                  <c:v>42789</c:v>
                </c:pt>
                <c:pt idx="3069">
                  <c:v>42790</c:v>
                </c:pt>
                <c:pt idx="3070">
                  <c:v>42791</c:v>
                </c:pt>
                <c:pt idx="3071">
                  <c:v>42792</c:v>
                </c:pt>
                <c:pt idx="3072">
                  <c:v>42793</c:v>
                </c:pt>
                <c:pt idx="3073">
                  <c:v>42794</c:v>
                </c:pt>
                <c:pt idx="3074">
                  <c:v>42795</c:v>
                </c:pt>
                <c:pt idx="3075">
                  <c:v>42796</c:v>
                </c:pt>
                <c:pt idx="3076">
                  <c:v>42797</c:v>
                </c:pt>
                <c:pt idx="3077">
                  <c:v>42798</c:v>
                </c:pt>
                <c:pt idx="3078">
                  <c:v>42799</c:v>
                </c:pt>
                <c:pt idx="3079">
                  <c:v>42800</c:v>
                </c:pt>
                <c:pt idx="3080">
                  <c:v>42801</c:v>
                </c:pt>
                <c:pt idx="3081">
                  <c:v>42802</c:v>
                </c:pt>
                <c:pt idx="3082">
                  <c:v>42803</c:v>
                </c:pt>
                <c:pt idx="3083">
                  <c:v>42804</c:v>
                </c:pt>
                <c:pt idx="3084">
                  <c:v>42805</c:v>
                </c:pt>
                <c:pt idx="3085">
                  <c:v>42806</c:v>
                </c:pt>
                <c:pt idx="3086">
                  <c:v>42807</c:v>
                </c:pt>
                <c:pt idx="3087">
                  <c:v>42808</c:v>
                </c:pt>
                <c:pt idx="3088">
                  <c:v>42809</c:v>
                </c:pt>
                <c:pt idx="3089">
                  <c:v>42810</c:v>
                </c:pt>
                <c:pt idx="3090">
                  <c:v>42811</c:v>
                </c:pt>
                <c:pt idx="3091">
                  <c:v>42812</c:v>
                </c:pt>
                <c:pt idx="3092">
                  <c:v>42813</c:v>
                </c:pt>
                <c:pt idx="3093">
                  <c:v>42814</c:v>
                </c:pt>
                <c:pt idx="3094">
                  <c:v>42815</c:v>
                </c:pt>
                <c:pt idx="3095">
                  <c:v>42816</c:v>
                </c:pt>
                <c:pt idx="3096">
                  <c:v>42817</c:v>
                </c:pt>
                <c:pt idx="3097">
                  <c:v>42818</c:v>
                </c:pt>
                <c:pt idx="3098">
                  <c:v>42819</c:v>
                </c:pt>
                <c:pt idx="3099">
                  <c:v>42820</c:v>
                </c:pt>
                <c:pt idx="3100">
                  <c:v>42821</c:v>
                </c:pt>
                <c:pt idx="3101">
                  <c:v>42822</c:v>
                </c:pt>
                <c:pt idx="3102">
                  <c:v>42823</c:v>
                </c:pt>
                <c:pt idx="3103">
                  <c:v>42824</c:v>
                </c:pt>
                <c:pt idx="3104">
                  <c:v>42825</c:v>
                </c:pt>
                <c:pt idx="3105">
                  <c:v>42826</c:v>
                </c:pt>
                <c:pt idx="3106">
                  <c:v>42827</c:v>
                </c:pt>
                <c:pt idx="3107">
                  <c:v>42828</c:v>
                </c:pt>
                <c:pt idx="3108">
                  <c:v>42829</c:v>
                </c:pt>
                <c:pt idx="3109">
                  <c:v>42830</c:v>
                </c:pt>
                <c:pt idx="3110">
                  <c:v>42831</c:v>
                </c:pt>
                <c:pt idx="3111">
                  <c:v>42832</c:v>
                </c:pt>
                <c:pt idx="3112">
                  <c:v>42833</c:v>
                </c:pt>
                <c:pt idx="3113">
                  <c:v>42834</c:v>
                </c:pt>
                <c:pt idx="3114">
                  <c:v>42835</c:v>
                </c:pt>
                <c:pt idx="3115">
                  <c:v>42836</c:v>
                </c:pt>
                <c:pt idx="3116">
                  <c:v>42837</c:v>
                </c:pt>
                <c:pt idx="3117">
                  <c:v>42838</c:v>
                </c:pt>
                <c:pt idx="3118">
                  <c:v>42839</c:v>
                </c:pt>
                <c:pt idx="3119">
                  <c:v>42840</c:v>
                </c:pt>
                <c:pt idx="3120">
                  <c:v>42841</c:v>
                </c:pt>
                <c:pt idx="3121">
                  <c:v>42842</c:v>
                </c:pt>
                <c:pt idx="3122">
                  <c:v>42843</c:v>
                </c:pt>
                <c:pt idx="3123">
                  <c:v>42844</c:v>
                </c:pt>
                <c:pt idx="3124">
                  <c:v>42845</c:v>
                </c:pt>
                <c:pt idx="3125">
                  <c:v>42846</c:v>
                </c:pt>
                <c:pt idx="3126">
                  <c:v>42847</c:v>
                </c:pt>
                <c:pt idx="3127">
                  <c:v>42848</c:v>
                </c:pt>
                <c:pt idx="3128">
                  <c:v>42849</c:v>
                </c:pt>
                <c:pt idx="3129">
                  <c:v>42850</c:v>
                </c:pt>
                <c:pt idx="3130">
                  <c:v>42851</c:v>
                </c:pt>
                <c:pt idx="3131">
                  <c:v>42852</c:v>
                </c:pt>
                <c:pt idx="3132">
                  <c:v>42853</c:v>
                </c:pt>
                <c:pt idx="3133">
                  <c:v>42854</c:v>
                </c:pt>
                <c:pt idx="3134">
                  <c:v>42855</c:v>
                </c:pt>
                <c:pt idx="3135">
                  <c:v>42856</c:v>
                </c:pt>
                <c:pt idx="3136">
                  <c:v>42857</c:v>
                </c:pt>
                <c:pt idx="3137">
                  <c:v>42858</c:v>
                </c:pt>
                <c:pt idx="3138">
                  <c:v>42859</c:v>
                </c:pt>
                <c:pt idx="3139">
                  <c:v>42860</c:v>
                </c:pt>
                <c:pt idx="3140">
                  <c:v>42861</c:v>
                </c:pt>
                <c:pt idx="3141">
                  <c:v>42862</c:v>
                </c:pt>
                <c:pt idx="3142">
                  <c:v>42863</c:v>
                </c:pt>
                <c:pt idx="3143">
                  <c:v>42864</c:v>
                </c:pt>
                <c:pt idx="3144">
                  <c:v>42865</c:v>
                </c:pt>
                <c:pt idx="3145">
                  <c:v>42866</c:v>
                </c:pt>
                <c:pt idx="3146">
                  <c:v>42867</c:v>
                </c:pt>
                <c:pt idx="3147">
                  <c:v>42868</c:v>
                </c:pt>
                <c:pt idx="3148">
                  <c:v>42869</c:v>
                </c:pt>
                <c:pt idx="3149">
                  <c:v>42870</c:v>
                </c:pt>
                <c:pt idx="3150">
                  <c:v>42871</c:v>
                </c:pt>
                <c:pt idx="3151">
                  <c:v>42872</c:v>
                </c:pt>
                <c:pt idx="3152">
                  <c:v>42873</c:v>
                </c:pt>
                <c:pt idx="3153">
                  <c:v>42874</c:v>
                </c:pt>
                <c:pt idx="3154">
                  <c:v>42875</c:v>
                </c:pt>
                <c:pt idx="3155">
                  <c:v>42876</c:v>
                </c:pt>
                <c:pt idx="3156">
                  <c:v>42877</c:v>
                </c:pt>
                <c:pt idx="3157">
                  <c:v>42878</c:v>
                </c:pt>
                <c:pt idx="3158">
                  <c:v>42879</c:v>
                </c:pt>
                <c:pt idx="3159">
                  <c:v>42880</c:v>
                </c:pt>
                <c:pt idx="3160">
                  <c:v>42881</c:v>
                </c:pt>
                <c:pt idx="3161">
                  <c:v>42882</c:v>
                </c:pt>
                <c:pt idx="3162">
                  <c:v>42883</c:v>
                </c:pt>
                <c:pt idx="3163">
                  <c:v>42884</c:v>
                </c:pt>
                <c:pt idx="3164">
                  <c:v>42885</c:v>
                </c:pt>
                <c:pt idx="3165">
                  <c:v>42886</c:v>
                </c:pt>
                <c:pt idx="3166">
                  <c:v>42887</c:v>
                </c:pt>
                <c:pt idx="3167">
                  <c:v>42888</c:v>
                </c:pt>
                <c:pt idx="3168">
                  <c:v>42889</c:v>
                </c:pt>
                <c:pt idx="3169">
                  <c:v>42890</c:v>
                </c:pt>
                <c:pt idx="3170">
                  <c:v>42891</c:v>
                </c:pt>
                <c:pt idx="3171">
                  <c:v>42892</c:v>
                </c:pt>
                <c:pt idx="3172">
                  <c:v>42893</c:v>
                </c:pt>
                <c:pt idx="3173">
                  <c:v>42894</c:v>
                </c:pt>
                <c:pt idx="3174">
                  <c:v>42895</c:v>
                </c:pt>
                <c:pt idx="3175">
                  <c:v>42896</c:v>
                </c:pt>
                <c:pt idx="3176">
                  <c:v>42897</c:v>
                </c:pt>
                <c:pt idx="3177">
                  <c:v>42898</c:v>
                </c:pt>
                <c:pt idx="3178">
                  <c:v>42899</c:v>
                </c:pt>
                <c:pt idx="3179">
                  <c:v>42900</c:v>
                </c:pt>
                <c:pt idx="3180">
                  <c:v>42901</c:v>
                </c:pt>
                <c:pt idx="3181">
                  <c:v>42902</c:v>
                </c:pt>
                <c:pt idx="3182">
                  <c:v>42903</c:v>
                </c:pt>
                <c:pt idx="3183">
                  <c:v>42904</c:v>
                </c:pt>
                <c:pt idx="3184">
                  <c:v>42905</c:v>
                </c:pt>
                <c:pt idx="3185">
                  <c:v>42906</c:v>
                </c:pt>
                <c:pt idx="3186">
                  <c:v>42907</c:v>
                </c:pt>
                <c:pt idx="3187">
                  <c:v>42908</c:v>
                </c:pt>
                <c:pt idx="3188">
                  <c:v>42909</c:v>
                </c:pt>
                <c:pt idx="3189">
                  <c:v>42910</c:v>
                </c:pt>
                <c:pt idx="3190">
                  <c:v>42911</c:v>
                </c:pt>
                <c:pt idx="3191">
                  <c:v>42912</c:v>
                </c:pt>
                <c:pt idx="3192">
                  <c:v>42913</c:v>
                </c:pt>
                <c:pt idx="3193">
                  <c:v>42914</c:v>
                </c:pt>
                <c:pt idx="3194">
                  <c:v>42915</c:v>
                </c:pt>
                <c:pt idx="3195">
                  <c:v>42916</c:v>
                </c:pt>
                <c:pt idx="3196">
                  <c:v>42917</c:v>
                </c:pt>
                <c:pt idx="3197">
                  <c:v>42918</c:v>
                </c:pt>
                <c:pt idx="3198">
                  <c:v>42919</c:v>
                </c:pt>
                <c:pt idx="3199">
                  <c:v>42920</c:v>
                </c:pt>
                <c:pt idx="3200">
                  <c:v>42921</c:v>
                </c:pt>
                <c:pt idx="3201">
                  <c:v>42922</c:v>
                </c:pt>
                <c:pt idx="3202">
                  <c:v>42923</c:v>
                </c:pt>
                <c:pt idx="3203">
                  <c:v>42924</c:v>
                </c:pt>
                <c:pt idx="3204">
                  <c:v>42925</c:v>
                </c:pt>
                <c:pt idx="3205">
                  <c:v>42926</c:v>
                </c:pt>
                <c:pt idx="3206">
                  <c:v>42927</c:v>
                </c:pt>
                <c:pt idx="3207">
                  <c:v>42928</c:v>
                </c:pt>
                <c:pt idx="3208">
                  <c:v>42929</c:v>
                </c:pt>
                <c:pt idx="3209">
                  <c:v>42930</c:v>
                </c:pt>
                <c:pt idx="3210">
                  <c:v>42931</c:v>
                </c:pt>
                <c:pt idx="3211">
                  <c:v>42932</c:v>
                </c:pt>
                <c:pt idx="3212">
                  <c:v>42933</c:v>
                </c:pt>
                <c:pt idx="3213">
                  <c:v>42934</c:v>
                </c:pt>
                <c:pt idx="3214">
                  <c:v>42935</c:v>
                </c:pt>
                <c:pt idx="3215">
                  <c:v>42936</c:v>
                </c:pt>
                <c:pt idx="3216">
                  <c:v>42937</c:v>
                </c:pt>
                <c:pt idx="3217">
                  <c:v>42938</c:v>
                </c:pt>
                <c:pt idx="3218">
                  <c:v>42939</c:v>
                </c:pt>
                <c:pt idx="3219">
                  <c:v>42940</c:v>
                </c:pt>
                <c:pt idx="3220">
                  <c:v>42941</c:v>
                </c:pt>
                <c:pt idx="3221">
                  <c:v>42942</c:v>
                </c:pt>
                <c:pt idx="3222">
                  <c:v>42943</c:v>
                </c:pt>
                <c:pt idx="3223">
                  <c:v>42944</c:v>
                </c:pt>
                <c:pt idx="3224">
                  <c:v>42945</c:v>
                </c:pt>
                <c:pt idx="3225">
                  <c:v>42946</c:v>
                </c:pt>
                <c:pt idx="3226">
                  <c:v>42947</c:v>
                </c:pt>
                <c:pt idx="3227">
                  <c:v>42948</c:v>
                </c:pt>
                <c:pt idx="3228">
                  <c:v>42949</c:v>
                </c:pt>
                <c:pt idx="3229">
                  <c:v>42950</c:v>
                </c:pt>
                <c:pt idx="3230">
                  <c:v>42951</c:v>
                </c:pt>
                <c:pt idx="3231">
                  <c:v>42952</c:v>
                </c:pt>
                <c:pt idx="3232">
                  <c:v>42953</c:v>
                </c:pt>
                <c:pt idx="3233">
                  <c:v>42954</c:v>
                </c:pt>
                <c:pt idx="3234">
                  <c:v>42955</c:v>
                </c:pt>
                <c:pt idx="3235">
                  <c:v>42956</c:v>
                </c:pt>
                <c:pt idx="3236">
                  <c:v>42957</c:v>
                </c:pt>
                <c:pt idx="3237">
                  <c:v>42958</c:v>
                </c:pt>
                <c:pt idx="3238">
                  <c:v>42959</c:v>
                </c:pt>
                <c:pt idx="3239">
                  <c:v>42960</c:v>
                </c:pt>
                <c:pt idx="3240">
                  <c:v>42961</c:v>
                </c:pt>
                <c:pt idx="3241">
                  <c:v>42962</c:v>
                </c:pt>
                <c:pt idx="3242">
                  <c:v>42963</c:v>
                </c:pt>
                <c:pt idx="3243">
                  <c:v>42964</c:v>
                </c:pt>
                <c:pt idx="3244">
                  <c:v>42965</c:v>
                </c:pt>
                <c:pt idx="3245">
                  <c:v>42966</c:v>
                </c:pt>
                <c:pt idx="3246">
                  <c:v>42967</c:v>
                </c:pt>
                <c:pt idx="3247">
                  <c:v>42968</c:v>
                </c:pt>
                <c:pt idx="3248">
                  <c:v>42969</c:v>
                </c:pt>
                <c:pt idx="3249">
                  <c:v>42970</c:v>
                </c:pt>
                <c:pt idx="3250">
                  <c:v>42971</c:v>
                </c:pt>
                <c:pt idx="3251">
                  <c:v>42972</c:v>
                </c:pt>
                <c:pt idx="3252">
                  <c:v>42973</c:v>
                </c:pt>
                <c:pt idx="3253">
                  <c:v>42974</c:v>
                </c:pt>
                <c:pt idx="3254">
                  <c:v>42975</c:v>
                </c:pt>
                <c:pt idx="3255">
                  <c:v>42976</c:v>
                </c:pt>
                <c:pt idx="3256">
                  <c:v>42977</c:v>
                </c:pt>
                <c:pt idx="3257">
                  <c:v>42978</c:v>
                </c:pt>
                <c:pt idx="3258">
                  <c:v>42979</c:v>
                </c:pt>
                <c:pt idx="3259">
                  <c:v>42980</c:v>
                </c:pt>
                <c:pt idx="3260">
                  <c:v>42981</c:v>
                </c:pt>
                <c:pt idx="3261">
                  <c:v>42982</c:v>
                </c:pt>
                <c:pt idx="3262">
                  <c:v>42983</c:v>
                </c:pt>
                <c:pt idx="3263">
                  <c:v>42984</c:v>
                </c:pt>
                <c:pt idx="3264">
                  <c:v>42985</c:v>
                </c:pt>
                <c:pt idx="3265">
                  <c:v>42986</c:v>
                </c:pt>
                <c:pt idx="3266">
                  <c:v>42987</c:v>
                </c:pt>
                <c:pt idx="3267">
                  <c:v>42988</c:v>
                </c:pt>
                <c:pt idx="3268">
                  <c:v>42989</c:v>
                </c:pt>
                <c:pt idx="3269">
                  <c:v>42990</c:v>
                </c:pt>
                <c:pt idx="3270">
                  <c:v>42991</c:v>
                </c:pt>
                <c:pt idx="3271">
                  <c:v>42992</c:v>
                </c:pt>
                <c:pt idx="3272">
                  <c:v>42993</c:v>
                </c:pt>
                <c:pt idx="3273">
                  <c:v>42994</c:v>
                </c:pt>
                <c:pt idx="3274">
                  <c:v>42995</c:v>
                </c:pt>
                <c:pt idx="3275">
                  <c:v>42996</c:v>
                </c:pt>
                <c:pt idx="3276">
                  <c:v>42997</c:v>
                </c:pt>
                <c:pt idx="3277">
                  <c:v>42998</c:v>
                </c:pt>
                <c:pt idx="3278">
                  <c:v>42999</c:v>
                </c:pt>
                <c:pt idx="3279">
                  <c:v>43000</c:v>
                </c:pt>
                <c:pt idx="3280">
                  <c:v>43001</c:v>
                </c:pt>
                <c:pt idx="3281">
                  <c:v>43002</c:v>
                </c:pt>
                <c:pt idx="3282">
                  <c:v>43003</c:v>
                </c:pt>
                <c:pt idx="3283">
                  <c:v>43004</c:v>
                </c:pt>
                <c:pt idx="3284">
                  <c:v>43005</c:v>
                </c:pt>
                <c:pt idx="3285">
                  <c:v>43006</c:v>
                </c:pt>
                <c:pt idx="3286">
                  <c:v>43007</c:v>
                </c:pt>
                <c:pt idx="3287">
                  <c:v>43008</c:v>
                </c:pt>
                <c:pt idx="3288">
                  <c:v>43009</c:v>
                </c:pt>
                <c:pt idx="3289">
                  <c:v>43010</c:v>
                </c:pt>
                <c:pt idx="3290">
                  <c:v>43011</c:v>
                </c:pt>
                <c:pt idx="3291">
                  <c:v>43012</c:v>
                </c:pt>
                <c:pt idx="3292">
                  <c:v>43013</c:v>
                </c:pt>
                <c:pt idx="3293">
                  <c:v>43014</c:v>
                </c:pt>
                <c:pt idx="3294">
                  <c:v>43015</c:v>
                </c:pt>
                <c:pt idx="3295">
                  <c:v>43016</c:v>
                </c:pt>
                <c:pt idx="3296">
                  <c:v>43017</c:v>
                </c:pt>
                <c:pt idx="3297">
                  <c:v>43018</c:v>
                </c:pt>
                <c:pt idx="3298">
                  <c:v>43019</c:v>
                </c:pt>
                <c:pt idx="3299">
                  <c:v>43020</c:v>
                </c:pt>
                <c:pt idx="3300">
                  <c:v>43021</c:v>
                </c:pt>
                <c:pt idx="3301">
                  <c:v>43022</c:v>
                </c:pt>
                <c:pt idx="3302">
                  <c:v>43023</c:v>
                </c:pt>
                <c:pt idx="3303">
                  <c:v>43024</c:v>
                </c:pt>
                <c:pt idx="3304">
                  <c:v>43025</c:v>
                </c:pt>
                <c:pt idx="3305">
                  <c:v>43026</c:v>
                </c:pt>
                <c:pt idx="3306">
                  <c:v>43027</c:v>
                </c:pt>
                <c:pt idx="3307">
                  <c:v>43028</c:v>
                </c:pt>
                <c:pt idx="3308">
                  <c:v>43029</c:v>
                </c:pt>
                <c:pt idx="3309">
                  <c:v>43030</c:v>
                </c:pt>
                <c:pt idx="3310">
                  <c:v>43031</c:v>
                </c:pt>
                <c:pt idx="3311">
                  <c:v>43032</c:v>
                </c:pt>
                <c:pt idx="3312">
                  <c:v>43033</c:v>
                </c:pt>
                <c:pt idx="3313">
                  <c:v>43034</c:v>
                </c:pt>
                <c:pt idx="3314">
                  <c:v>43035</c:v>
                </c:pt>
                <c:pt idx="3315">
                  <c:v>43036</c:v>
                </c:pt>
                <c:pt idx="3316">
                  <c:v>43037</c:v>
                </c:pt>
                <c:pt idx="3317">
                  <c:v>43038</c:v>
                </c:pt>
                <c:pt idx="3318">
                  <c:v>43039</c:v>
                </c:pt>
                <c:pt idx="3319">
                  <c:v>43040</c:v>
                </c:pt>
                <c:pt idx="3320">
                  <c:v>43041</c:v>
                </c:pt>
                <c:pt idx="3321">
                  <c:v>43042</c:v>
                </c:pt>
                <c:pt idx="3322">
                  <c:v>43043</c:v>
                </c:pt>
                <c:pt idx="3323">
                  <c:v>43044</c:v>
                </c:pt>
                <c:pt idx="3324">
                  <c:v>43045</c:v>
                </c:pt>
                <c:pt idx="3325">
                  <c:v>43046</c:v>
                </c:pt>
                <c:pt idx="3326">
                  <c:v>43047</c:v>
                </c:pt>
                <c:pt idx="3327">
                  <c:v>43048</c:v>
                </c:pt>
                <c:pt idx="3328">
                  <c:v>43049</c:v>
                </c:pt>
                <c:pt idx="3329">
                  <c:v>43050</c:v>
                </c:pt>
                <c:pt idx="3330">
                  <c:v>43051</c:v>
                </c:pt>
                <c:pt idx="3331">
                  <c:v>43052</c:v>
                </c:pt>
                <c:pt idx="3332">
                  <c:v>43053</c:v>
                </c:pt>
                <c:pt idx="3333">
                  <c:v>43054</c:v>
                </c:pt>
                <c:pt idx="3334">
                  <c:v>43055</c:v>
                </c:pt>
                <c:pt idx="3335">
                  <c:v>43056</c:v>
                </c:pt>
                <c:pt idx="3336">
                  <c:v>43057</c:v>
                </c:pt>
                <c:pt idx="3337">
                  <c:v>43058</c:v>
                </c:pt>
                <c:pt idx="3338">
                  <c:v>43059</c:v>
                </c:pt>
                <c:pt idx="3339">
                  <c:v>43060</c:v>
                </c:pt>
                <c:pt idx="3340">
                  <c:v>43061</c:v>
                </c:pt>
                <c:pt idx="3341">
                  <c:v>43062</c:v>
                </c:pt>
                <c:pt idx="3342">
                  <c:v>43063</c:v>
                </c:pt>
                <c:pt idx="3343">
                  <c:v>43064</c:v>
                </c:pt>
                <c:pt idx="3344">
                  <c:v>43065</c:v>
                </c:pt>
                <c:pt idx="3345">
                  <c:v>43066</c:v>
                </c:pt>
                <c:pt idx="3346">
                  <c:v>43067</c:v>
                </c:pt>
                <c:pt idx="3347">
                  <c:v>43068</c:v>
                </c:pt>
                <c:pt idx="3348">
                  <c:v>43069</c:v>
                </c:pt>
                <c:pt idx="3349">
                  <c:v>43070</c:v>
                </c:pt>
                <c:pt idx="3350">
                  <c:v>43071</c:v>
                </c:pt>
                <c:pt idx="3351">
                  <c:v>43072</c:v>
                </c:pt>
                <c:pt idx="3352">
                  <c:v>43073</c:v>
                </c:pt>
                <c:pt idx="3353">
                  <c:v>43074</c:v>
                </c:pt>
                <c:pt idx="3354">
                  <c:v>43075</c:v>
                </c:pt>
                <c:pt idx="3355">
                  <c:v>43076</c:v>
                </c:pt>
                <c:pt idx="3356">
                  <c:v>43077</c:v>
                </c:pt>
                <c:pt idx="3357">
                  <c:v>43078</c:v>
                </c:pt>
                <c:pt idx="3358">
                  <c:v>43079</c:v>
                </c:pt>
                <c:pt idx="3359">
                  <c:v>43080</c:v>
                </c:pt>
                <c:pt idx="3360">
                  <c:v>43081</c:v>
                </c:pt>
                <c:pt idx="3361">
                  <c:v>43082</c:v>
                </c:pt>
                <c:pt idx="3362">
                  <c:v>43083</c:v>
                </c:pt>
                <c:pt idx="3363">
                  <c:v>43084</c:v>
                </c:pt>
                <c:pt idx="3364">
                  <c:v>43085</c:v>
                </c:pt>
                <c:pt idx="3365">
                  <c:v>43086</c:v>
                </c:pt>
                <c:pt idx="3366">
                  <c:v>43087</c:v>
                </c:pt>
                <c:pt idx="3367">
                  <c:v>43088</c:v>
                </c:pt>
                <c:pt idx="3368">
                  <c:v>43089</c:v>
                </c:pt>
                <c:pt idx="3369">
                  <c:v>43090</c:v>
                </c:pt>
                <c:pt idx="3370">
                  <c:v>43091</c:v>
                </c:pt>
                <c:pt idx="3371">
                  <c:v>43092</c:v>
                </c:pt>
                <c:pt idx="3372">
                  <c:v>43093</c:v>
                </c:pt>
                <c:pt idx="3373">
                  <c:v>43094</c:v>
                </c:pt>
                <c:pt idx="3374">
                  <c:v>43095</c:v>
                </c:pt>
                <c:pt idx="3375">
                  <c:v>43096</c:v>
                </c:pt>
                <c:pt idx="3376">
                  <c:v>43097</c:v>
                </c:pt>
                <c:pt idx="3377">
                  <c:v>43098</c:v>
                </c:pt>
                <c:pt idx="3378">
                  <c:v>43099</c:v>
                </c:pt>
                <c:pt idx="3379">
                  <c:v>43100</c:v>
                </c:pt>
                <c:pt idx="3380">
                  <c:v>43101</c:v>
                </c:pt>
                <c:pt idx="3381">
                  <c:v>43102</c:v>
                </c:pt>
                <c:pt idx="3382">
                  <c:v>43103</c:v>
                </c:pt>
                <c:pt idx="3383">
                  <c:v>43104</c:v>
                </c:pt>
                <c:pt idx="3384">
                  <c:v>43105</c:v>
                </c:pt>
                <c:pt idx="3385">
                  <c:v>43106</c:v>
                </c:pt>
                <c:pt idx="3386">
                  <c:v>43107</c:v>
                </c:pt>
                <c:pt idx="3387">
                  <c:v>43108</c:v>
                </c:pt>
                <c:pt idx="3388">
                  <c:v>43109</c:v>
                </c:pt>
                <c:pt idx="3389">
                  <c:v>43110</c:v>
                </c:pt>
                <c:pt idx="3390">
                  <c:v>43111</c:v>
                </c:pt>
                <c:pt idx="3391">
                  <c:v>43112</c:v>
                </c:pt>
                <c:pt idx="3392">
                  <c:v>43113</c:v>
                </c:pt>
                <c:pt idx="3393">
                  <c:v>43114</c:v>
                </c:pt>
                <c:pt idx="3394">
                  <c:v>43115</c:v>
                </c:pt>
                <c:pt idx="3395">
                  <c:v>43116</c:v>
                </c:pt>
                <c:pt idx="3396">
                  <c:v>43117</c:v>
                </c:pt>
                <c:pt idx="3397">
                  <c:v>43118</c:v>
                </c:pt>
                <c:pt idx="3398">
                  <c:v>43119</c:v>
                </c:pt>
                <c:pt idx="3399">
                  <c:v>43120</c:v>
                </c:pt>
                <c:pt idx="3400">
                  <c:v>43121</c:v>
                </c:pt>
                <c:pt idx="3401">
                  <c:v>43122</c:v>
                </c:pt>
                <c:pt idx="3402">
                  <c:v>43123</c:v>
                </c:pt>
                <c:pt idx="3403">
                  <c:v>43124</c:v>
                </c:pt>
                <c:pt idx="3404">
                  <c:v>43125</c:v>
                </c:pt>
                <c:pt idx="3405">
                  <c:v>43126</c:v>
                </c:pt>
                <c:pt idx="3406">
                  <c:v>43127</c:v>
                </c:pt>
                <c:pt idx="3407">
                  <c:v>43128</c:v>
                </c:pt>
                <c:pt idx="3408">
                  <c:v>43129</c:v>
                </c:pt>
                <c:pt idx="3409">
                  <c:v>43130</c:v>
                </c:pt>
                <c:pt idx="3410">
                  <c:v>43131</c:v>
                </c:pt>
                <c:pt idx="3411">
                  <c:v>43132</c:v>
                </c:pt>
                <c:pt idx="3412">
                  <c:v>43133</c:v>
                </c:pt>
                <c:pt idx="3413">
                  <c:v>43134</c:v>
                </c:pt>
                <c:pt idx="3414">
                  <c:v>43135</c:v>
                </c:pt>
                <c:pt idx="3415">
                  <c:v>43136</c:v>
                </c:pt>
                <c:pt idx="3416">
                  <c:v>43137</c:v>
                </c:pt>
                <c:pt idx="3417">
                  <c:v>43138</c:v>
                </c:pt>
                <c:pt idx="3418">
                  <c:v>43139</c:v>
                </c:pt>
                <c:pt idx="3419">
                  <c:v>43140</c:v>
                </c:pt>
                <c:pt idx="3420">
                  <c:v>43141</c:v>
                </c:pt>
                <c:pt idx="3421">
                  <c:v>43142</c:v>
                </c:pt>
                <c:pt idx="3422">
                  <c:v>43143</c:v>
                </c:pt>
                <c:pt idx="3423">
                  <c:v>43144</c:v>
                </c:pt>
                <c:pt idx="3424">
                  <c:v>43145</c:v>
                </c:pt>
                <c:pt idx="3425">
                  <c:v>43146</c:v>
                </c:pt>
                <c:pt idx="3426">
                  <c:v>43147</c:v>
                </c:pt>
                <c:pt idx="3427">
                  <c:v>43148</c:v>
                </c:pt>
                <c:pt idx="3428">
                  <c:v>43149</c:v>
                </c:pt>
                <c:pt idx="3429">
                  <c:v>43150</c:v>
                </c:pt>
                <c:pt idx="3430">
                  <c:v>43151</c:v>
                </c:pt>
                <c:pt idx="3431">
                  <c:v>43152</c:v>
                </c:pt>
                <c:pt idx="3432">
                  <c:v>43153</c:v>
                </c:pt>
                <c:pt idx="3433">
                  <c:v>43154</c:v>
                </c:pt>
                <c:pt idx="3434">
                  <c:v>43155</c:v>
                </c:pt>
                <c:pt idx="3435">
                  <c:v>43156</c:v>
                </c:pt>
                <c:pt idx="3436">
                  <c:v>43157</c:v>
                </c:pt>
                <c:pt idx="3437">
                  <c:v>43158</c:v>
                </c:pt>
                <c:pt idx="3438">
                  <c:v>43159</c:v>
                </c:pt>
                <c:pt idx="3439">
                  <c:v>43160</c:v>
                </c:pt>
                <c:pt idx="3440">
                  <c:v>43161</c:v>
                </c:pt>
                <c:pt idx="3441">
                  <c:v>43162</c:v>
                </c:pt>
                <c:pt idx="3442">
                  <c:v>43163</c:v>
                </c:pt>
                <c:pt idx="3443">
                  <c:v>43164</c:v>
                </c:pt>
                <c:pt idx="3444">
                  <c:v>43165</c:v>
                </c:pt>
                <c:pt idx="3445">
                  <c:v>43166</c:v>
                </c:pt>
                <c:pt idx="3446">
                  <c:v>43167</c:v>
                </c:pt>
                <c:pt idx="3447">
                  <c:v>43168</c:v>
                </c:pt>
                <c:pt idx="3448">
                  <c:v>43169</c:v>
                </c:pt>
                <c:pt idx="3449">
                  <c:v>43170</c:v>
                </c:pt>
                <c:pt idx="3450">
                  <c:v>43171</c:v>
                </c:pt>
                <c:pt idx="3451">
                  <c:v>43172</c:v>
                </c:pt>
                <c:pt idx="3452">
                  <c:v>43173</c:v>
                </c:pt>
                <c:pt idx="3453">
                  <c:v>43174</c:v>
                </c:pt>
                <c:pt idx="3454">
                  <c:v>43175</c:v>
                </c:pt>
                <c:pt idx="3455">
                  <c:v>43176</c:v>
                </c:pt>
                <c:pt idx="3456">
                  <c:v>43177</c:v>
                </c:pt>
                <c:pt idx="3457">
                  <c:v>43178</c:v>
                </c:pt>
                <c:pt idx="3458">
                  <c:v>43179</c:v>
                </c:pt>
                <c:pt idx="3459">
                  <c:v>43180</c:v>
                </c:pt>
                <c:pt idx="3460">
                  <c:v>43181</c:v>
                </c:pt>
                <c:pt idx="3461">
                  <c:v>43182</c:v>
                </c:pt>
                <c:pt idx="3462">
                  <c:v>43183</c:v>
                </c:pt>
                <c:pt idx="3463">
                  <c:v>43184</c:v>
                </c:pt>
                <c:pt idx="3464">
                  <c:v>43185</c:v>
                </c:pt>
                <c:pt idx="3465">
                  <c:v>43186</c:v>
                </c:pt>
                <c:pt idx="3466">
                  <c:v>43187</c:v>
                </c:pt>
                <c:pt idx="3467">
                  <c:v>43188</c:v>
                </c:pt>
                <c:pt idx="3468">
                  <c:v>43189</c:v>
                </c:pt>
                <c:pt idx="3469">
                  <c:v>43190</c:v>
                </c:pt>
                <c:pt idx="3470">
                  <c:v>43191</c:v>
                </c:pt>
                <c:pt idx="3471">
                  <c:v>43192</c:v>
                </c:pt>
                <c:pt idx="3472">
                  <c:v>43193</c:v>
                </c:pt>
                <c:pt idx="3473">
                  <c:v>43194</c:v>
                </c:pt>
                <c:pt idx="3474">
                  <c:v>43195</c:v>
                </c:pt>
                <c:pt idx="3475">
                  <c:v>43196</c:v>
                </c:pt>
                <c:pt idx="3476">
                  <c:v>43197</c:v>
                </c:pt>
                <c:pt idx="3477">
                  <c:v>43198</c:v>
                </c:pt>
                <c:pt idx="3478">
                  <c:v>43199</c:v>
                </c:pt>
                <c:pt idx="3479">
                  <c:v>43200</c:v>
                </c:pt>
                <c:pt idx="3480">
                  <c:v>43201</c:v>
                </c:pt>
                <c:pt idx="3481">
                  <c:v>43202</c:v>
                </c:pt>
                <c:pt idx="3482">
                  <c:v>43203</c:v>
                </c:pt>
                <c:pt idx="3483">
                  <c:v>43204</c:v>
                </c:pt>
                <c:pt idx="3484">
                  <c:v>43205</c:v>
                </c:pt>
                <c:pt idx="3485">
                  <c:v>43206</c:v>
                </c:pt>
                <c:pt idx="3486">
                  <c:v>43207</c:v>
                </c:pt>
                <c:pt idx="3487">
                  <c:v>43208</c:v>
                </c:pt>
                <c:pt idx="3488">
                  <c:v>43209</c:v>
                </c:pt>
                <c:pt idx="3489">
                  <c:v>43210</c:v>
                </c:pt>
                <c:pt idx="3490">
                  <c:v>43211</c:v>
                </c:pt>
                <c:pt idx="3491">
                  <c:v>43212</c:v>
                </c:pt>
                <c:pt idx="3492">
                  <c:v>43213</c:v>
                </c:pt>
                <c:pt idx="3493">
                  <c:v>43214</c:v>
                </c:pt>
                <c:pt idx="3494">
                  <c:v>43215</c:v>
                </c:pt>
                <c:pt idx="3495">
                  <c:v>43216</c:v>
                </c:pt>
                <c:pt idx="3496">
                  <c:v>43217</c:v>
                </c:pt>
                <c:pt idx="3497">
                  <c:v>43218</c:v>
                </c:pt>
                <c:pt idx="3498">
                  <c:v>43219</c:v>
                </c:pt>
                <c:pt idx="3499">
                  <c:v>43220</c:v>
                </c:pt>
                <c:pt idx="3500">
                  <c:v>43221</c:v>
                </c:pt>
                <c:pt idx="3501">
                  <c:v>43222</c:v>
                </c:pt>
                <c:pt idx="3502">
                  <c:v>43223</c:v>
                </c:pt>
                <c:pt idx="3503">
                  <c:v>43224</c:v>
                </c:pt>
                <c:pt idx="3504">
                  <c:v>43225</c:v>
                </c:pt>
                <c:pt idx="3505">
                  <c:v>43226</c:v>
                </c:pt>
                <c:pt idx="3506">
                  <c:v>43227</c:v>
                </c:pt>
                <c:pt idx="3507">
                  <c:v>43228</c:v>
                </c:pt>
                <c:pt idx="3508">
                  <c:v>43229</c:v>
                </c:pt>
                <c:pt idx="3509">
                  <c:v>43230</c:v>
                </c:pt>
                <c:pt idx="3510">
                  <c:v>43231</c:v>
                </c:pt>
                <c:pt idx="3511">
                  <c:v>43232</c:v>
                </c:pt>
                <c:pt idx="3512">
                  <c:v>43233</c:v>
                </c:pt>
                <c:pt idx="3513">
                  <c:v>43234</c:v>
                </c:pt>
                <c:pt idx="3514">
                  <c:v>43235</c:v>
                </c:pt>
                <c:pt idx="3515">
                  <c:v>43236</c:v>
                </c:pt>
                <c:pt idx="3516">
                  <c:v>43237</c:v>
                </c:pt>
                <c:pt idx="3517">
                  <c:v>43238</c:v>
                </c:pt>
                <c:pt idx="3518">
                  <c:v>43239</c:v>
                </c:pt>
                <c:pt idx="3519">
                  <c:v>43240</c:v>
                </c:pt>
                <c:pt idx="3520">
                  <c:v>43241</c:v>
                </c:pt>
                <c:pt idx="3521">
                  <c:v>43242</c:v>
                </c:pt>
                <c:pt idx="3522">
                  <c:v>43243</c:v>
                </c:pt>
                <c:pt idx="3523">
                  <c:v>43244</c:v>
                </c:pt>
                <c:pt idx="3524">
                  <c:v>43245</c:v>
                </c:pt>
                <c:pt idx="3525">
                  <c:v>43246</c:v>
                </c:pt>
                <c:pt idx="3526">
                  <c:v>43247</c:v>
                </c:pt>
                <c:pt idx="3527">
                  <c:v>43248</c:v>
                </c:pt>
                <c:pt idx="3528">
                  <c:v>43249</c:v>
                </c:pt>
                <c:pt idx="3529">
                  <c:v>43250</c:v>
                </c:pt>
                <c:pt idx="3530">
                  <c:v>43251</c:v>
                </c:pt>
                <c:pt idx="3531">
                  <c:v>43252</c:v>
                </c:pt>
                <c:pt idx="3532">
                  <c:v>43253</c:v>
                </c:pt>
                <c:pt idx="3533">
                  <c:v>43254</c:v>
                </c:pt>
                <c:pt idx="3534">
                  <c:v>43255</c:v>
                </c:pt>
                <c:pt idx="3535">
                  <c:v>43256</c:v>
                </c:pt>
                <c:pt idx="3536">
                  <c:v>43257</c:v>
                </c:pt>
                <c:pt idx="3537">
                  <c:v>43258</c:v>
                </c:pt>
                <c:pt idx="3538">
                  <c:v>43259</c:v>
                </c:pt>
                <c:pt idx="3539">
                  <c:v>43260</c:v>
                </c:pt>
                <c:pt idx="3540">
                  <c:v>43261</c:v>
                </c:pt>
                <c:pt idx="3541">
                  <c:v>43262</c:v>
                </c:pt>
                <c:pt idx="3542">
                  <c:v>43263</c:v>
                </c:pt>
                <c:pt idx="3543">
                  <c:v>43264</c:v>
                </c:pt>
                <c:pt idx="3544">
                  <c:v>43265</c:v>
                </c:pt>
                <c:pt idx="3545">
                  <c:v>43266</c:v>
                </c:pt>
                <c:pt idx="3546">
                  <c:v>43267</c:v>
                </c:pt>
                <c:pt idx="3547">
                  <c:v>43268</c:v>
                </c:pt>
                <c:pt idx="3548">
                  <c:v>43269</c:v>
                </c:pt>
                <c:pt idx="3549">
                  <c:v>43270</c:v>
                </c:pt>
                <c:pt idx="3550">
                  <c:v>43271</c:v>
                </c:pt>
                <c:pt idx="3551">
                  <c:v>43272</c:v>
                </c:pt>
                <c:pt idx="3552">
                  <c:v>43273</c:v>
                </c:pt>
                <c:pt idx="3553">
                  <c:v>43274</c:v>
                </c:pt>
                <c:pt idx="3554">
                  <c:v>43275</c:v>
                </c:pt>
                <c:pt idx="3555">
                  <c:v>43276</c:v>
                </c:pt>
                <c:pt idx="3556">
                  <c:v>43277</c:v>
                </c:pt>
                <c:pt idx="3557">
                  <c:v>43278</c:v>
                </c:pt>
                <c:pt idx="3558">
                  <c:v>43279</c:v>
                </c:pt>
                <c:pt idx="3559">
                  <c:v>43280</c:v>
                </c:pt>
                <c:pt idx="3560">
                  <c:v>43281</c:v>
                </c:pt>
                <c:pt idx="3561">
                  <c:v>43282</c:v>
                </c:pt>
                <c:pt idx="3562">
                  <c:v>43283</c:v>
                </c:pt>
                <c:pt idx="3563">
                  <c:v>43284</c:v>
                </c:pt>
                <c:pt idx="3564">
                  <c:v>43285</c:v>
                </c:pt>
                <c:pt idx="3565">
                  <c:v>43286</c:v>
                </c:pt>
                <c:pt idx="3566">
                  <c:v>43287</c:v>
                </c:pt>
                <c:pt idx="3567">
                  <c:v>43288</c:v>
                </c:pt>
                <c:pt idx="3568">
                  <c:v>43289</c:v>
                </c:pt>
                <c:pt idx="3569">
                  <c:v>43290</c:v>
                </c:pt>
                <c:pt idx="3570">
                  <c:v>43291</c:v>
                </c:pt>
                <c:pt idx="3571">
                  <c:v>43292</c:v>
                </c:pt>
                <c:pt idx="3572">
                  <c:v>43293</c:v>
                </c:pt>
                <c:pt idx="3573">
                  <c:v>43294</c:v>
                </c:pt>
                <c:pt idx="3574">
                  <c:v>43295</c:v>
                </c:pt>
                <c:pt idx="3575">
                  <c:v>43296</c:v>
                </c:pt>
                <c:pt idx="3576">
                  <c:v>43297</c:v>
                </c:pt>
                <c:pt idx="3577">
                  <c:v>43298</c:v>
                </c:pt>
                <c:pt idx="3578">
                  <c:v>43299</c:v>
                </c:pt>
                <c:pt idx="3579">
                  <c:v>43300</c:v>
                </c:pt>
                <c:pt idx="3580">
                  <c:v>43301</c:v>
                </c:pt>
                <c:pt idx="3581">
                  <c:v>43302</c:v>
                </c:pt>
                <c:pt idx="3582">
                  <c:v>43303</c:v>
                </c:pt>
                <c:pt idx="3583">
                  <c:v>43304</c:v>
                </c:pt>
                <c:pt idx="3584">
                  <c:v>43305</c:v>
                </c:pt>
                <c:pt idx="3585">
                  <c:v>43306</c:v>
                </c:pt>
                <c:pt idx="3586">
                  <c:v>43307</c:v>
                </c:pt>
                <c:pt idx="3587">
                  <c:v>43308</c:v>
                </c:pt>
                <c:pt idx="3588">
                  <c:v>43309</c:v>
                </c:pt>
                <c:pt idx="3589">
                  <c:v>43310</c:v>
                </c:pt>
                <c:pt idx="3590">
                  <c:v>43311</c:v>
                </c:pt>
                <c:pt idx="3591">
                  <c:v>43312</c:v>
                </c:pt>
                <c:pt idx="3592">
                  <c:v>43313</c:v>
                </c:pt>
                <c:pt idx="3593">
                  <c:v>43314</c:v>
                </c:pt>
                <c:pt idx="3594">
                  <c:v>43315</c:v>
                </c:pt>
                <c:pt idx="3595">
                  <c:v>43316</c:v>
                </c:pt>
                <c:pt idx="3596">
                  <c:v>43317</c:v>
                </c:pt>
                <c:pt idx="3597">
                  <c:v>43318</c:v>
                </c:pt>
                <c:pt idx="3598">
                  <c:v>43319</c:v>
                </c:pt>
                <c:pt idx="3599">
                  <c:v>43320</c:v>
                </c:pt>
                <c:pt idx="3600">
                  <c:v>43321</c:v>
                </c:pt>
                <c:pt idx="3601">
                  <c:v>43322</c:v>
                </c:pt>
                <c:pt idx="3602">
                  <c:v>43323</c:v>
                </c:pt>
                <c:pt idx="3603">
                  <c:v>43324</c:v>
                </c:pt>
                <c:pt idx="3604">
                  <c:v>43325</c:v>
                </c:pt>
                <c:pt idx="3605">
                  <c:v>43326</c:v>
                </c:pt>
                <c:pt idx="3606">
                  <c:v>43327</c:v>
                </c:pt>
                <c:pt idx="3607">
                  <c:v>43328</c:v>
                </c:pt>
                <c:pt idx="3608">
                  <c:v>43329</c:v>
                </c:pt>
                <c:pt idx="3609">
                  <c:v>43330</c:v>
                </c:pt>
                <c:pt idx="3610">
                  <c:v>43331</c:v>
                </c:pt>
                <c:pt idx="3611">
                  <c:v>43332</c:v>
                </c:pt>
                <c:pt idx="3612">
                  <c:v>43333</c:v>
                </c:pt>
                <c:pt idx="3613">
                  <c:v>43334</c:v>
                </c:pt>
                <c:pt idx="3614">
                  <c:v>43335</c:v>
                </c:pt>
                <c:pt idx="3615">
                  <c:v>43336</c:v>
                </c:pt>
                <c:pt idx="3616">
                  <c:v>43337</c:v>
                </c:pt>
                <c:pt idx="3617">
                  <c:v>43338</c:v>
                </c:pt>
                <c:pt idx="3618">
                  <c:v>43339</c:v>
                </c:pt>
                <c:pt idx="3619">
                  <c:v>43340</c:v>
                </c:pt>
                <c:pt idx="3620">
                  <c:v>43341</c:v>
                </c:pt>
                <c:pt idx="3621">
                  <c:v>43342</c:v>
                </c:pt>
                <c:pt idx="3622">
                  <c:v>43343</c:v>
                </c:pt>
                <c:pt idx="3623">
                  <c:v>43344</c:v>
                </c:pt>
                <c:pt idx="3624">
                  <c:v>43345</c:v>
                </c:pt>
                <c:pt idx="3625">
                  <c:v>43346</c:v>
                </c:pt>
                <c:pt idx="3626">
                  <c:v>43347</c:v>
                </c:pt>
                <c:pt idx="3627">
                  <c:v>43348</c:v>
                </c:pt>
                <c:pt idx="3628">
                  <c:v>43349</c:v>
                </c:pt>
                <c:pt idx="3629">
                  <c:v>43350</c:v>
                </c:pt>
                <c:pt idx="3630">
                  <c:v>43351</c:v>
                </c:pt>
                <c:pt idx="3631">
                  <c:v>43352</c:v>
                </c:pt>
                <c:pt idx="3632">
                  <c:v>43353</c:v>
                </c:pt>
                <c:pt idx="3633">
                  <c:v>43354</c:v>
                </c:pt>
                <c:pt idx="3634">
                  <c:v>43355</c:v>
                </c:pt>
                <c:pt idx="3635">
                  <c:v>43356</c:v>
                </c:pt>
                <c:pt idx="3636">
                  <c:v>43357</c:v>
                </c:pt>
                <c:pt idx="3637">
                  <c:v>43358</c:v>
                </c:pt>
                <c:pt idx="3638">
                  <c:v>43359</c:v>
                </c:pt>
                <c:pt idx="3639">
                  <c:v>43360</c:v>
                </c:pt>
                <c:pt idx="3640">
                  <c:v>43361</c:v>
                </c:pt>
                <c:pt idx="3641">
                  <c:v>43362</c:v>
                </c:pt>
                <c:pt idx="3642">
                  <c:v>43363</c:v>
                </c:pt>
                <c:pt idx="3643">
                  <c:v>43364</c:v>
                </c:pt>
                <c:pt idx="3644">
                  <c:v>43365</c:v>
                </c:pt>
                <c:pt idx="3645">
                  <c:v>43366</c:v>
                </c:pt>
                <c:pt idx="3646">
                  <c:v>43367</c:v>
                </c:pt>
                <c:pt idx="3647">
                  <c:v>43368</c:v>
                </c:pt>
                <c:pt idx="3648">
                  <c:v>43369</c:v>
                </c:pt>
                <c:pt idx="3649">
                  <c:v>43370</c:v>
                </c:pt>
                <c:pt idx="3650">
                  <c:v>43371</c:v>
                </c:pt>
                <c:pt idx="3651">
                  <c:v>43372</c:v>
                </c:pt>
                <c:pt idx="3652">
                  <c:v>43373</c:v>
                </c:pt>
                <c:pt idx="3653">
                  <c:v>43374</c:v>
                </c:pt>
                <c:pt idx="3654">
                  <c:v>43375</c:v>
                </c:pt>
                <c:pt idx="3655">
                  <c:v>43376</c:v>
                </c:pt>
                <c:pt idx="3656">
                  <c:v>43377</c:v>
                </c:pt>
                <c:pt idx="3657">
                  <c:v>43378</c:v>
                </c:pt>
                <c:pt idx="3658">
                  <c:v>43379</c:v>
                </c:pt>
                <c:pt idx="3659">
                  <c:v>43380</c:v>
                </c:pt>
                <c:pt idx="3660">
                  <c:v>43381</c:v>
                </c:pt>
                <c:pt idx="3661">
                  <c:v>43382</c:v>
                </c:pt>
                <c:pt idx="3662">
                  <c:v>43383</c:v>
                </c:pt>
                <c:pt idx="3663">
                  <c:v>43384</c:v>
                </c:pt>
                <c:pt idx="3664">
                  <c:v>43385</c:v>
                </c:pt>
                <c:pt idx="3665">
                  <c:v>43386</c:v>
                </c:pt>
                <c:pt idx="3666">
                  <c:v>43387</c:v>
                </c:pt>
                <c:pt idx="3667">
                  <c:v>43388</c:v>
                </c:pt>
                <c:pt idx="3668">
                  <c:v>43389</c:v>
                </c:pt>
                <c:pt idx="3669">
                  <c:v>43390</c:v>
                </c:pt>
                <c:pt idx="3670">
                  <c:v>43391</c:v>
                </c:pt>
                <c:pt idx="3671">
                  <c:v>43392</c:v>
                </c:pt>
                <c:pt idx="3672">
                  <c:v>43393</c:v>
                </c:pt>
                <c:pt idx="3673">
                  <c:v>43394</c:v>
                </c:pt>
                <c:pt idx="3674">
                  <c:v>43395</c:v>
                </c:pt>
                <c:pt idx="3675">
                  <c:v>43396</c:v>
                </c:pt>
                <c:pt idx="3676">
                  <c:v>43397</c:v>
                </c:pt>
                <c:pt idx="3677">
                  <c:v>43398</c:v>
                </c:pt>
                <c:pt idx="3678">
                  <c:v>43399</c:v>
                </c:pt>
                <c:pt idx="3679">
                  <c:v>43400</c:v>
                </c:pt>
                <c:pt idx="3680">
                  <c:v>43401</c:v>
                </c:pt>
                <c:pt idx="3681">
                  <c:v>43402</c:v>
                </c:pt>
                <c:pt idx="3682">
                  <c:v>43403</c:v>
                </c:pt>
                <c:pt idx="3683">
                  <c:v>43404</c:v>
                </c:pt>
                <c:pt idx="3684">
                  <c:v>43405</c:v>
                </c:pt>
                <c:pt idx="3685">
                  <c:v>43406</c:v>
                </c:pt>
                <c:pt idx="3686">
                  <c:v>43407</c:v>
                </c:pt>
                <c:pt idx="3687">
                  <c:v>43408</c:v>
                </c:pt>
                <c:pt idx="3688">
                  <c:v>43409</c:v>
                </c:pt>
                <c:pt idx="3689">
                  <c:v>43410</c:v>
                </c:pt>
                <c:pt idx="3690">
                  <c:v>43411</c:v>
                </c:pt>
                <c:pt idx="3691">
                  <c:v>43412</c:v>
                </c:pt>
                <c:pt idx="3692">
                  <c:v>43413</c:v>
                </c:pt>
                <c:pt idx="3693">
                  <c:v>43414</c:v>
                </c:pt>
                <c:pt idx="3694">
                  <c:v>43415</c:v>
                </c:pt>
                <c:pt idx="3695">
                  <c:v>43416</c:v>
                </c:pt>
                <c:pt idx="3696">
                  <c:v>43417</c:v>
                </c:pt>
                <c:pt idx="3697">
                  <c:v>43418</c:v>
                </c:pt>
                <c:pt idx="3698">
                  <c:v>43419</c:v>
                </c:pt>
                <c:pt idx="3699">
                  <c:v>43420</c:v>
                </c:pt>
                <c:pt idx="3700">
                  <c:v>43421</c:v>
                </c:pt>
                <c:pt idx="3701">
                  <c:v>43422</c:v>
                </c:pt>
                <c:pt idx="3702">
                  <c:v>43423</c:v>
                </c:pt>
                <c:pt idx="3703">
                  <c:v>43424</c:v>
                </c:pt>
                <c:pt idx="3704">
                  <c:v>43425</c:v>
                </c:pt>
                <c:pt idx="3705">
                  <c:v>43426</c:v>
                </c:pt>
                <c:pt idx="3706">
                  <c:v>43427</c:v>
                </c:pt>
                <c:pt idx="3707">
                  <c:v>43428</c:v>
                </c:pt>
                <c:pt idx="3708">
                  <c:v>43429</c:v>
                </c:pt>
                <c:pt idx="3709">
                  <c:v>43430</c:v>
                </c:pt>
                <c:pt idx="3710">
                  <c:v>43431</c:v>
                </c:pt>
                <c:pt idx="3711">
                  <c:v>43432</c:v>
                </c:pt>
                <c:pt idx="3712">
                  <c:v>43433</c:v>
                </c:pt>
                <c:pt idx="3713">
                  <c:v>43434</c:v>
                </c:pt>
                <c:pt idx="3714">
                  <c:v>43435</c:v>
                </c:pt>
                <c:pt idx="3715">
                  <c:v>43436</c:v>
                </c:pt>
                <c:pt idx="3716">
                  <c:v>43437</c:v>
                </c:pt>
                <c:pt idx="3717">
                  <c:v>43438</c:v>
                </c:pt>
                <c:pt idx="3718">
                  <c:v>43439</c:v>
                </c:pt>
                <c:pt idx="3719">
                  <c:v>43440</c:v>
                </c:pt>
                <c:pt idx="3720">
                  <c:v>43441</c:v>
                </c:pt>
                <c:pt idx="3721">
                  <c:v>43442</c:v>
                </c:pt>
                <c:pt idx="3722">
                  <c:v>43443</c:v>
                </c:pt>
                <c:pt idx="3723">
                  <c:v>43444</c:v>
                </c:pt>
                <c:pt idx="3724">
                  <c:v>43445</c:v>
                </c:pt>
                <c:pt idx="3725">
                  <c:v>43446</c:v>
                </c:pt>
                <c:pt idx="3726">
                  <c:v>43447</c:v>
                </c:pt>
                <c:pt idx="3727">
                  <c:v>43448</c:v>
                </c:pt>
                <c:pt idx="3728">
                  <c:v>43449</c:v>
                </c:pt>
                <c:pt idx="3729">
                  <c:v>43450</c:v>
                </c:pt>
                <c:pt idx="3730">
                  <c:v>43451</c:v>
                </c:pt>
                <c:pt idx="3731">
                  <c:v>43452</c:v>
                </c:pt>
                <c:pt idx="3732">
                  <c:v>43453</c:v>
                </c:pt>
                <c:pt idx="3733">
                  <c:v>43454</c:v>
                </c:pt>
                <c:pt idx="3734">
                  <c:v>43455</c:v>
                </c:pt>
                <c:pt idx="3735">
                  <c:v>43456</c:v>
                </c:pt>
                <c:pt idx="3736">
                  <c:v>43457</c:v>
                </c:pt>
                <c:pt idx="3737">
                  <c:v>43458</c:v>
                </c:pt>
                <c:pt idx="3738">
                  <c:v>43459</c:v>
                </c:pt>
                <c:pt idx="3739">
                  <c:v>43460</c:v>
                </c:pt>
                <c:pt idx="3740">
                  <c:v>43461</c:v>
                </c:pt>
                <c:pt idx="3741">
                  <c:v>43462</c:v>
                </c:pt>
                <c:pt idx="3742">
                  <c:v>43463</c:v>
                </c:pt>
                <c:pt idx="3743">
                  <c:v>43464</c:v>
                </c:pt>
                <c:pt idx="3744">
                  <c:v>43465</c:v>
                </c:pt>
                <c:pt idx="3745">
                  <c:v>43466</c:v>
                </c:pt>
                <c:pt idx="3746">
                  <c:v>43467</c:v>
                </c:pt>
                <c:pt idx="3747">
                  <c:v>43468</c:v>
                </c:pt>
                <c:pt idx="3748">
                  <c:v>43469</c:v>
                </c:pt>
                <c:pt idx="3749">
                  <c:v>43470</c:v>
                </c:pt>
                <c:pt idx="3750">
                  <c:v>43471</c:v>
                </c:pt>
                <c:pt idx="3751">
                  <c:v>43472</c:v>
                </c:pt>
                <c:pt idx="3752">
                  <c:v>43473</c:v>
                </c:pt>
                <c:pt idx="3753">
                  <c:v>43474</c:v>
                </c:pt>
                <c:pt idx="3754">
                  <c:v>43475</c:v>
                </c:pt>
                <c:pt idx="3755">
                  <c:v>43476</c:v>
                </c:pt>
                <c:pt idx="3756">
                  <c:v>43477</c:v>
                </c:pt>
                <c:pt idx="3757">
                  <c:v>43478</c:v>
                </c:pt>
                <c:pt idx="3758">
                  <c:v>43479</c:v>
                </c:pt>
                <c:pt idx="3759">
                  <c:v>43480</c:v>
                </c:pt>
                <c:pt idx="3760">
                  <c:v>43481</c:v>
                </c:pt>
                <c:pt idx="3761">
                  <c:v>43482</c:v>
                </c:pt>
                <c:pt idx="3762">
                  <c:v>43483</c:v>
                </c:pt>
                <c:pt idx="3763">
                  <c:v>43484</c:v>
                </c:pt>
                <c:pt idx="3764">
                  <c:v>43485</c:v>
                </c:pt>
                <c:pt idx="3765">
                  <c:v>43486</c:v>
                </c:pt>
                <c:pt idx="3766">
                  <c:v>43487</c:v>
                </c:pt>
                <c:pt idx="3767">
                  <c:v>43488</c:v>
                </c:pt>
                <c:pt idx="3768">
                  <c:v>43489</c:v>
                </c:pt>
                <c:pt idx="3769">
                  <c:v>43490</c:v>
                </c:pt>
                <c:pt idx="3770">
                  <c:v>43491</c:v>
                </c:pt>
                <c:pt idx="3771">
                  <c:v>43492</c:v>
                </c:pt>
                <c:pt idx="3772">
                  <c:v>43493</c:v>
                </c:pt>
                <c:pt idx="3773">
                  <c:v>43494</c:v>
                </c:pt>
                <c:pt idx="3774">
                  <c:v>43495</c:v>
                </c:pt>
                <c:pt idx="3775">
                  <c:v>43496</c:v>
                </c:pt>
                <c:pt idx="3776">
                  <c:v>43497</c:v>
                </c:pt>
                <c:pt idx="3777">
                  <c:v>43498</c:v>
                </c:pt>
                <c:pt idx="3778">
                  <c:v>43499</c:v>
                </c:pt>
                <c:pt idx="3779">
                  <c:v>43500</c:v>
                </c:pt>
                <c:pt idx="3780">
                  <c:v>43501</c:v>
                </c:pt>
                <c:pt idx="3781">
                  <c:v>43502</c:v>
                </c:pt>
                <c:pt idx="3782">
                  <c:v>43503</c:v>
                </c:pt>
                <c:pt idx="3783">
                  <c:v>43504</c:v>
                </c:pt>
                <c:pt idx="3784">
                  <c:v>43505</c:v>
                </c:pt>
                <c:pt idx="3785">
                  <c:v>43506</c:v>
                </c:pt>
                <c:pt idx="3786">
                  <c:v>43507</c:v>
                </c:pt>
                <c:pt idx="3787">
                  <c:v>43508</c:v>
                </c:pt>
                <c:pt idx="3788">
                  <c:v>43509</c:v>
                </c:pt>
                <c:pt idx="3789">
                  <c:v>43510</c:v>
                </c:pt>
                <c:pt idx="3790">
                  <c:v>43511</c:v>
                </c:pt>
                <c:pt idx="3791">
                  <c:v>43512</c:v>
                </c:pt>
                <c:pt idx="3792">
                  <c:v>43513</c:v>
                </c:pt>
                <c:pt idx="3793">
                  <c:v>43514</c:v>
                </c:pt>
                <c:pt idx="3794">
                  <c:v>43515</c:v>
                </c:pt>
                <c:pt idx="3795">
                  <c:v>43516</c:v>
                </c:pt>
                <c:pt idx="3796">
                  <c:v>43517</c:v>
                </c:pt>
                <c:pt idx="3797">
                  <c:v>43518</c:v>
                </c:pt>
                <c:pt idx="3798">
                  <c:v>43519</c:v>
                </c:pt>
                <c:pt idx="3799">
                  <c:v>43520</c:v>
                </c:pt>
                <c:pt idx="3800">
                  <c:v>43521</c:v>
                </c:pt>
                <c:pt idx="3801">
                  <c:v>43522</c:v>
                </c:pt>
                <c:pt idx="3802">
                  <c:v>43523</c:v>
                </c:pt>
                <c:pt idx="3803">
                  <c:v>43524</c:v>
                </c:pt>
                <c:pt idx="3804">
                  <c:v>43525</c:v>
                </c:pt>
                <c:pt idx="3805">
                  <c:v>43526</c:v>
                </c:pt>
                <c:pt idx="3806">
                  <c:v>43527</c:v>
                </c:pt>
                <c:pt idx="3807">
                  <c:v>43528</c:v>
                </c:pt>
                <c:pt idx="3808">
                  <c:v>43529</c:v>
                </c:pt>
                <c:pt idx="3809">
                  <c:v>43530</c:v>
                </c:pt>
                <c:pt idx="3810">
                  <c:v>43531</c:v>
                </c:pt>
                <c:pt idx="3811">
                  <c:v>43532</c:v>
                </c:pt>
                <c:pt idx="3812">
                  <c:v>43533</c:v>
                </c:pt>
                <c:pt idx="3813">
                  <c:v>43534</c:v>
                </c:pt>
                <c:pt idx="3814">
                  <c:v>43535</c:v>
                </c:pt>
                <c:pt idx="3815">
                  <c:v>43536</c:v>
                </c:pt>
                <c:pt idx="3816">
                  <c:v>43537</c:v>
                </c:pt>
                <c:pt idx="3817">
                  <c:v>43538</c:v>
                </c:pt>
                <c:pt idx="3818">
                  <c:v>43539</c:v>
                </c:pt>
                <c:pt idx="3819">
                  <c:v>43540</c:v>
                </c:pt>
                <c:pt idx="3820">
                  <c:v>43541</c:v>
                </c:pt>
                <c:pt idx="3821">
                  <c:v>43542</c:v>
                </c:pt>
                <c:pt idx="3822">
                  <c:v>43543</c:v>
                </c:pt>
                <c:pt idx="3823">
                  <c:v>43544</c:v>
                </c:pt>
                <c:pt idx="3824">
                  <c:v>43545</c:v>
                </c:pt>
                <c:pt idx="3825">
                  <c:v>43546</c:v>
                </c:pt>
                <c:pt idx="3826">
                  <c:v>43547</c:v>
                </c:pt>
                <c:pt idx="3827">
                  <c:v>43548</c:v>
                </c:pt>
                <c:pt idx="3828">
                  <c:v>43549</c:v>
                </c:pt>
                <c:pt idx="3829">
                  <c:v>43550</c:v>
                </c:pt>
                <c:pt idx="3830">
                  <c:v>43551</c:v>
                </c:pt>
                <c:pt idx="3831">
                  <c:v>43552</c:v>
                </c:pt>
                <c:pt idx="3832">
                  <c:v>43553</c:v>
                </c:pt>
                <c:pt idx="3833">
                  <c:v>43554</c:v>
                </c:pt>
                <c:pt idx="3834">
                  <c:v>43555</c:v>
                </c:pt>
                <c:pt idx="3835">
                  <c:v>43556</c:v>
                </c:pt>
                <c:pt idx="3836">
                  <c:v>43557</c:v>
                </c:pt>
                <c:pt idx="3837">
                  <c:v>43558</c:v>
                </c:pt>
                <c:pt idx="3838">
                  <c:v>43559</c:v>
                </c:pt>
                <c:pt idx="3839">
                  <c:v>43560</c:v>
                </c:pt>
                <c:pt idx="3840">
                  <c:v>43561</c:v>
                </c:pt>
                <c:pt idx="3841">
                  <c:v>43562</c:v>
                </c:pt>
                <c:pt idx="3842">
                  <c:v>43563</c:v>
                </c:pt>
                <c:pt idx="3843">
                  <c:v>43564</c:v>
                </c:pt>
                <c:pt idx="3844">
                  <c:v>43565</c:v>
                </c:pt>
                <c:pt idx="3845">
                  <c:v>43566</c:v>
                </c:pt>
                <c:pt idx="3846">
                  <c:v>43567</c:v>
                </c:pt>
                <c:pt idx="3847">
                  <c:v>43568</c:v>
                </c:pt>
                <c:pt idx="3848">
                  <c:v>43569</c:v>
                </c:pt>
                <c:pt idx="3849">
                  <c:v>43570</c:v>
                </c:pt>
                <c:pt idx="3850">
                  <c:v>43571</c:v>
                </c:pt>
                <c:pt idx="3851">
                  <c:v>43572</c:v>
                </c:pt>
                <c:pt idx="3852">
                  <c:v>43573</c:v>
                </c:pt>
                <c:pt idx="3853">
                  <c:v>43574</c:v>
                </c:pt>
                <c:pt idx="3854">
                  <c:v>43575</c:v>
                </c:pt>
                <c:pt idx="3855">
                  <c:v>43576</c:v>
                </c:pt>
                <c:pt idx="3856">
                  <c:v>43577</c:v>
                </c:pt>
                <c:pt idx="3857">
                  <c:v>43578</c:v>
                </c:pt>
                <c:pt idx="3858">
                  <c:v>43579</c:v>
                </c:pt>
                <c:pt idx="3859">
                  <c:v>43580</c:v>
                </c:pt>
                <c:pt idx="3860">
                  <c:v>43581</c:v>
                </c:pt>
                <c:pt idx="3861">
                  <c:v>43582</c:v>
                </c:pt>
                <c:pt idx="3862">
                  <c:v>43583</c:v>
                </c:pt>
                <c:pt idx="3863">
                  <c:v>43584</c:v>
                </c:pt>
                <c:pt idx="3864">
                  <c:v>43585</c:v>
                </c:pt>
                <c:pt idx="3865">
                  <c:v>43586</c:v>
                </c:pt>
                <c:pt idx="3866">
                  <c:v>43587</c:v>
                </c:pt>
                <c:pt idx="3867">
                  <c:v>43588</c:v>
                </c:pt>
                <c:pt idx="3868">
                  <c:v>43589</c:v>
                </c:pt>
                <c:pt idx="3869">
                  <c:v>43590</c:v>
                </c:pt>
                <c:pt idx="3870">
                  <c:v>43591</c:v>
                </c:pt>
                <c:pt idx="3871">
                  <c:v>43592</c:v>
                </c:pt>
                <c:pt idx="3872">
                  <c:v>43593</c:v>
                </c:pt>
                <c:pt idx="3873">
                  <c:v>43594</c:v>
                </c:pt>
                <c:pt idx="3874">
                  <c:v>43595</c:v>
                </c:pt>
                <c:pt idx="3875">
                  <c:v>43596</c:v>
                </c:pt>
                <c:pt idx="3876">
                  <c:v>43597</c:v>
                </c:pt>
                <c:pt idx="3877">
                  <c:v>43598</c:v>
                </c:pt>
                <c:pt idx="3878">
                  <c:v>43599</c:v>
                </c:pt>
                <c:pt idx="3879">
                  <c:v>43600</c:v>
                </c:pt>
                <c:pt idx="3880">
                  <c:v>43601</c:v>
                </c:pt>
                <c:pt idx="3881">
                  <c:v>43602</c:v>
                </c:pt>
                <c:pt idx="3882">
                  <c:v>43603</c:v>
                </c:pt>
                <c:pt idx="3883">
                  <c:v>43604</c:v>
                </c:pt>
                <c:pt idx="3884">
                  <c:v>43605</c:v>
                </c:pt>
                <c:pt idx="3885">
                  <c:v>43606</c:v>
                </c:pt>
                <c:pt idx="3886">
                  <c:v>43607</c:v>
                </c:pt>
                <c:pt idx="3887">
                  <c:v>43608</c:v>
                </c:pt>
                <c:pt idx="3888">
                  <c:v>43609</c:v>
                </c:pt>
                <c:pt idx="3889">
                  <c:v>43610</c:v>
                </c:pt>
                <c:pt idx="3890">
                  <c:v>43611</c:v>
                </c:pt>
                <c:pt idx="3891">
                  <c:v>43612</c:v>
                </c:pt>
                <c:pt idx="3892">
                  <c:v>43613</c:v>
                </c:pt>
                <c:pt idx="3893">
                  <c:v>43614</c:v>
                </c:pt>
                <c:pt idx="3894">
                  <c:v>43615</c:v>
                </c:pt>
                <c:pt idx="3895">
                  <c:v>43616</c:v>
                </c:pt>
                <c:pt idx="3896">
                  <c:v>43617</c:v>
                </c:pt>
                <c:pt idx="3897">
                  <c:v>43618</c:v>
                </c:pt>
                <c:pt idx="3898">
                  <c:v>43619</c:v>
                </c:pt>
                <c:pt idx="3899">
                  <c:v>43620</c:v>
                </c:pt>
                <c:pt idx="3900">
                  <c:v>43621</c:v>
                </c:pt>
                <c:pt idx="3901">
                  <c:v>43622</c:v>
                </c:pt>
                <c:pt idx="3902">
                  <c:v>43623</c:v>
                </c:pt>
                <c:pt idx="3903">
                  <c:v>43624</c:v>
                </c:pt>
                <c:pt idx="3904">
                  <c:v>43625</c:v>
                </c:pt>
                <c:pt idx="3905">
                  <c:v>43626</c:v>
                </c:pt>
                <c:pt idx="3906">
                  <c:v>43627</c:v>
                </c:pt>
                <c:pt idx="3907">
                  <c:v>43628</c:v>
                </c:pt>
                <c:pt idx="3908">
                  <c:v>43629</c:v>
                </c:pt>
                <c:pt idx="3909">
                  <c:v>43630</c:v>
                </c:pt>
                <c:pt idx="3910">
                  <c:v>43631</c:v>
                </c:pt>
                <c:pt idx="3911">
                  <c:v>43632</c:v>
                </c:pt>
                <c:pt idx="3912">
                  <c:v>43633</c:v>
                </c:pt>
                <c:pt idx="3913">
                  <c:v>43634</c:v>
                </c:pt>
                <c:pt idx="3914">
                  <c:v>43635</c:v>
                </c:pt>
                <c:pt idx="3915">
                  <c:v>43636</c:v>
                </c:pt>
                <c:pt idx="3916">
                  <c:v>43637</c:v>
                </c:pt>
                <c:pt idx="3917">
                  <c:v>43638</c:v>
                </c:pt>
                <c:pt idx="3918">
                  <c:v>43639</c:v>
                </c:pt>
                <c:pt idx="3919">
                  <c:v>43640</c:v>
                </c:pt>
                <c:pt idx="3920">
                  <c:v>43641</c:v>
                </c:pt>
                <c:pt idx="3921">
                  <c:v>43642</c:v>
                </c:pt>
                <c:pt idx="3922">
                  <c:v>43643</c:v>
                </c:pt>
                <c:pt idx="3923">
                  <c:v>43644</c:v>
                </c:pt>
                <c:pt idx="3924">
                  <c:v>43645</c:v>
                </c:pt>
                <c:pt idx="3925">
                  <c:v>43646</c:v>
                </c:pt>
                <c:pt idx="3926">
                  <c:v>43647</c:v>
                </c:pt>
                <c:pt idx="3927">
                  <c:v>43648</c:v>
                </c:pt>
                <c:pt idx="3928">
                  <c:v>43649</c:v>
                </c:pt>
                <c:pt idx="3929">
                  <c:v>43650</c:v>
                </c:pt>
                <c:pt idx="3930">
                  <c:v>43651</c:v>
                </c:pt>
                <c:pt idx="3931">
                  <c:v>43652</c:v>
                </c:pt>
                <c:pt idx="3932">
                  <c:v>43653</c:v>
                </c:pt>
                <c:pt idx="3933">
                  <c:v>43654</c:v>
                </c:pt>
                <c:pt idx="3934">
                  <c:v>43655</c:v>
                </c:pt>
                <c:pt idx="3935">
                  <c:v>43656</c:v>
                </c:pt>
                <c:pt idx="3936">
                  <c:v>43657</c:v>
                </c:pt>
                <c:pt idx="3937">
                  <c:v>43658</c:v>
                </c:pt>
                <c:pt idx="3938">
                  <c:v>43659</c:v>
                </c:pt>
                <c:pt idx="3939">
                  <c:v>43660</c:v>
                </c:pt>
                <c:pt idx="3940">
                  <c:v>43661</c:v>
                </c:pt>
                <c:pt idx="3941">
                  <c:v>43662</c:v>
                </c:pt>
                <c:pt idx="3942">
                  <c:v>43663</c:v>
                </c:pt>
                <c:pt idx="3943">
                  <c:v>43664</c:v>
                </c:pt>
                <c:pt idx="3944">
                  <c:v>43665</c:v>
                </c:pt>
                <c:pt idx="3945">
                  <c:v>43666</c:v>
                </c:pt>
                <c:pt idx="3946">
                  <c:v>43667</c:v>
                </c:pt>
                <c:pt idx="3947">
                  <c:v>43668</c:v>
                </c:pt>
                <c:pt idx="3948">
                  <c:v>43669</c:v>
                </c:pt>
                <c:pt idx="3949">
                  <c:v>43670</c:v>
                </c:pt>
                <c:pt idx="3950">
                  <c:v>43671</c:v>
                </c:pt>
                <c:pt idx="3951">
                  <c:v>43672</c:v>
                </c:pt>
                <c:pt idx="3952">
                  <c:v>43673</c:v>
                </c:pt>
                <c:pt idx="3953">
                  <c:v>43674</c:v>
                </c:pt>
                <c:pt idx="3954">
                  <c:v>43675</c:v>
                </c:pt>
                <c:pt idx="3955">
                  <c:v>43676</c:v>
                </c:pt>
                <c:pt idx="3956">
                  <c:v>43677</c:v>
                </c:pt>
                <c:pt idx="3957">
                  <c:v>43678</c:v>
                </c:pt>
                <c:pt idx="3958">
                  <c:v>43679</c:v>
                </c:pt>
                <c:pt idx="3959">
                  <c:v>43680</c:v>
                </c:pt>
                <c:pt idx="3960">
                  <c:v>43681</c:v>
                </c:pt>
                <c:pt idx="3961">
                  <c:v>43682</c:v>
                </c:pt>
                <c:pt idx="3962">
                  <c:v>43683</c:v>
                </c:pt>
                <c:pt idx="3963">
                  <c:v>43684</c:v>
                </c:pt>
                <c:pt idx="3964">
                  <c:v>43685</c:v>
                </c:pt>
                <c:pt idx="3965">
                  <c:v>43686</c:v>
                </c:pt>
                <c:pt idx="3966">
                  <c:v>43687</c:v>
                </c:pt>
                <c:pt idx="3967">
                  <c:v>43688</c:v>
                </c:pt>
                <c:pt idx="3968">
                  <c:v>43689</c:v>
                </c:pt>
                <c:pt idx="3969">
                  <c:v>43690</c:v>
                </c:pt>
                <c:pt idx="3970">
                  <c:v>43691</c:v>
                </c:pt>
                <c:pt idx="3971">
                  <c:v>43692</c:v>
                </c:pt>
                <c:pt idx="3972">
                  <c:v>43693</c:v>
                </c:pt>
                <c:pt idx="3973">
                  <c:v>43694</c:v>
                </c:pt>
                <c:pt idx="3974">
                  <c:v>43695</c:v>
                </c:pt>
                <c:pt idx="3975">
                  <c:v>43696</c:v>
                </c:pt>
                <c:pt idx="3976">
                  <c:v>43697</c:v>
                </c:pt>
                <c:pt idx="3977">
                  <c:v>43698</c:v>
                </c:pt>
                <c:pt idx="3978">
                  <c:v>43699</c:v>
                </c:pt>
                <c:pt idx="3979">
                  <c:v>43700</c:v>
                </c:pt>
                <c:pt idx="3980">
                  <c:v>43701</c:v>
                </c:pt>
                <c:pt idx="3981">
                  <c:v>43702</c:v>
                </c:pt>
                <c:pt idx="3982">
                  <c:v>43703</c:v>
                </c:pt>
                <c:pt idx="3983">
                  <c:v>43704</c:v>
                </c:pt>
                <c:pt idx="3984">
                  <c:v>43705</c:v>
                </c:pt>
                <c:pt idx="3985">
                  <c:v>43706</c:v>
                </c:pt>
                <c:pt idx="3986">
                  <c:v>43707</c:v>
                </c:pt>
                <c:pt idx="3987">
                  <c:v>43708</c:v>
                </c:pt>
                <c:pt idx="3988">
                  <c:v>43709</c:v>
                </c:pt>
                <c:pt idx="3989">
                  <c:v>43710</c:v>
                </c:pt>
                <c:pt idx="3990">
                  <c:v>43711</c:v>
                </c:pt>
                <c:pt idx="3991">
                  <c:v>43712</c:v>
                </c:pt>
                <c:pt idx="3992">
                  <c:v>43713</c:v>
                </c:pt>
                <c:pt idx="3993">
                  <c:v>43714</c:v>
                </c:pt>
                <c:pt idx="3994">
                  <c:v>43715</c:v>
                </c:pt>
                <c:pt idx="3995">
                  <c:v>43716</c:v>
                </c:pt>
                <c:pt idx="3996">
                  <c:v>43717</c:v>
                </c:pt>
                <c:pt idx="3997">
                  <c:v>43718</c:v>
                </c:pt>
                <c:pt idx="3998">
                  <c:v>43719</c:v>
                </c:pt>
                <c:pt idx="3999">
                  <c:v>43720</c:v>
                </c:pt>
                <c:pt idx="4000">
                  <c:v>43721</c:v>
                </c:pt>
                <c:pt idx="4001">
                  <c:v>43722</c:v>
                </c:pt>
                <c:pt idx="4002">
                  <c:v>43723</c:v>
                </c:pt>
                <c:pt idx="4003">
                  <c:v>43724</c:v>
                </c:pt>
                <c:pt idx="4004">
                  <c:v>43725</c:v>
                </c:pt>
                <c:pt idx="4005">
                  <c:v>43726</c:v>
                </c:pt>
                <c:pt idx="4006">
                  <c:v>43727</c:v>
                </c:pt>
                <c:pt idx="4007">
                  <c:v>43728</c:v>
                </c:pt>
                <c:pt idx="4008">
                  <c:v>43729</c:v>
                </c:pt>
                <c:pt idx="4009">
                  <c:v>43730</c:v>
                </c:pt>
                <c:pt idx="4010">
                  <c:v>43731</c:v>
                </c:pt>
                <c:pt idx="4011">
                  <c:v>43732</c:v>
                </c:pt>
                <c:pt idx="4012">
                  <c:v>43733</c:v>
                </c:pt>
                <c:pt idx="4013">
                  <c:v>43734</c:v>
                </c:pt>
                <c:pt idx="4014">
                  <c:v>43735</c:v>
                </c:pt>
                <c:pt idx="4015">
                  <c:v>43736</c:v>
                </c:pt>
                <c:pt idx="4016">
                  <c:v>43737</c:v>
                </c:pt>
                <c:pt idx="4017">
                  <c:v>43738</c:v>
                </c:pt>
                <c:pt idx="4018">
                  <c:v>43739</c:v>
                </c:pt>
                <c:pt idx="4019">
                  <c:v>43740</c:v>
                </c:pt>
                <c:pt idx="4020">
                  <c:v>43741</c:v>
                </c:pt>
                <c:pt idx="4021">
                  <c:v>43742</c:v>
                </c:pt>
                <c:pt idx="4022">
                  <c:v>43743</c:v>
                </c:pt>
                <c:pt idx="4023">
                  <c:v>43744</c:v>
                </c:pt>
                <c:pt idx="4024">
                  <c:v>43745</c:v>
                </c:pt>
                <c:pt idx="4025">
                  <c:v>43746</c:v>
                </c:pt>
                <c:pt idx="4026">
                  <c:v>43747</c:v>
                </c:pt>
                <c:pt idx="4027">
                  <c:v>43748</c:v>
                </c:pt>
                <c:pt idx="4028">
                  <c:v>43749</c:v>
                </c:pt>
                <c:pt idx="4029">
                  <c:v>43750</c:v>
                </c:pt>
                <c:pt idx="4030">
                  <c:v>43751</c:v>
                </c:pt>
                <c:pt idx="4031">
                  <c:v>43752</c:v>
                </c:pt>
                <c:pt idx="4032">
                  <c:v>43753</c:v>
                </c:pt>
                <c:pt idx="4033">
                  <c:v>43754</c:v>
                </c:pt>
                <c:pt idx="4034">
                  <c:v>43755</c:v>
                </c:pt>
                <c:pt idx="4035">
                  <c:v>43756</c:v>
                </c:pt>
                <c:pt idx="4036">
                  <c:v>43757</c:v>
                </c:pt>
                <c:pt idx="4037">
                  <c:v>43758</c:v>
                </c:pt>
                <c:pt idx="4038">
                  <c:v>43759</c:v>
                </c:pt>
                <c:pt idx="4039">
                  <c:v>43760</c:v>
                </c:pt>
                <c:pt idx="4040">
                  <c:v>43761</c:v>
                </c:pt>
                <c:pt idx="4041">
                  <c:v>43762</c:v>
                </c:pt>
                <c:pt idx="4042">
                  <c:v>43763</c:v>
                </c:pt>
                <c:pt idx="4043">
                  <c:v>43764</c:v>
                </c:pt>
                <c:pt idx="4044">
                  <c:v>43765</c:v>
                </c:pt>
                <c:pt idx="4045">
                  <c:v>43766</c:v>
                </c:pt>
                <c:pt idx="4046">
                  <c:v>43767</c:v>
                </c:pt>
                <c:pt idx="4047">
                  <c:v>43768</c:v>
                </c:pt>
                <c:pt idx="4048">
                  <c:v>43769</c:v>
                </c:pt>
                <c:pt idx="4049">
                  <c:v>43770</c:v>
                </c:pt>
                <c:pt idx="4050">
                  <c:v>43771</c:v>
                </c:pt>
                <c:pt idx="4051">
                  <c:v>43772</c:v>
                </c:pt>
                <c:pt idx="4052">
                  <c:v>43773</c:v>
                </c:pt>
                <c:pt idx="4053">
                  <c:v>43774</c:v>
                </c:pt>
                <c:pt idx="4054">
                  <c:v>43775</c:v>
                </c:pt>
                <c:pt idx="4055">
                  <c:v>43776</c:v>
                </c:pt>
                <c:pt idx="4056">
                  <c:v>43777</c:v>
                </c:pt>
                <c:pt idx="4057">
                  <c:v>43778</c:v>
                </c:pt>
                <c:pt idx="4058">
                  <c:v>43779</c:v>
                </c:pt>
                <c:pt idx="4059">
                  <c:v>43780</c:v>
                </c:pt>
                <c:pt idx="4060">
                  <c:v>43781</c:v>
                </c:pt>
                <c:pt idx="4061">
                  <c:v>43782</c:v>
                </c:pt>
                <c:pt idx="4062">
                  <c:v>43783</c:v>
                </c:pt>
                <c:pt idx="4063">
                  <c:v>43784</c:v>
                </c:pt>
                <c:pt idx="4064">
                  <c:v>43785</c:v>
                </c:pt>
                <c:pt idx="4065">
                  <c:v>43786</c:v>
                </c:pt>
                <c:pt idx="4066">
                  <c:v>43787</c:v>
                </c:pt>
                <c:pt idx="4067">
                  <c:v>43788</c:v>
                </c:pt>
                <c:pt idx="4068">
                  <c:v>43789</c:v>
                </c:pt>
                <c:pt idx="4069">
                  <c:v>43790</c:v>
                </c:pt>
                <c:pt idx="4070">
                  <c:v>43791</c:v>
                </c:pt>
                <c:pt idx="4071">
                  <c:v>43792</c:v>
                </c:pt>
                <c:pt idx="4072">
                  <c:v>43793</c:v>
                </c:pt>
                <c:pt idx="4073">
                  <c:v>43794</c:v>
                </c:pt>
                <c:pt idx="4074">
                  <c:v>43795</c:v>
                </c:pt>
                <c:pt idx="4075">
                  <c:v>43796</c:v>
                </c:pt>
                <c:pt idx="4076">
                  <c:v>43797</c:v>
                </c:pt>
                <c:pt idx="4077">
                  <c:v>43798</c:v>
                </c:pt>
                <c:pt idx="4078">
                  <c:v>43799</c:v>
                </c:pt>
                <c:pt idx="4079">
                  <c:v>43800</c:v>
                </c:pt>
                <c:pt idx="4080">
                  <c:v>43801</c:v>
                </c:pt>
                <c:pt idx="4081">
                  <c:v>43802</c:v>
                </c:pt>
                <c:pt idx="4082">
                  <c:v>43803</c:v>
                </c:pt>
                <c:pt idx="4083">
                  <c:v>43804</c:v>
                </c:pt>
                <c:pt idx="4084">
                  <c:v>43805</c:v>
                </c:pt>
                <c:pt idx="4085">
                  <c:v>43806</c:v>
                </c:pt>
                <c:pt idx="4086">
                  <c:v>43807</c:v>
                </c:pt>
                <c:pt idx="4087">
                  <c:v>43808</c:v>
                </c:pt>
                <c:pt idx="4088">
                  <c:v>43809</c:v>
                </c:pt>
                <c:pt idx="4089">
                  <c:v>43810</c:v>
                </c:pt>
                <c:pt idx="4090">
                  <c:v>43811</c:v>
                </c:pt>
                <c:pt idx="4091">
                  <c:v>43812</c:v>
                </c:pt>
                <c:pt idx="4092">
                  <c:v>43813</c:v>
                </c:pt>
                <c:pt idx="4093">
                  <c:v>43814</c:v>
                </c:pt>
                <c:pt idx="4094">
                  <c:v>43815</c:v>
                </c:pt>
                <c:pt idx="4095">
                  <c:v>43816</c:v>
                </c:pt>
                <c:pt idx="4096">
                  <c:v>43817</c:v>
                </c:pt>
                <c:pt idx="4097">
                  <c:v>43818</c:v>
                </c:pt>
                <c:pt idx="4098">
                  <c:v>43819</c:v>
                </c:pt>
                <c:pt idx="4099">
                  <c:v>43820</c:v>
                </c:pt>
                <c:pt idx="4100">
                  <c:v>43821</c:v>
                </c:pt>
                <c:pt idx="4101">
                  <c:v>43822</c:v>
                </c:pt>
                <c:pt idx="4102">
                  <c:v>43823</c:v>
                </c:pt>
                <c:pt idx="4103">
                  <c:v>43824</c:v>
                </c:pt>
                <c:pt idx="4104">
                  <c:v>43825</c:v>
                </c:pt>
                <c:pt idx="4105">
                  <c:v>43826</c:v>
                </c:pt>
                <c:pt idx="4106">
                  <c:v>43827</c:v>
                </c:pt>
                <c:pt idx="4107">
                  <c:v>43828</c:v>
                </c:pt>
                <c:pt idx="4108">
                  <c:v>43829</c:v>
                </c:pt>
                <c:pt idx="4109">
                  <c:v>43830</c:v>
                </c:pt>
                <c:pt idx="4110">
                  <c:v>43831</c:v>
                </c:pt>
                <c:pt idx="4111">
                  <c:v>43832</c:v>
                </c:pt>
                <c:pt idx="4112">
                  <c:v>43833</c:v>
                </c:pt>
                <c:pt idx="4113">
                  <c:v>43834</c:v>
                </c:pt>
                <c:pt idx="4114">
                  <c:v>43835</c:v>
                </c:pt>
                <c:pt idx="4115">
                  <c:v>43836</c:v>
                </c:pt>
                <c:pt idx="4116">
                  <c:v>43837</c:v>
                </c:pt>
                <c:pt idx="4117">
                  <c:v>43838</c:v>
                </c:pt>
                <c:pt idx="4118">
                  <c:v>43839</c:v>
                </c:pt>
                <c:pt idx="4119">
                  <c:v>43840</c:v>
                </c:pt>
                <c:pt idx="4120">
                  <c:v>43841</c:v>
                </c:pt>
                <c:pt idx="4121">
                  <c:v>43842</c:v>
                </c:pt>
                <c:pt idx="4122">
                  <c:v>43843</c:v>
                </c:pt>
                <c:pt idx="4123">
                  <c:v>43844</c:v>
                </c:pt>
                <c:pt idx="4124">
                  <c:v>43845</c:v>
                </c:pt>
                <c:pt idx="4125">
                  <c:v>43846</c:v>
                </c:pt>
                <c:pt idx="4126">
                  <c:v>43847</c:v>
                </c:pt>
                <c:pt idx="4127">
                  <c:v>43848</c:v>
                </c:pt>
                <c:pt idx="4128">
                  <c:v>43849</c:v>
                </c:pt>
                <c:pt idx="4129">
                  <c:v>43850</c:v>
                </c:pt>
                <c:pt idx="4130">
                  <c:v>43851</c:v>
                </c:pt>
                <c:pt idx="4131">
                  <c:v>43852</c:v>
                </c:pt>
                <c:pt idx="4132">
                  <c:v>43853</c:v>
                </c:pt>
                <c:pt idx="4133">
                  <c:v>43854</c:v>
                </c:pt>
                <c:pt idx="4134">
                  <c:v>43855</c:v>
                </c:pt>
                <c:pt idx="4135">
                  <c:v>43856</c:v>
                </c:pt>
                <c:pt idx="4136">
                  <c:v>43857</c:v>
                </c:pt>
                <c:pt idx="4137">
                  <c:v>43858</c:v>
                </c:pt>
                <c:pt idx="4138">
                  <c:v>43859</c:v>
                </c:pt>
                <c:pt idx="4139">
                  <c:v>43860</c:v>
                </c:pt>
                <c:pt idx="4140">
                  <c:v>43861</c:v>
                </c:pt>
                <c:pt idx="4141">
                  <c:v>43862</c:v>
                </c:pt>
                <c:pt idx="4142">
                  <c:v>43863</c:v>
                </c:pt>
                <c:pt idx="4143">
                  <c:v>43864</c:v>
                </c:pt>
                <c:pt idx="4144">
                  <c:v>43865</c:v>
                </c:pt>
                <c:pt idx="4145">
                  <c:v>43866</c:v>
                </c:pt>
                <c:pt idx="4146">
                  <c:v>43867</c:v>
                </c:pt>
                <c:pt idx="4147">
                  <c:v>43868</c:v>
                </c:pt>
                <c:pt idx="4148">
                  <c:v>43869</c:v>
                </c:pt>
                <c:pt idx="4149">
                  <c:v>43870</c:v>
                </c:pt>
                <c:pt idx="4150">
                  <c:v>43871</c:v>
                </c:pt>
                <c:pt idx="4151">
                  <c:v>43872</c:v>
                </c:pt>
                <c:pt idx="4152">
                  <c:v>43873</c:v>
                </c:pt>
                <c:pt idx="4153">
                  <c:v>43874</c:v>
                </c:pt>
                <c:pt idx="4154">
                  <c:v>43875</c:v>
                </c:pt>
                <c:pt idx="4155">
                  <c:v>43876</c:v>
                </c:pt>
                <c:pt idx="4156">
                  <c:v>43877</c:v>
                </c:pt>
                <c:pt idx="4157">
                  <c:v>43878</c:v>
                </c:pt>
                <c:pt idx="4158">
                  <c:v>43879</c:v>
                </c:pt>
                <c:pt idx="4159">
                  <c:v>43880</c:v>
                </c:pt>
                <c:pt idx="4160">
                  <c:v>43881</c:v>
                </c:pt>
                <c:pt idx="4161">
                  <c:v>43882</c:v>
                </c:pt>
                <c:pt idx="4162">
                  <c:v>43883</c:v>
                </c:pt>
                <c:pt idx="4163">
                  <c:v>43884</c:v>
                </c:pt>
                <c:pt idx="4164">
                  <c:v>43885</c:v>
                </c:pt>
                <c:pt idx="4165">
                  <c:v>43886</c:v>
                </c:pt>
                <c:pt idx="4166">
                  <c:v>43887</c:v>
                </c:pt>
                <c:pt idx="4167">
                  <c:v>43888</c:v>
                </c:pt>
                <c:pt idx="4168">
                  <c:v>43889</c:v>
                </c:pt>
                <c:pt idx="4169">
                  <c:v>43890</c:v>
                </c:pt>
                <c:pt idx="4170">
                  <c:v>43891</c:v>
                </c:pt>
                <c:pt idx="4171">
                  <c:v>43892</c:v>
                </c:pt>
                <c:pt idx="4172">
                  <c:v>43893</c:v>
                </c:pt>
                <c:pt idx="4173">
                  <c:v>43894</c:v>
                </c:pt>
                <c:pt idx="4174">
                  <c:v>43895</c:v>
                </c:pt>
                <c:pt idx="4175">
                  <c:v>43896</c:v>
                </c:pt>
                <c:pt idx="4176">
                  <c:v>43897</c:v>
                </c:pt>
                <c:pt idx="4177">
                  <c:v>43898</c:v>
                </c:pt>
                <c:pt idx="4178">
                  <c:v>43899</c:v>
                </c:pt>
                <c:pt idx="4179">
                  <c:v>43900</c:v>
                </c:pt>
                <c:pt idx="4180">
                  <c:v>43901</c:v>
                </c:pt>
                <c:pt idx="4181">
                  <c:v>43902</c:v>
                </c:pt>
                <c:pt idx="4182">
                  <c:v>43903</c:v>
                </c:pt>
                <c:pt idx="4183">
                  <c:v>43904</c:v>
                </c:pt>
                <c:pt idx="4184">
                  <c:v>43905</c:v>
                </c:pt>
                <c:pt idx="4185">
                  <c:v>43906</c:v>
                </c:pt>
                <c:pt idx="4186">
                  <c:v>43907</c:v>
                </c:pt>
                <c:pt idx="4187">
                  <c:v>43908</c:v>
                </c:pt>
                <c:pt idx="4188">
                  <c:v>43909</c:v>
                </c:pt>
                <c:pt idx="4189">
                  <c:v>43910</c:v>
                </c:pt>
                <c:pt idx="4190">
                  <c:v>43911</c:v>
                </c:pt>
                <c:pt idx="4191">
                  <c:v>43912</c:v>
                </c:pt>
                <c:pt idx="4192">
                  <c:v>43913</c:v>
                </c:pt>
                <c:pt idx="4193">
                  <c:v>43914</c:v>
                </c:pt>
                <c:pt idx="4194">
                  <c:v>43915</c:v>
                </c:pt>
                <c:pt idx="4195">
                  <c:v>43916</c:v>
                </c:pt>
                <c:pt idx="4196">
                  <c:v>43917</c:v>
                </c:pt>
                <c:pt idx="4197">
                  <c:v>43918</c:v>
                </c:pt>
                <c:pt idx="4198">
                  <c:v>43919</c:v>
                </c:pt>
                <c:pt idx="4199">
                  <c:v>43920</c:v>
                </c:pt>
                <c:pt idx="4200">
                  <c:v>43921</c:v>
                </c:pt>
                <c:pt idx="4201">
                  <c:v>43922</c:v>
                </c:pt>
                <c:pt idx="4202">
                  <c:v>43923</c:v>
                </c:pt>
                <c:pt idx="4203">
                  <c:v>43924</c:v>
                </c:pt>
                <c:pt idx="4204">
                  <c:v>43925</c:v>
                </c:pt>
                <c:pt idx="4205">
                  <c:v>43926</c:v>
                </c:pt>
                <c:pt idx="4206">
                  <c:v>43927</c:v>
                </c:pt>
                <c:pt idx="4207">
                  <c:v>43928</c:v>
                </c:pt>
                <c:pt idx="4208">
                  <c:v>43929</c:v>
                </c:pt>
                <c:pt idx="4209">
                  <c:v>43930</c:v>
                </c:pt>
                <c:pt idx="4210">
                  <c:v>43931</c:v>
                </c:pt>
                <c:pt idx="4211">
                  <c:v>43932</c:v>
                </c:pt>
                <c:pt idx="4212">
                  <c:v>43933</c:v>
                </c:pt>
                <c:pt idx="4213">
                  <c:v>43934</c:v>
                </c:pt>
                <c:pt idx="4214">
                  <c:v>43935</c:v>
                </c:pt>
                <c:pt idx="4215">
                  <c:v>43936</c:v>
                </c:pt>
                <c:pt idx="4216">
                  <c:v>43937</c:v>
                </c:pt>
                <c:pt idx="4217">
                  <c:v>43938</c:v>
                </c:pt>
                <c:pt idx="4218">
                  <c:v>43939</c:v>
                </c:pt>
                <c:pt idx="4219">
                  <c:v>43940</c:v>
                </c:pt>
                <c:pt idx="4220">
                  <c:v>43941</c:v>
                </c:pt>
                <c:pt idx="4221">
                  <c:v>43942</c:v>
                </c:pt>
                <c:pt idx="4222">
                  <c:v>43943</c:v>
                </c:pt>
                <c:pt idx="4223">
                  <c:v>43944</c:v>
                </c:pt>
                <c:pt idx="4224">
                  <c:v>43945</c:v>
                </c:pt>
                <c:pt idx="4225">
                  <c:v>43946</c:v>
                </c:pt>
                <c:pt idx="4226">
                  <c:v>43947</c:v>
                </c:pt>
                <c:pt idx="4227">
                  <c:v>43948</c:v>
                </c:pt>
                <c:pt idx="4228">
                  <c:v>43949</c:v>
                </c:pt>
                <c:pt idx="4229">
                  <c:v>43950</c:v>
                </c:pt>
                <c:pt idx="4230">
                  <c:v>43951</c:v>
                </c:pt>
                <c:pt idx="4231">
                  <c:v>43952</c:v>
                </c:pt>
                <c:pt idx="4232">
                  <c:v>43953</c:v>
                </c:pt>
                <c:pt idx="4233">
                  <c:v>43954</c:v>
                </c:pt>
                <c:pt idx="4234">
                  <c:v>43955</c:v>
                </c:pt>
                <c:pt idx="4235">
                  <c:v>43956</c:v>
                </c:pt>
                <c:pt idx="4236">
                  <c:v>43957</c:v>
                </c:pt>
                <c:pt idx="4237">
                  <c:v>43958</c:v>
                </c:pt>
                <c:pt idx="4238">
                  <c:v>43959</c:v>
                </c:pt>
                <c:pt idx="4239">
                  <c:v>43960</c:v>
                </c:pt>
                <c:pt idx="4240">
                  <c:v>43961</c:v>
                </c:pt>
                <c:pt idx="4241">
                  <c:v>43962</c:v>
                </c:pt>
                <c:pt idx="4242">
                  <c:v>43963</c:v>
                </c:pt>
                <c:pt idx="4243">
                  <c:v>43964</c:v>
                </c:pt>
                <c:pt idx="4244">
                  <c:v>43965</c:v>
                </c:pt>
                <c:pt idx="4245">
                  <c:v>43966</c:v>
                </c:pt>
                <c:pt idx="4246">
                  <c:v>43967</c:v>
                </c:pt>
                <c:pt idx="4247">
                  <c:v>43968</c:v>
                </c:pt>
                <c:pt idx="4248">
                  <c:v>43969</c:v>
                </c:pt>
                <c:pt idx="4249">
                  <c:v>43970</c:v>
                </c:pt>
                <c:pt idx="4250">
                  <c:v>43971</c:v>
                </c:pt>
                <c:pt idx="4251">
                  <c:v>43972</c:v>
                </c:pt>
                <c:pt idx="4252">
                  <c:v>43973</c:v>
                </c:pt>
                <c:pt idx="4253">
                  <c:v>43974</c:v>
                </c:pt>
                <c:pt idx="4254">
                  <c:v>43975</c:v>
                </c:pt>
                <c:pt idx="4255">
                  <c:v>43976</c:v>
                </c:pt>
                <c:pt idx="4256">
                  <c:v>43977</c:v>
                </c:pt>
                <c:pt idx="4257">
                  <c:v>43978</c:v>
                </c:pt>
                <c:pt idx="4258">
                  <c:v>43979</c:v>
                </c:pt>
                <c:pt idx="4259">
                  <c:v>43980</c:v>
                </c:pt>
                <c:pt idx="4260">
                  <c:v>43981</c:v>
                </c:pt>
                <c:pt idx="4261">
                  <c:v>43982</c:v>
                </c:pt>
                <c:pt idx="4262">
                  <c:v>43983</c:v>
                </c:pt>
                <c:pt idx="4263">
                  <c:v>43984</c:v>
                </c:pt>
                <c:pt idx="4264">
                  <c:v>43985</c:v>
                </c:pt>
                <c:pt idx="4265">
                  <c:v>43986</c:v>
                </c:pt>
                <c:pt idx="4266">
                  <c:v>43987</c:v>
                </c:pt>
                <c:pt idx="4267">
                  <c:v>43988</c:v>
                </c:pt>
                <c:pt idx="4268">
                  <c:v>43989</c:v>
                </c:pt>
                <c:pt idx="4269">
                  <c:v>43990</c:v>
                </c:pt>
                <c:pt idx="4270">
                  <c:v>43991</c:v>
                </c:pt>
                <c:pt idx="4271">
                  <c:v>43992</c:v>
                </c:pt>
                <c:pt idx="4272">
                  <c:v>43993</c:v>
                </c:pt>
                <c:pt idx="4273">
                  <c:v>43994</c:v>
                </c:pt>
                <c:pt idx="4274">
                  <c:v>43995</c:v>
                </c:pt>
                <c:pt idx="4275">
                  <c:v>43996</c:v>
                </c:pt>
                <c:pt idx="4276">
                  <c:v>43997</c:v>
                </c:pt>
                <c:pt idx="4277">
                  <c:v>43998</c:v>
                </c:pt>
                <c:pt idx="4278">
                  <c:v>43999</c:v>
                </c:pt>
                <c:pt idx="4279">
                  <c:v>44000</c:v>
                </c:pt>
                <c:pt idx="4280">
                  <c:v>44001</c:v>
                </c:pt>
                <c:pt idx="4281">
                  <c:v>44002</c:v>
                </c:pt>
                <c:pt idx="4282">
                  <c:v>44003</c:v>
                </c:pt>
                <c:pt idx="4283">
                  <c:v>44004</c:v>
                </c:pt>
                <c:pt idx="4284">
                  <c:v>44005</c:v>
                </c:pt>
                <c:pt idx="4285">
                  <c:v>44006</c:v>
                </c:pt>
                <c:pt idx="4286">
                  <c:v>44007</c:v>
                </c:pt>
                <c:pt idx="4287">
                  <c:v>44008</c:v>
                </c:pt>
                <c:pt idx="4288">
                  <c:v>44009</c:v>
                </c:pt>
                <c:pt idx="4289">
                  <c:v>44010</c:v>
                </c:pt>
                <c:pt idx="4290">
                  <c:v>44011</c:v>
                </c:pt>
                <c:pt idx="4291">
                  <c:v>44012</c:v>
                </c:pt>
                <c:pt idx="4292">
                  <c:v>44013</c:v>
                </c:pt>
                <c:pt idx="4293">
                  <c:v>44014</c:v>
                </c:pt>
                <c:pt idx="4294">
                  <c:v>44015</c:v>
                </c:pt>
                <c:pt idx="4295">
                  <c:v>44016</c:v>
                </c:pt>
                <c:pt idx="4296">
                  <c:v>44017</c:v>
                </c:pt>
                <c:pt idx="4297">
                  <c:v>44018</c:v>
                </c:pt>
                <c:pt idx="4298">
                  <c:v>44019</c:v>
                </c:pt>
                <c:pt idx="4299">
                  <c:v>44020</c:v>
                </c:pt>
                <c:pt idx="4300">
                  <c:v>44021</c:v>
                </c:pt>
                <c:pt idx="4301">
                  <c:v>44022</c:v>
                </c:pt>
                <c:pt idx="4302">
                  <c:v>44023</c:v>
                </c:pt>
                <c:pt idx="4303">
                  <c:v>44024</c:v>
                </c:pt>
                <c:pt idx="4304">
                  <c:v>44025</c:v>
                </c:pt>
                <c:pt idx="4305">
                  <c:v>44026</c:v>
                </c:pt>
                <c:pt idx="4306">
                  <c:v>44027</c:v>
                </c:pt>
                <c:pt idx="4307">
                  <c:v>44028</c:v>
                </c:pt>
                <c:pt idx="4308">
                  <c:v>44029</c:v>
                </c:pt>
                <c:pt idx="4309">
                  <c:v>44030</c:v>
                </c:pt>
                <c:pt idx="4310">
                  <c:v>44031</c:v>
                </c:pt>
                <c:pt idx="4311">
                  <c:v>44032</c:v>
                </c:pt>
                <c:pt idx="4312">
                  <c:v>44033</c:v>
                </c:pt>
                <c:pt idx="4313">
                  <c:v>44034</c:v>
                </c:pt>
                <c:pt idx="4314">
                  <c:v>44035</c:v>
                </c:pt>
                <c:pt idx="4315">
                  <c:v>44036</c:v>
                </c:pt>
                <c:pt idx="4316">
                  <c:v>44037</c:v>
                </c:pt>
                <c:pt idx="4317">
                  <c:v>44038</c:v>
                </c:pt>
                <c:pt idx="4318">
                  <c:v>44039</c:v>
                </c:pt>
                <c:pt idx="4319">
                  <c:v>44040</c:v>
                </c:pt>
                <c:pt idx="4320">
                  <c:v>44041</c:v>
                </c:pt>
                <c:pt idx="4321">
                  <c:v>44042</c:v>
                </c:pt>
                <c:pt idx="4322">
                  <c:v>44043</c:v>
                </c:pt>
                <c:pt idx="4323">
                  <c:v>44044</c:v>
                </c:pt>
                <c:pt idx="4324">
                  <c:v>44045</c:v>
                </c:pt>
                <c:pt idx="4325">
                  <c:v>44046</c:v>
                </c:pt>
                <c:pt idx="4326">
                  <c:v>44047</c:v>
                </c:pt>
                <c:pt idx="4327">
                  <c:v>44048</c:v>
                </c:pt>
                <c:pt idx="4328">
                  <c:v>44049</c:v>
                </c:pt>
                <c:pt idx="4329">
                  <c:v>44050</c:v>
                </c:pt>
                <c:pt idx="4330">
                  <c:v>44051</c:v>
                </c:pt>
                <c:pt idx="4331">
                  <c:v>44052</c:v>
                </c:pt>
                <c:pt idx="4332">
                  <c:v>44053</c:v>
                </c:pt>
                <c:pt idx="4333">
                  <c:v>44054</c:v>
                </c:pt>
                <c:pt idx="4334">
                  <c:v>44055</c:v>
                </c:pt>
                <c:pt idx="4335">
                  <c:v>44056</c:v>
                </c:pt>
                <c:pt idx="4336">
                  <c:v>44057</c:v>
                </c:pt>
                <c:pt idx="4337">
                  <c:v>44058</c:v>
                </c:pt>
                <c:pt idx="4338">
                  <c:v>44059</c:v>
                </c:pt>
                <c:pt idx="4339">
                  <c:v>44060</c:v>
                </c:pt>
                <c:pt idx="4340">
                  <c:v>44061</c:v>
                </c:pt>
                <c:pt idx="4341">
                  <c:v>44062</c:v>
                </c:pt>
                <c:pt idx="4342">
                  <c:v>44063</c:v>
                </c:pt>
                <c:pt idx="4343">
                  <c:v>44064</c:v>
                </c:pt>
                <c:pt idx="4344">
                  <c:v>44065</c:v>
                </c:pt>
                <c:pt idx="4345">
                  <c:v>44066</c:v>
                </c:pt>
                <c:pt idx="4346">
                  <c:v>44067</c:v>
                </c:pt>
                <c:pt idx="4347">
                  <c:v>44068</c:v>
                </c:pt>
                <c:pt idx="4348">
                  <c:v>44069</c:v>
                </c:pt>
                <c:pt idx="4349">
                  <c:v>44070</c:v>
                </c:pt>
                <c:pt idx="4350">
                  <c:v>44071</c:v>
                </c:pt>
                <c:pt idx="4351">
                  <c:v>44072</c:v>
                </c:pt>
                <c:pt idx="4352">
                  <c:v>44073</c:v>
                </c:pt>
                <c:pt idx="4353">
                  <c:v>44074</c:v>
                </c:pt>
                <c:pt idx="4354">
                  <c:v>44075</c:v>
                </c:pt>
                <c:pt idx="4355">
                  <c:v>44076</c:v>
                </c:pt>
                <c:pt idx="4356">
                  <c:v>44077</c:v>
                </c:pt>
                <c:pt idx="4357">
                  <c:v>44078</c:v>
                </c:pt>
                <c:pt idx="4358">
                  <c:v>44079</c:v>
                </c:pt>
                <c:pt idx="4359">
                  <c:v>44080</c:v>
                </c:pt>
                <c:pt idx="4360">
                  <c:v>44081</c:v>
                </c:pt>
                <c:pt idx="4361">
                  <c:v>44082</c:v>
                </c:pt>
                <c:pt idx="4362">
                  <c:v>44083</c:v>
                </c:pt>
                <c:pt idx="4363">
                  <c:v>44084</c:v>
                </c:pt>
                <c:pt idx="4364">
                  <c:v>44085</c:v>
                </c:pt>
                <c:pt idx="4365">
                  <c:v>44086</c:v>
                </c:pt>
                <c:pt idx="4366">
                  <c:v>44087</c:v>
                </c:pt>
                <c:pt idx="4367">
                  <c:v>44088</c:v>
                </c:pt>
                <c:pt idx="4368">
                  <c:v>44089</c:v>
                </c:pt>
                <c:pt idx="4369">
                  <c:v>44090</c:v>
                </c:pt>
                <c:pt idx="4370">
                  <c:v>44091</c:v>
                </c:pt>
                <c:pt idx="4371">
                  <c:v>44092</c:v>
                </c:pt>
                <c:pt idx="4372">
                  <c:v>44093</c:v>
                </c:pt>
                <c:pt idx="4373">
                  <c:v>44094</c:v>
                </c:pt>
                <c:pt idx="4374">
                  <c:v>44095</c:v>
                </c:pt>
                <c:pt idx="4375">
                  <c:v>44096</c:v>
                </c:pt>
                <c:pt idx="4376">
                  <c:v>44097</c:v>
                </c:pt>
                <c:pt idx="4377">
                  <c:v>44098</c:v>
                </c:pt>
                <c:pt idx="4378">
                  <c:v>44099</c:v>
                </c:pt>
                <c:pt idx="4379">
                  <c:v>44100</c:v>
                </c:pt>
                <c:pt idx="4380">
                  <c:v>44101</c:v>
                </c:pt>
                <c:pt idx="4381">
                  <c:v>44102</c:v>
                </c:pt>
                <c:pt idx="4382">
                  <c:v>44103</c:v>
                </c:pt>
                <c:pt idx="4383">
                  <c:v>44104</c:v>
                </c:pt>
                <c:pt idx="4384">
                  <c:v>44105</c:v>
                </c:pt>
                <c:pt idx="4385">
                  <c:v>44106</c:v>
                </c:pt>
                <c:pt idx="4386">
                  <c:v>44107</c:v>
                </c:pt>
                <c:pt idx="4387">
                  <c:v>44108</c:v>
                </c:pt>
                <c:pt idx="4388">
                  <c:v>44109</c:v>
                </c:pt>
                <c:pt idx="4389">
                  <c:v>44110</c:v>
                </c:pt>
                <c:pt idx="4390">
                  <c:v>44111</c:v>
                </c:pt>
                <c:pt idx="4391">
                  <c:v>44112</c:v>
                </c:pt>
                <c:pt idx="4392">
                  <c:v>44113</c:v>
                </c:pt>
                <c:pt idx="4393">
                  <c:v>44114</c:v>
                </c:pt>
                <c:pt idx="4394">
                  <c:v>44115</c:v>
                </c:pt>
                <c:pt idx="4395">
                  <c:v>44116</c:v>
                </c:pt>
                <c:pt idx="4396">
                  <c:v>44117</c:v>
                </c:pt>
                <c:pt idx="4397">
                  <c:v>44118</c:v>
                </c:pt>
                <c:pt idx="4398">
                  <c:v>44119</c:v>
                </c:pt>
                <c:pt idx="4399">
                  <c:v>44120</c:v>
                </c:pt>
                <c:pt idx="4400">
                  <c:v>44121</c:v>
                </c:pt>
                <c:pt idx="4401">
                  <c:v>44122</c:v>
                </c:pt>
                <c:pt idx="4402">
                  <c:v>44123</c:v>
                </c:pt>
                <c:pt idx="4403">
                  <c:v>44124</c:v>
                </c:pt>
                <c:pt idx="4404">
                  <c:v>44125</c:v>
                </c:pt>
                <c:pt idx="4405">
                  <c:v>44126</c:v>
                </c:pt>
                <c:pt idx="4406">
                  <c:v>44127</c:v>
                </c:pt>
                <c:pt idx="4407">
                  <c:v>44128</c:v>
                </c:pt>
                <c:pt idx="4408">
                  <c:v>44129</c:v>
                </c:pt>
                <c:pt idx="4409">
                  <c:v>44130</c:v>
                </c:pt>
                <c:pt idx="4410">
                  <c:v>44131</c:v>
                </c:pt>
                <c:pt idx="4411">
                  <c:v>44132</c:v>
                </c:pt>
                <c:pt idx="4412">
                  <c:v>44133</c:v>
                </c:pt>
                <c:pt idx="4413">
                  <c:v>44134</c:v>
                </c:pt>
                <c:pt idx="4414">
                  <c:v>44135</c:v>
                </c:pt>
                <c:pt idx="4415">
                  <c:v>44136</c:v>
                </c:pt>
                <c:pt idx="4416">
                  <c:v>44137</c:v>
                </c:pt>
                <c:pt idx="4417">
                  <c:v>44138</c:v>
                </c:pt>
                <c:pt idx="4418">
                  <c:v>44139</c:v>
                </c:pt>
                <c:pt idx="4419">
                  <c:v>44140</c:v>
                </c:pt>
                <c:pt idx="4420">
                  <c:v>44141</c:v>
                </c:pt>
                <c:pt idx="4421">
                  <c:v>44142</c:v>
                </c:pt>
                <c:pt idx="4422">
                  <c:v>44143</c:v>
                </c:pt>
                <c:pt idx="4423">
                  <c:v>44144</c:v>
                </c:pt>
                <c:pt idx="4424">
                  <c:v>44145</c:v>
                </c:pt>
                <c:pt idx="4425">
                  <c:v>44146</c:v>
                </c:pt>
                <c:pt idx="4426">
                  <c:v>44147</c:v>
                </c:pt>
                <c:pt idx="4427">
                  <c:v>44148</c:v>
                </c:pt>
                <c:pt idx="4428">
                  <c:v>44149</c:v>
                </c:pt>
                <c:pt idx="4429">
                  <c:v>44150</c:v>
                </c:pt>
                <c:pt idx="4430">
                  <c:v>44151</c:v>
                </c:pt>
                <c:pt idx="4431">
                  <c:v>44152</c:v>
                </c:pt>
                <c:pt idx="4432">
                  <c:v>44153</c:v>
                </c:pt>
                <c:pt idx="4433">
                  <c:v>44154</c:v>
                </c:pt>
                <c:pt idx="4434">
                  <c:v>44155</c:v>
                </c:pt>
                <c:pt idx="4435">
                  <c:v>44156</c:v>
                </c:pt>
                <c:pt idx="4436">
                  <c:v>44157</c:v>
                </c:pt>
                <c:pt idx="4437">
                  <c:v>44158</c:v>
                </c:pt>
                <c:pt idx="4438">
                  <c:v>44159</c:v>
                </c:pt>
                <c:pt idx="4439">
                  <c:v>44160</c:v>
                </c:pt>
                <c:pt idx="4440">
                  <c:v>44161</c:v>
                </c:pt>
                <c:pt idx="4441">
                  <c:v>44162</c:v>
                </c:pt>
                <c:pt idx="4442">
                  <c:v>44163</c:v>
                </c:pt>
                <c:pt idx="4443">
                  <c:v>44164</c:v>
                </c:pt>
                <c:pt idx="4444">
                  <c:v>44165</c:v>
                </c:pt>
                <c:pt idx="4445">
                  <c:v>44166</c:v>
                </c:pt>
                <c:pt idx="4446">
                  <c:v>44167</c:v>
                </c:pt>
                <c:pt idx="4447">
                  <c:v>44168</c:v>
                </c:pt>
                <c:pt idx="4448">
                  <c:v>44169</c:v>
                </c:pt>
                <c:pt idx="4449">
                  <c:v>44170</c:v>
                </c:pt>
                <c:pt idx="4450">
                  <c:v>44171</c:v>
                </c:pt>
                <c:pt idx="4451">
                  <c:v>44172</c:v>
                </c:pt>
                <c:pt idx="4452">
                  <c:v>44173</c:v>
                </c:pt>
                <c:pt idx="4453">
                  <c:v>44174</c:v>
                </c:pt>
                <c:pt idx="4454">
                  <c:v>44175</c:v>
                </c:pt>
                <c:pt idx="4455">
                  <c:v>44176</c:v>
                </c:pt>
                <c:pt idx="4456">
                  <c:v>44177</c:v>
                </c:pt>
                <c:pt idx="4457">
                  <c:v>44178</c:v>
                </c:pt>
                <c:pt idx="4458">
                  <c:v>44179</c:v>
                </c:pt>
                <c:pt idx="4459">
                  <c:v>44180</c:v>
                </c:pt>
                <c:pt idx="4460">
                  <c:v>44181</c:v>
                </c:pt>
                <c:pt idx="4461">
                  <c:v>44182</c:v>
                </c:pt>
                <c:pt idx="4462">
                  <c:v>44183</c:v>
                </c:pt>
                <c:pt idx="4463">
                  <c:v>44184</c:v>
                </c:pt>
                <c:pt idx="4464">
                  <c:v>44185</c:v>
                </c:pt>
                <c:pt idx="4465">
                  <c:v>44186</c:v>
                </c:pt>
                <c:pt idx="4466">
                  <c:v>44187</c:v>
                </c:pt>
                <c:pt idx="4467">
                  <c:v>44188</c:v>
                </c:pt>
                <c:pt idx="4468">
                  <c:v>44189</c:v>
                </c:pt>
                <c:pt idx="4469">
                  <c:v>44190</c:v>
                </c:pt>
                <c:pt idx="4470">
                  <c:v>44191</c:v>
                </c:pt>
                <c:pt idx="4471">
                  <c:v>44192</c:v>
                </c:pt>
                <c:pt idx="4472">
                  <c:v>44193</c:v>
                </c:pt>
                <c:pt idx="4473">
                  <c:v>44194</c:v>
                </c:pt>
                <c:pt idx="4474">
                  <c:v>44195</c:v>
                </c:pt>
                <c:pt idx="4475">
                  <c:v>44196</c:v>
                </c:pt>
                <c:pt idx="4476">
                  <c:v>44197</c:v>
                </c:pt>
                <c:pt idx="4477">
                  <c:v>44198</c:v>
                </c:pt>
                <c:pt idx="4478">
                  <c:v>44199</c:v>
                </c:pt>
                <c:pt idx="4479">
                  <c:v>44200</c:v>
                </c:pt>
                <c:pt idx="4480">
                  <c:v>44201</c:v>
                </c:pt>
                <c:pt idx="4481">
                  <c:v>44202</c:v>
                </c:pt>
                <c:pt idx="4482">
                  <c:v>44203</c:v>
                </c:pt>
                <c:pt idx="4483">
                  <c:v>44204</c:v>
                </c:pt>
                <c:pt idx="4484">
                  <c:v>44205</c:v>
                </c:pt>
                <c:pt idx="4485">
                  <c:v>44206</c:v>
                </c:pt>
                <c:pt idx="4486">
                  <c:v>44207</c:v>
                </c:pt>
                <c:pt idx="4487">
                  <c:v>44208</c:v>
                </c:pt>
                <c:pt idx="4488">
                  <c:v>44209</c:v>
                </c:pt>
                <c:pt idx="4489">
                  <c:v>44210</c:v>
                </c:pt>
                <c:pt idx="4490">
                  <c:v>44211</c:v>
                </c:pt>
                <c:pt idx="4491">
                  <c:v>44212</c:v>
                </c:pt>
                <c:pt idx="4492">
                  <c:v>44213</c:v>
                </c:pt>
                <c:pt idx="4493">
                  <c:v>44214</c:v>
                </c:pt>
                <c:pt idx="4494">
                  <c:v>44215</c:v>
                </c:pt>
                <c:pt idx="4495">
                  <c:v>44216</c:v>
                </c:pt>
                <c:pt idx="4496">
                  <c:v>44217</c:v>
                </c:pt>
                <c:pt idx="4497">
                  <c:v>44218</c:v>
                </c:pt>
                <c:pt idx="4498">
                  <c:v>44219</c:v>
                </c:pt>
                <c:pt idx="4499">
                  <c:v>44220</c:v>
                </c:pt>
                <c:pt idx="4500">
                  <c:v>44221</c:v>
                </c:pt>
                <c:pt idx="4501">
                  <c:v>44222</c:v>
                </c:pt>
                <c:pt idx="4502">
                  <c:v>44223</c:v>
                </c:pt>
                <c:pt idx="4503">
                  <c:v>44224</c:v>
                </c:pt>
                <c:pt idx="4504">
                  <c:v>44225</c:v>
                </c:pt>
                <c:pt idx="4505">
                  <c:v>44226</c:v>
                </c:pt>
                <c:pt idx="4506">
                  <c:v>44227</c:v>
                </c:pt>
                <c:pt idx="4507">
                  <c:v>44228</c:v>
                </c:pt>
                <c:pt idx="4508">
                  <c:v>44229</c:v>
                </c:pt>
                <c:pt idx="4509">
                  <c:v>44230</c:v>
                </c:pt>
                <c:pt idx="4510">
                  <c:v>44231</c:v>
                </c:pt>
                <c:pt idx="4511">
                  <c:v>44232</c:v>
                </c:pt>
                <c:pt idx="4512">
                  <c:v>44233</c:v>
                </c:pt>
                <c:pt idx="4513">
                  <c:v>44234</c:v>
                </c:pt>
                <c:pt idx="4514">
                  <c:v>44235</c:v>
                </c:pt>
                <c:pt idx="4515">
                  <c:v>44236</c:v>
                </c:pt>
                <c:pt idx="4516">
                  <c:v>44237</c:v>
                </c:pt>
                <c:pt idx="4517">
                  <c:v>44238</c:v>
                </c:pt>
                <c:pt idx="4518">
                  <c:v>44239</c:v>
                </c:pt>
                <c:pt idx="4519">
                  <c:v>44240</c:v>
                </c:pt>
                <c:pt idx="4520">
                  <c:v>44241</c:v>
                </c:pt>
                <c:pt idx="4521">
                  <c:v>44242</c:v>
                </c:pt>
                <c:pt idx="4522">
                  <c:v>44243</c:v>
                </c:pt>
                <c:pt idx="4523">
                  <c:v>44244</c:v>
                </c:pt>
                <c:pt idx="4524">
                  <c:v>44245</c:v>
                </c:pt>
                <c:pt idx="4525">
                  <c:v>44246</c:v>
                </c:pt>
                <c:pt idx="4526">
                  <c:v>44247</c:v>
                </c:pt>
                <c:pt idx="4527">
                  <c:v>44248</c:v>
                </c:pt>
                <c:pt idx="4528">
                  <c:v>44249</c:v>
                </c:pt>
                <c:pt idx="4529">
                  <c:v>44250</c:v>
                </c:pt>
                <c:pt idx="4530">
                  <c:v>44251</c:v>
                </c:pt>
                <c:pt idx="4531">
                  <c:v>44252</c:v>
                </c:pt>
                <c:pt idx="4532">
                  <c:v>44253</c:v>
                </c:pt>
                <c:pt idx="4533">
                  <c:v>44254</c:v>
                </c:pt>
                <c:pt idx="4534">
                  <c:v>44255</c:v>
                </c:pt>
                <c:pt idx="4535">
                  <c:v>44256</c:v>
                </c:pt>
                <c:pt idx="4536">
                  <c:v>44257</c:v>
                </c:pt>
                <c:pt idx="4537">
                  <c:v>44258</c:v>
                </c:pt>
                <c:pt idx="4538">
                  <c:v>44259</c:v>
                </c:pt>
                <c:pt idx="4539">
                  <c:v>44260</c:v>
                </c:pt>
                <c:pt idx="4540">
                  <c:v>44261</c:v>
                </c:pt>
                <c:pt idx="4541">
                  <c:v>44262</c:v>
                </c:pt>
                <c:pt idx="4542">
                  <c:v>44263</c:v>
                </c:pt>
                <c:pt idx="4543">
                  <c:v>44264</c:v>
                </c:pt>
                <c:pt idx="4544">
                  <c:v>44265</c:v>
                </c:pt>
                <c:pt idx="4545">
                  <c:v>44266</c:v>
                </c:pt>
                <c:pt idx="4546">
                  <c:v>44267</c:v>
                </c:pt>
                <c:pt idx="4547">
                  <c:v>44268</c:v>
                </c:pt>
                <c:pt idx="4548">
                  <c:v>44269</c:v>
                </c:pt>
                <c:pt idx="4549">
                  <c:v>44270</c:v>
                </c:pt>
                <c:pt idx="4550">
                  <c:v>44271</c:v>
                </c:pt>
                <c:pt idx="4551">
                  <c:v>44272</c:v>
                </c:pt>
                <c:pt idx="4552">
                  <c:v>44273</c:v>
                </c:pt>
                <c:pt idx="4553">
                  <c:v>44274</c:v>
                </c:pt>
                <c:pt idx="4554">
                  <c:v>44275</c:v>
                </c:pt>
                <c:pt idx="4555">
                  <c:v>44276</c:v>
                </c:pt>
                <c:pt idx="4556">
                  <c:v>44277</c:v>
                </c:pt>
                <c:pt idx="4557">
                  <c:v>44278</c:v>
                </c:pt>
                <c:pt idx="4558">
                  <c:v>44279</c:v>
                </c:pt>
                <c:pt idx="4559">
                  <c:v>44280</c:v>
                </c:pt>
                <c:pt idx="4560">
                  <c:v>44281</c:v>
                </c:pt>
                <c:pt idx="4561">
                  <c:v>44282</c:v>
                </c:pt>
                <c:pt idx="4562">
                  <c:v>44283</c:v>
                </c:pt>
                <c:pt idx="4563">
                  <c:v>44284</c:v>
                </c:pt>
                <c:pt idx="4564">
                  <c:v>44285</c:v>
                </c:pt>
                <c:pt idx="4565">
                  <c:v>44286</c:v>
                </c:pt>
                <c:pt idx="4566">
                  <c:v>44287</c:v>
                </c:pt>
                <c:pt idx="4567">
                  <c:v>44288</c:v>
                </c:pt>
                <c:pt idx="4568">
                  <c:v>44289</c:v>
                </c:pt>
                <c:pt idx="4569">
                  <c:v>44290</c:v>
                </c:pt>
                <c:pt idx="4570">
                  <c:v>44291</c:v>
                </c:pt>
                <c:pt idx="4571">
                  <c:v>44292</c:v>
                </c:pt>
                <c:pt idx="4572">
                  <c:v>44293</c:v>
                </c:pt>
                <c:pt idx="4573">
                  <c:v>44294</c:v>
                </c:pt>
                <c:pt idx="4574">
                  <c:v>44295</c:v>
                </c:pt>
                <c:pt idx="4575">
                  <c:v>44296</c:v>
                </c:pt>
                <c:pt idx="4576">
                  <c:v>44297</c:v>
                </c:pt>
                <c:pt idx="4577">
                  <c:v>44298</c:v>
                </c:pt>
                <c:pt idx="4578">
                  <c:v>44299</c:v>
                </c:pt>
                <c:pt idx="4579">
                  <c:v>44300</c:v>
                </c:pt>
                <c:pt idx="4580">
                  <c:v>44301</c:v>
                </c:pt>
                <c:pt idx="4581">
                  <c:v>44302</c:v>
                </c:pt>
                <c:pt idx="4582">
                  <c:v>44303</c:v>
                </c:pt>
                <c:pt idx="4583">
                  <c:v>44304</c:v>
                </c:pt>
                <c:pt idx="4584">
                  <c:v>44305</c:v>
                </c:pt>
                <c:pt idx="4585">
                  <c:v>44306</c:v>
                </c:pt>
                <c:pt idx="4586">
                  <c:v>44307</c:v>
                </c:pt>
                <c:pt idx="4587">
                  <c:v>44308</c:v>
                </c:pt>
                <c:pt idx="4588">
                  <c:v>44309</c:v>
                </c:pt>
                <c:pt idx="4589">
                  <c:v>44310</c:v>
                </c:pt>
                <c:pt idx="4590">
                  <c:v>44311</c:v>
                </c:pt>
                <c:pt idx="4591">
                  <c:v>44312</c:v>
                </c:pt>
                <c:pt idx="4592">
                  <c:v>44313</c:v>
                </c:pt>
                <c:pt idx="4593">
                  <c:v>44314</c:v>
                </c:pt>
                <c:pt idx="4594">
                  <c:v>44315</c:v>
                </c:pt>
                <c:pt idx="4595">
                  <c:v>44316</c:v>
                </c:pt>
                <c:pt idx="4596">
                  <c:v>44317</c:v>
                </c:pt>
                <c:pt idx="4597">
                  <c:v>44318</c:v>
                </c:pt>
                <c:pt idx="4598">
                  <c:v>44319</c:v>
                </c:pt>
                <c:pt idx="4599">
                  <c:v>44320</c:v>
                </c:pt>
                <c:pt idx="4600">
                  <c:v>44321</c:v>
                </c:pt>
                <c:pt idx="4601">
                  <c:v>44322</c:v>
                </c:pt>
                <c:pt idx="4602">
                  <c:v>44323</c:v>
                </c:pt>
                <c:pt idx="4603">
                  <c:v>44324</c:v>
                </c:pt>
                <c:pt idx="4604">
                  <c:v>44325</c:v>
                </c:pt>
                <c:pt idx="4605">
                  <c:v>44326</c:v>
                </c:pt>
                <c:pt idx="4606">
                  <c:v>44327</c:v>
                </c:pt>
                <c:pt idx="4607">
                  <c:v>44328</c:v>
                </c:pt>
                <c:pt idx="4608">
                  <c:v>44329</c:v>
                </c:pt>
                <c:pt idx="4609">
                  <c:v>44330</c:v>
                </c:pt>
                <c:pt idx="4610">
                  <c:v>44331</c:v>
                </c:pt>
                <c:pt idx="4611">
                  <c:v>44332</c:v>
                </c:pt>
                <c:pt idx="4612">
                  <c:v>44333</c:v>
                </c:pt>
                <c:pt idx="4613">
                  <c:v>44334</c:v>
                </c:pt>
                <c:pt idx="4614">
                  <c:v>44335</c:v>
                </c:pt>
                <c:pt idx="4615">
                  <c:v>44336</c:v>
                </c:pt>
                <c:pt idx="4616">
                  <c:v>44337</c:v>
                </c:pt>
                <c:pt idx="4617">
                  <c:v>44338</c:v>
                </c:pt>
                <c:pt idx="4618">
                  <c:v>44339</c:v>
                </c:pt>
                <c:pt idx="4619">
                  <c:v>44340</c:v>
                </c:pt>
                <c:pt idx="4620">
                  <c:v>44341</c:v>
                </c:pt>
                <c:pt idx="4621">
                  <c:v>44342</c:v>
                </c:pt>
                <c:pt idx="4622">
                  <c:v>44343</c:v>
                </c:pt>
                <c:pt idx="4623">
                  <c:v>44344</c:v>
                </c:pt>
                <c:pt idx="4624">
                  <c:v>44345</c:v>
                </c:pt>
                <c:pt idx="4625">
                  <c:v>44346</c:v>
                </c:pt>
                <c:pt idx="4626">
                  <c:v>44347</c:v>
                </c:pt>
                <c:pt idx="4627">
                  <c:v>44348</c:v>
                </c:pt>
                <c:pt idx="4628">
                  <c:v>44349</c:v>
                </c:pt>
                <c:pt idx="4629">
                  <c:v>44350</c:v>
                </c:pt>
                <c:pt idx="4630">
                  <c:v>44351</c:v>
                </c:pt>
                <c:pt idx="4631">
                  <c:v>44352</c:v>
                </c:pt>
                <c:pt idx="4632">
                  <c:v>44353</c:v>
                </c:pt>
                <c:pt idx="4633">
                  <c:v>44354</c:v>
                </c:pt>
                <c:pt idx="4634">
                  <c:v>44355</c:v>
                </c:pt>
                <c:pt idx="4635">
                  <c:v>44356</c:v>
                </c:pt>
                <c:pt idx="4636">
                  <c:v>44357</c:v>
                </c:pt>
                <c:pt idx="4637">
                  <c:v>44358</c:v>
                </c:pt>
                <c:pt idx="4638">
                  <c:v>44359</c:v>
                </c:pt>
                <c:pt idx="4639">
                  <c:v>44360</c:v>
                </c:pt>
                <c:pt idx="4640">
                  <c:v>44361</c:v>
                </c:pt>
                <c:pt idx="4641">
                  <c:v>44362</c:v>
                </c:pt>
                <c:pt idx="4642">
                  <c:v>44363</c:v>
                </c:pt>
                <c:pt idx="4643">
                  <c:v>44364</c:v>
                </c:pt>
                <c:pt idx="4644">
                  <c:v>44365</c:v>
                </c:pt>
                <c:pt idx="4645">
                  <c:v>44366</c:v>
                </c:pt>
                <c:pt idx="4646">
                  <c:v>44367</c:v>
                </c:pt>
                <c:pt idx="4647">
                  <c:v>44368</c:v>
                </c:pt>
                <c:pt idx="4648">
                  <c:v>44369</c:v>
                </c:pt>
                <c:pt idx="4649">
                  <c:v>44370</c:v>
                </c:pt>
                <c:pt idx="4650">
                  <c:v>44371</c:v>
                </c:pt>
                <c:pt idx="4651">
                  <c:v>44372</c:v>
                </c:pt>
                <c:pt idx="4652">
                  <c:v>44373</c:v>
                </c:pt>
                <c:pt idx="4653">
                  <c:v>44374</c:v>
                </c:pt>
                <c:pt idx="4654">
                  <c:v>44375</c:v>
                </c:pt>
                <c:pt idx="4655">
                  <c:v>44376</c:v>
                </c:pt>
                <c:pt idx="4656">
                  <c:v>44377</c:v>
                </c:pt>
                <c:pt idx="4657">
                  <c:v>44378</c:v>
                </c:pt>
                <c:pt idx="4658">
                  <c:v>44379</c:v>
                </c:pt>
                <c:pt idx="4659">
                  <c:v>44380</c:v>
                </c:pt>
                <c:pt idx="4660">
                  <c:v>44381</c:v>
                </c:pt>
                <c:pt idx="4661">
                  <c:v>44382</c:v>
                </c:pt>
                <c:pt idx="4662">
                  <c:v>44383</c:v>
                </c:pt>
                <c:pt idx="4663">
                  <c:v>44384</c:v>
                </c:pt>
                <c:pt idx="4664">
                  <c:v>44385</c:v>
                </c:pt>
                <c:pt idx="4665">
                  <c:v>44386</c:v>
                </c:pt>
                <c:pt idx="4666">
                  <c:v>44387</c:v>
                </c:pt>
                <c:pt idx="4667">
                  <c:v>44388</c:v>
                </c:pt>
                <c:pt idx="4668">
                  <c:v>44389</c:v>
                </c:pt>
                <c:pt idx="4669">
                  <c:v>44390</c:v>
                </c:pt>
                <c:pt idx="4670">
                  <c:v>44391</c:v>
                </c:pt>
                <c:pt idx="4671">
                  <c:v>44392</c:v>
                </c:pt>
                <c:pt idx="4672">
                  <c:v>44393</c:v>
                </c:pt>
                <c:pt idx="4673">
                  <c:v>44394</c:v>
                </c:pt>
                <c:pt idx="4674">
                  <c:v>44395</c:v>
                </c:pt>
                <c:pt idx="4675">
                  <c:v>44396</c:v>
                </c:pt>
                <c:pt idx="4676">
                  <c:v>44397</c:v>
                </c:pt>
                <c:pt idx="4677">
                  <c:v>44398</c:v>
                </c:pt>
                <c:pt idx="4678">
                  <c:v>44399</c:v>
                </c:pt>
                <c:pt idx="4679">
                  <c:v>44400</c:v>
                </c:pt>
                <c:pt idx="4680">
                  <c:v>44401</c:v>
                </c:pt>
                <c:pt idx="4681">
                  <c:v>44402</c:v>
                </c:pt>
                <c:pt idx="4682">
                  <c:v>44403</c:v>
                </c:pt>
                <c:pt idx="4683">
                  <c:v>44404</c:v>
                </c:pt>
                <c:pt idx="4684">
                  <c:v>44405</c:v>
                </c:pt>
                <c:pt idx="4685">
                  <c:v>44406</c:v>
                </c:pt>
                <c:pt idx="4686">
                  <c:v>44407</c:v>
                </c:pt>
                <c:pt idx="4687">
                  <c:v>44408</c:v>
                </c:pt>
                <c:pt idx="4688">
                  <c:v>44409</c:v>
                </c:pt>
                <c:pt idx="4689">
                  <c:v>44410</c:v>
                </c:pt>
                <c:pt idx="4690">
                  <c:v>44411</c:v>
                </c:pt>
                <c:pt idx="4691">
                  <c:v>44412</c:v>
                </c:pt>
                <c:pt idx="4692">
                  <c:v>44413</c:v>
                </c:pt>
                <c:pt idx="4693">
                  <c:v>44414</c:v>
                </c:pt>
                <c:pt idx="4694">
                  <c:v>44415</c:v>
                </c:pt>
                <c:pt idx="4695">
                  <c:v>44416</c:v>
                </c:pt>
                <c:pt idx="4696">
                  <c:v>44417</c:v>
                </c:pt>
                <c:pt idx="4697">
                  <c:v>44418</c:v>
                </c:pt>
                <c:pt idx="4698">
                  <c:v>44419</c:v>
                </c:pt>
                <c:pt idx="4699">
                  <c:v>44420</c:v>
                </c:pt>
                <c:pt idx="4700">
                  <c:v>44421</c:v>
                </c:pt>
                <c:pt idx="4701">
                  <c:v>44422</c:v>
                </c:pt>
                <c:pt idx="4702">
                  <c:v>44423</c:v>
                </c:pt>
                <c:pt idx="4703">
                  <c:v>44424</c:v>
                </c:pt>
                <c:pt idx="4704">
                  <c:v>44425</c:v>
                </c:pt>
                <c:pt idx="4705">
                  <c:v>44426</c:v>
                </c:pt>
                <c:pt idx="4706">
                  <c:v>44427</c:v>
                </c:pt>
                <c:pt idx="4707">
                  <c:v>44428</c:v>
                </c:pt>
                <c:pt idx="4708">
                  <c:v>44429</c:v>
                </c:pt>
                <c:pt idx="4709">
                  <c:v>44430</c:v>
                </c:pt>
                <c:pt idx="4710">
                  <c:v>44431</c:v>
                </c:pt>
                <c:pt idx="4711">
                  <c:v>44432</c:v>
                </c:pt>
                <c:pt idx="4712">
                  <c:v>44433</c:v>
                </c:pt>
                <c:pt idx="4713">
                  <c:v>44434</c:v>
                </c:pt>
                <c:pt idx="4714">
                  <c:v>44435</c:v>
                </c:pt>
                <c:pt idx="4715">
                  <c:v>44436</c:v>
                </c:pt>
                <c:pt idx="4716">
                  <c:v>44437</c:v>
                </c:pt>
                <c:pt idx="4717">
                  <c:v>44438</c:v>
                </c:pt>
                <c:pt idx="4718">
                  <c:v>44439</c:v>
                </c:pt>
                <c:pt idx="4719">
                  <c:v>44440</c:v>
                </c:pt>
                <c:pt idx="4720">
                  <c:v>44441</c:v>
                </c:pt>
                <c:pt idx="4721">
                  <c:v>44442</c:v>
                </c:pt>
                <c:pt idx="4722">
                  <c:v>44443</c:v>
                </c:pt>
                <c:pt idx="4723">
                  <c:v>44444</c:v>
                </c:pt>
                <c:pt idx="4724">
                  <c:v>44445</c:v>
                </c:pt>
                <c:pt idx="4725">
                  <c:v>44446</c:v>
                </c:pt>
                <c:pt idx="4726">
                  <c:v>44447</c:v>
                </c:pt>
                <c:pt idx="4727">
                  <c:v>44448</c:v>
                </c:pt>
                <c:pt idx="4728">
                  <c:v>44449</c:v>
                </c:pt>
                <c:pt idx="4729">
                  <c:v>44450</c:v>
                </c:pt>
                <c:pt idx="4730">
                  <c:v>44451</c:v>
                </c:pt>
                <c:pt idx="4731">
                  <c:v>44452</c:v>
                </c:pt>
                <c:pt idx="4732">
                  <c:v>44453</c:v>
                </c:pt>
                <c:pt idx="4733">
                  <c:v>44454</c:v>
                </c:pt>
                <c:pt idx="4734">
                  <c:v>44455</c:v>
                </c:pt>
                <c:pt idx="4735">
                  <c:v>44456</c:v>
                </c:pt>
                <c:pt idx="4736">
                  <c:v>44457</c:v>
                </c:pt>
                <c:pt idx="4737">
                  <c:v>44458</c:v>
                </c:pt>
                <c:pt idx="4738">
                  <c:v>44459</c:v>
                </c:pt>
                <c:pt idx="4739">
                  <c:v>44460</c:v>
                </c:pt>
                <c:pt idx="4740">
                  <c:v>44461</c:v>
                </c:pt>
                <c:pt idx="4741">
                  <c:v>44462</c:v>
                </c:pt>
                <c:pt idx="4742">
                  <c:v>44463</c:v>
                </c:pt>
                <c:pt idx="4743">
                  <c:v>44464</c:v>
                </c:pt>
                <c:pt idx="4744">
                  <c:v>44465</c:v>
                </c:pt>
                <c:pt idx="4745">
                  <c:v>44466</c:v>
                </c:pt>
                <c:pt idx="4746">
                  <c:v>44467</c:v>
                </c:pt>
                <c:pt idx="4747">
                  <c:v>44468</c:v>
                </c:pt>
                <c:pt idx="4748">
                  <c:v>44469</c:v>
                </c:pt>
                <c:pt idx="4749">
                  <c:v>44470</c:v>
                </c:pt>
                <c:pt idx="4750">
                  <c:v>44471</c:v>
                </c:pt>
                <c:pt idx="4751">
                  <c:v>44472</c:v>
                </c:pt>
                <c:pt idx="4752">
                  <c:v>44473</c:v>
                </c:pt>
                <c:pt idx="4753">
                  <c:v>44474</c:v>
                </c:pt>
                <c:pt idx="4754">
                  <c:v>44475</c:v>
                </c:pt>
                <c:pt idx="4755">
                  <c:v>44476</c:v>
                </c:pt>
                <c:pt idx="4756">
                  <c:v>44477</c:v>
                </c:pt>
                <c:pt idx="4757">
                  <c:v>44478</c:v>
                </c:pt>
                <c:pt idx="4758">
                  <c:v>44479</c:v>
                </c:pt>
                <c:pt idx="4759">
                  <c:v>44480</c:v>
                </c:pt>
                <c:pt idx="4760">
                  <c:v>44481</c:v>
                </c:pt>
                <c:pt idx="4761">
                  <c:v>44482</c:v>
                </c:pt>
                <c:pt idx="4762">
                  <c:v>44483</c:v>
                </c:pt>
                <c:pt idx="4763">
                  <c:v>44484</c:v>
                </c:pt>
                <c:pt idx="4764">
                  <c:v>44485</c:v>
                </c:pt>
                <c:pt idx="4765">
                  <c:v>44486</c:v>
                </c:pt>
                <c:pt idx="4766">
                  <c:v>44487</c:v>
                </c:pt>
                <c:pt idx="4767">
                  <c:v>44488</c:v>
                </c:pt>
                <c:pt idx="4768">
                  <c:v>44489</c:v>
                </c:pt>
                <c:pt idx="4769">
                  <c:v>44490</c:v>
                </c:pt>
                <c:pt idx="4770">
                  <c:v>44491</c:v>
                </c:pt>
                <c:pt idx="4771">
                  <c:v>44492</c:v>
                </c:pt>
                <c:pt idx="4772">
                  <c:v>44493</c:v>
                </c:pt>
                <c:pt idx="4773">
                  <c:v>44494</c:v>
                </c:pt>
                <c:pt idx="4774">
                  <c:v>44495</c:v>
                </c:pt>
                <c:pt idx="4775">
                  <c:v>44496</c:v>
                </c:pt>
                <c:pt idx="4776">
                  <c:v>44497</c:v>
                </c:pt>
                <c:pt idx="4777">
                  <c:v>44498</c:v>
                </c:pt>
                <c:pt idx="4778">
                  <c:v>44499</c:v>
                </c:pt>
                <c:pt idx="4779">
                  <c:v>44500</c:v>
                </c:pt>
                <c:pt idx="4780">
                  <c:v>44501</c:v>
                </c:pt>
                <c:pt idx="4781">
                  <c:v>44502</c:v>
                </c:pt>
                <c:pt idx="4782">
                  <c:v>44503</c:v>
                </c:pt>
                <c:pt idx="4783">
                  <c:v>44504</c:v>
                </c:pt>
                <c:pt idx="4784">
                  <c:v>44505</c:v>
                </c:pt>
                <c:pt idx="4785">
                  <c:v>44506</c:v>
                </c:pt>
                <c:pt idx="4786">
                  <c:v>44507</c:v>
                </c:pt>
                <c:pt idx="4787">
                  <c:v>44508</c:v>
                </c:pt>
                <c:pt idx="4788">
                  <c:v>44509</c:v>
                </c:pt>
                <c:pt idx="4789">
                  <c:v>44510</c:v>
                </c:pt>
                <c:pt idx="4790">
                  <c:v>44511</c:v>
                </c:pt>
                <c:pt idx="4791">
                  <c:v>44512</c:v>
                </c:pt>
                <c:pt idx="4792">
                  <c:v>44513</c:v>
                </c:pt>
                <c:pt idx="4793">
                  <c:v>44514</c:v>
                </c:pt>
                <c:pt idx="4794">
                  <c:v>44515</c:v>
                </c:pt>
                <c:pt idx="4795">
                  <c:v>44516</c:v>
                </c:pt>
                <c:pt idx="4796">
                  <c:v>44517</c:v>
                </c:pt>
                <c:pt idx="4797">
                  <c:v>44518</c:v>
                </c:pt>
                <c:pt idx="4798">
                  <c:v>44519</c:v>
                </c:pt>
                <c:pt idx="4799">
                  <c:v>44520</c:v>
                </c:pt>
                <c:pt idx="4800">
                  <c:v>44521</c:v>
                </c:pt>
                <c:pt idx="4801">
                  <c:v>44522</c:v>
                </c:pt>
                <c:pt idx="4802">
                  <c:v>44523</c:v>
                </c:pt>
                <c:pt idx="4803">
                  <c:v>44524</c:v>
                </c:pt>
                <c:pt idx="4804">
                  <c:v>44525</c:v>
                </c:pt>
                <c:pt idx="4805">
                  <c:v>44526</c:v>
                </c:pt>
                <c:pt idx="4806">
                  <c:v>44527</c:v>
                </c:pt>
                <c:pt idx="4807">
                  <c:v>44528</c:v>
                </c:pt>
                <c:pt idx="4808">
                  <c:v>44529</c:v>
                </c:pt>
                <c:pt idx="4809">
                  <c:v>44530</c:v>
                </c:pt>
                <c:pt idx="4810">
                  <c:v>44531</c:v>
                </c:pt>
                <c:pt idx="4811">
                  <c:v>44532</c:v>
                </c:pt>
                <c:pt idx="4812">
                  <c:v>44533</c:v>
                </c:pt>
                <c:pt idx="4813">
                  <c:v>44534</c:v>
                </c:pt>
                <c:pt idx="4814">
                  <c:v>44535</c:v>
                </c:pt>
                <c:pt idx="4815">
                  <c:v>44536</c:v>
                </c:pt>
                <c:pt idx="4816">
                  <c:v>44537</c:v>
                </c:pt>
                <c:pt idx="4817">
                  <c:v>44538</c:v>
                </c:pt>
                <c:pt idx="4818">
                  <c:v>44539</c:v>
                </c:pt>
                <c:pt idx="4819">
                  <c:v>44540</c:v>
                </c:pt>
                <c:pt idx="4820">
                  <c:v>44541</c:v>
                </c:pt>
                <c:pt idx="4821">
                  <c:v>44542</c:v>
                </c:pt>
                <c:pt idx="4822">
                  <c:v>44543</c:v>
                </c:pt>
                <c:pt idx="4823">
                  <c:v>44544</c:v>
                </c:pt>
                <c:pt idx="4824">
                  <c:v>44545</c:v>
                </c:pt>
                <c:pt idx="4825">
                  <c:v>44546</c:v>
                </c:pt>
                <c:pt idx="4826">
                  <c:v>44547</c:v>
                </c:pt>
                <c:pt idx="4827">
                  <c:v>44548</c:v>
                </c:pt>
                <c:pt idx="4828">
                  <c:v>44549</c:v>
                </c:pt>
                <c:pt idx="4829">
                  <c:v>44550</c:v>
                </c:pt>
                <c:pt idx="4830">
                  <c:v>44551</c:v>
                </c:pt>
                <c:pt idx="4831">
                  <c:v>44552</c:v>
                </c:pt>
                <c:pt idx="4832">
                  <c:v>44553</c:v>
                </c:pt>
                <c:pt idx="4833">
                  <c:v>44554</c:v>
                </c:pt>
                <c:pt idx="4834">
                  <c:v>44555</c:v>
                </c:pt>
                <c:pt idx="4835">
                  <c:v>44556</c:v>
                </c:pt>
                <c:pt idx="4836">
                  <c:v>44557</c:v>
                </c:pt>
                <c:pt idx="4837">
                  <c:v>44558</c:v>
                </c:pt>
                <c:pt idx="4838">
                  <c:v>44559</c:v>
                </c:pt>
                <c:pt idx="4839">
                  <c:v>44560</c:v>
                </c:pt>
                <c:pt idx="4840">
                  <c:v>44561</c:v>
                </c:pt>
                <c:pt idx="4841">
                  <c:v>44562</c:v>
                </c:pt>
                <c:pt idx="4842">
                  <c:v>44563</c:v>
                </c:pt>
                <c:pt idx="4843">
                  <c:v>44564</c:v>
                </c:pt>
                <c:pt idx="4844">
                  <c:v>44565</c:v>
                </c:pt>
                <c:pt idx="4845">
                  <c:v>44566</c:v>
                </c:pt>
                <c:pt idx="4846">
                  <c:v>44567</c:v>
                </c:pt>
                <c:pt idx="4847">
                  <c:v>44568</c:v>
                </c:pt>
                <c:pt idx="4848">
                  <c:v>44569</c:v>
                </c:pt>
                <c:pt idx="4849">
                  <c:v>44570</c:v>
                </c:pt>
                <c:pt idx="4850">
                  <c:v>44571</c:v>
                </c:pt>
                <c:pt idx="4851">
                  <c:v>44572</c:v>
                </c:pt>
                <c:pt idx="4852">
                  <c:v>44573</c:v>
                </c:pt>
                <c:pt idx="4853">
                  <c:v>44574</c:v>
                </c:pt>
                <c:pt idx="4854">
                  <c:v>44575</c:v>
                </c:pt>
                <c:pt idx="4855">
                  <c:v>44576</c:v>
                </c:pt>
                <c:pt idx="4856">
                  <c:v>44577</c:v>
                </c:pt>
                <c:pt idx="4857">
                  <c:v>44578</c:v>
                </c:pt>
                <c:pt idx="4858">
                  <c:v>44579</c:v>
                </c:pt>
                <c:pt idx="4859">
                  <c:v>44580</c:v>
                </c:pt>
                <c:pt idx="4860">
                  <c:v>44581</c:v>
                </c:pt>
                <c:pt idx="4861">
                  <c:v>44582</c:v>
                </c:pt>
                <c:pt idx="4862">
                  <c:v>44583</c:v>
                </c:pt>
                <c:pt idx="4863">
                  <c:v>44584</c:v>
                </c:pt>
                <c:pt idx="4864">
                  <c:v>44585</c:v>
                </c:pt>
                <c:pt idx="4865">
                  <c:v>44586</c:v>
                </c:pt>
                <c:pt idx="4866">
                  <c:v>44587</c:v>
                </c:pt>
                <c:pt idx="4867">
                  <c:v>44588</c:v>
                </c:pt>
                <c:pt idx="4868">
                  <c:v>44589</c:v>
                </c:pt>
                <c:pt idx="4869">
                  <c:v>44590</c:v>
                </c:pt>
                <c:pt idx="4870">
                  <c:v>44591</c:v>
                </c:pt>
                <c:pt idx="4871">
                  <c:v>44592</c:v>
                </c:pt>
                <c:pt idx="4872">
                  <c:v>44593</c:v>
                </c:pt>
                <c:pt idx="4873">
                  <c:v>44594</c:v>
                </c:pt>
                <c:pt idx="4874">
                  <c:v>44595</c:v>
                </c:pt>
                <c:pt idx="4875">
                  <c:v>44596</c:v>
                </c:pt>
                <c:pt idx="4876">
                  <c:v>44597</c:v>
                </c:pt>
                <c:pt idx="4877">
                  <c:v>44598</c:v>
                </c:pt>
                <c:pt idx="4878">
                  <c:v>44599</c:v>
                </c:pt>
                <c:pt idx="4879">
                  <c:v>44600</c:v>
                </c:pt>
                <c:pt idx="4880">
                  <c:v>44601</c:v>
                </c:pt>
                <c:pt idx="4881">
                  <c:v>44602</c:v>
                </c:pt>
                <c:pt idx="4882">
                  <c:v>44603</c:v>
                </c:pt>
                <c:pt idx="4883">
                  <c:v>44604</c:v>
                </c:pt>
                <c:pt idx="4884">
                  <c:v>44605</c:v>
                </c:pt>
                <c:pt idx="4885">
                  <c:v>44606</c:v>
                </c:pt>
                <c:pt idx="4886">
                  <c:v>44607</c:v>
                </c:pt>
                <c:pt idx="4887">
                  <c:v>44608</c:v>
                </c:pt>
                <c:pt idx="4888">
                  <c:v>44609</c:v>
                </c:pt>
                <c:pt idx="4889">
                  <c:v>44610</c:v>
                </c:pt>
                <c:pt idx="4890">
                  <c:v>44611</c:v>
                </c:pt>
                <c:pt idx="4891">
                  <c:v>44612</c:v>
                </c:pt>
                <c:pt idx="4892">
                  <c:v>44613</c:v>
                </c:pt>
                <c:pt idx="4893">
                  <c:v>44614</c:v>
                </c:pt>
                <c:pt idx="4894">
                  <c:v>44615</c:v>
                </c:pt>
                <c:pt idx="4895">
                  <c:v>44616</c:v>
                </c:pt>
                <c:pt idx="4896">
                  <c:v>44617</c:v>
                </c:pt>
                <c:pt idx="4897">
                  <c:v>44618</c:v>
                </c:pt>
                <c:pt idx="4898">
                  <c:v>44619</c:v>
                </c:pt>
                <c:pt idx="4899">
                  <c:v>44620</c:v>
                </c:pt>
                <c:pt idx="4900">
                  <c:v>44621</c:v>
                </c:pt>
                <c:pt idx="4901">
                  <c:v>44622</c:v>
                </c:pt>
                <c:pt idx="4902">
                  <c:v>44623</c:v>
                </c:pt>
                <c:pt idx="4903">
                  <c:v>44624</c:v>
                </c:pt>
                <c:pt idx="4904">
                  <c:v>44625</c:v>
                </c:pt>
                <c:pt idx="4905">
                  <c:v>44626</c:v>
                </c:pt>
                <c:pt idx="4906">
                  <c:v>44627</c:v>
                </c:pt>
                <c:pt idx="4907">
                  <c:v>44628</c:v>
                </c:pt>
                <c:pt idx="4908">
                  <c:v>44629</c:v>
                </c:pt>
                <c:pt idx="4909">
                  <c:v>44630</c:v>
                </c:pt>
                <c:pt idx="4910">
                  <c:v>44631</c:v>
                </c:pt>
                <c:pt idx="4911">
                  <c:v>44632</c:v>
                </c:pt>
                <c:pt idx="4912">
                  <c:v>44633</c:v>
                </c:pt>
                <c:pt idx="4913">
                  <c:v>44634</c:v>
                </c:pt>
                <c:pt idx="4914">
                  <c:v>44635</c:v>
                </c:pt>
                <c:pt idx="4915">
                  <c:v>44636</c:v>
                </c:pt>
                <c:pt idx="4916">
                  <c:v>44637</c:v>
                </c:pt>
                <c:pt idx="4917">
                  <c:v>44638</c:v>
                </c:pt>
                <c:pt idx="4918">
                  <c:v>44639</c:v>
                </c:pt>
                <c:pt idx="4919">
                  <c:v>44640</c:v>
                </c:pt>
                <c:pt idx="4920">
                  <c:v>44641</c:v>
                </c:pt>
                <c:pt idx="4921">
                  <c:v>44642</c:v>
                </c:pt>
                <c:pt idx="4922">
                  <c:v>44643</c:v>
                </c:pt>
                <c:pt idx="4923">
                  <c:v>44644</c:v>
                </c:pt>
                <c:pt idx="4924">
                  <c:v>44645</c:v>
                </c:pt>
                <c:pt idx="4925">
                  <c:v>44646</c:v>
                </c:pt>
                <c:pt idx="4926">
                  <c:v>44647</c:v>
                </c:pt>
                <c:pt idx="4927">
                  <c:v>44648</c:v>
                </c:pt>
                <c:pt idx="4928">
                  <c:v>44649</c:v>
                </c:pt>
                <c:pt idx="4929">
                  <c:v>44650</c:v>
                </c:pt>
                <c:pt idx="4930">
                  <c:v>44651</c:v>
                </c:pt>
                <c:pt idx="4931">
                  <c:v>44652</c:v>
                </c:pt>
                <c:pt idx="4932">
                  <c:v>44653</c:v>
                </c:pt>
                <c:pt idx="4933">
                  <c:v>44654</c:v>
                </c:pt>
                <c:pt idx="4934">
                  <c:v>44655</c:v>
                </c:pt>
                <c:pt idx="4935">
                  <c:v>44656</c:v>
                </c:pt>
                <c:pt idx="4936">
                  <c:v>44657</c:v>
                </c:pt>
                <c:pt idx="4937">
                  <c:v>44658</c:v>
                </c:pt>
                <c:pt idx="4938">
                  <c:v>44659</c:v>
                </c:pt>
                <c:pt idx="4939">
                  <c:v>44660</c:v>
                </c:pt>
                <c:pt idx="4940">
                  <c:v>44661</c:v>
                </c:pt>
                <c:pt idx="4941">
                  <c:v>44662</c:v>
                </c:pt>
                <c:pt idx="4942">
                  <c:v>44663</c:v>
                </c:pt>
                <c:pt idx="4943">
                  <c:v>44664</c:v>
                </c:pt>
                <c:pt idx="4944">
                  <c:v>44665</c:v>
                </c:pt>
                <c:pt idx="4945">
                  <c:v>44666</c:v>
                </c:pt>
                <c:pt idx="4946">
                  <c:v>44667</c:v>
                </c:pt>
                <c:pt idx="4947">
                  <c:v>44668</c:v>
                </c:pt>
                <c:pt idx="4948">
                  <c:v>44669</c:v>
                </c:pt>
                <c:pt idx="4949">
                  <c:v>44670</c:v>
                </c:pt>
                <c:pt idx="4950">
                  <c:v>44671</c:v>
                </c:pt>
                <c:pt idx="4951">
                  <c:v>44672</c:v>
                </c:pt>
                <c:pt idx="4952">
                  <c:v>44673</c:v>
                </c:pt>
                <c:pt idx="4953">
                  <c:v>44674</c:v>
                </c:pt>
                <c:pt idx="4954">
                  <c:v>44675</c:v>
                </c:pt>
                <c:pt idx="4955">
                  <c:v>44676</c:v>
                </c:pt>
                <c:pt idx="4956">
                  <c:v>44677</c:v>
                </c:pt>
                <c:pt idx="4957">
                  <c:v>44678</c:v>
                </c:pt>
                <c:pt idx="4958">
                  <c:v>44679</c:v>
                </c:pt>
                <c:pt idx="4959">
                  <c:v>44680</c:v>
                </c:pt>
                <c:pt idx="4960">
                  <c:v>44681</c:v>
                </c:pt>
                <c:pt idx="4961">
                  <c:v>44682</c:v>
                </c:pt>
                <c:pt idx="4962">
                  <c:v>44683</c:v>
                </c:pt>
                <c:pt idx="4963">
                  <c:v>44684</c:v>
                </c:pt>
                <c:pt idx="4964">
                  <c:v>44685</c:v>
                </c:pt>
                <c:pt idx="4965">
                  <c:v>44686</c:v>
                </c:pt>
                <c:pt idx="4966">
                  <c:v>44687</c:v>
                </c:pt>
                <c:pt idx="4967">
                  <c:v>44688</c:v>
                </c:pt>
                <c:pt idx="4968">
                  <c:v>44689</c:v>
                </c:pt>
                <c:pt idx="4969">
                  <c:v>44690</c:v>
                </c:pt>
                <c:pt idx="4970">
                  <c:v>44691</c:v>
                </c:pt>
                <c:pt idx="4971">
                  <c:v>44692</c:v>
                </c:pt>
                <c:pt idx="4972">
                  <c:v>44693</c:v>
                </c:pt>
                <c:pt idx="4973">
                  <c:v>44694</c:v>
                </c:pt>
                <c:pt idx="4974">
                  <c:v>44695</c:v>
                </c:pt>
                <c:pt idx="4975">
                  <c:v>44696</c:v>
                </c:pt>
                <c:pt idx="4976">
                  <c:v>44697</c:v>
                </c:pt>
                <c:pt idx="4977">
                  <c:v>44698</c:v>
                </c:pt>
                <c:pt idx="4978">
                  <c:v>44699</c:v>
                </c:pt>
                <c:pt idx="4979">
                  <c:v>44700</c:v>
                </c:pt>
                <c:pt idx="4980">
                  <c:v>44701</c:v>
                </c:pt>
                <c:pt idx="4981">
                  <c:v>44702</c:v>
                </c:pt>
                <c:pt idx="4982">
                  <c:v>44703</c:v>
                </c:pt>
                <c:pt idx="4983">
                  <c:v>44704</c:v>
                </c:pt>
                <c:pt idx="4984">
                  <c:v>44705</c:v>
                </c:pt>
                <c:pt idx="4985">
                  <c:v>44706</c:v>
                </c:pt>
                <c:pt idx="4986">
                  <c:v>44707</c:v>
                </c:pt>
                <c:pt idx="4987">
                  <c:v>44708</c:v>
                </c:pt>
                <c:pt idx="4988">
                  <c:v>44709</c:v>
                </c:pt>
                <c:pt idx="4989">
                  <c:v>44710</c:v>
                </c:pt>
                <c:pt idx="4990">
                  <c:v>44711</c:v>
                </c:pt>
                <c:pt idx="4991">
                  <c:v>44712</c:v>
                </c:pt>
                <c:pt idx="4992">
                  <c:v>44713</c:v>
                </c:pt>
                <c:pt idx="4993">
                  <c:v>44714</c:v>
                </c:pt>
                <c:pt idx="4994">
                  <c:v>44715</c:v>
                </c:pt>
                <c:pt idx="4995">
                  <c:v>44716</c:v>
                </c:pt>
                <c:pt idx="4996">
                  <c:v>44717</c:v>
                </c:pt>
                <c:pt idx="4997">
                  <c:v>44718</c:v>
                </c:pt>
                <c:pt idx="4998">
                  <c:v>44719</c:v>
                </c:pt>
                <c:pt idx="4999">
                  <c:v>44720</c:v>
                </c:pt>
                <c:pt idx="5000">
                  <c:v>44721</c:v>
                </c:pt>
                <c:pt idx="5001">
                  <c:v>44722</c:v>
                </c:pt>
                <c:pt idx="5002">
                  <c:v>44723</c:v>
                </c:pt>
                <c:pt idx="5003">
                  <c:v>44724</c:v>
                </c:pt>
                <c:pt idx="5004">
                  <c:v>44725</c:v>
                </c:pt>
                <c:pt idx="5005">
                  <c:v>44726</c:v>
                </c:pt>
                <c:pt idx="5006">
                  <c:v>44727</c:v>
                </c:pt>
                <c:pt idx="5007">
                  <c:v>44728</c:v>
                </c:pt>
                <c:pt idx="5008">
                  <c:v>44729</c:v>
                </c:pt>
                <c:pt idx="5009">
                  <c:v>44730</c:v>
                </c:pt>
                <c:pt idx="5010">
                  <c:v>44731</c:v>
                </c:pt>
                <c:pt idx="5011">
                  <c:v>44732</c:v>
                </c:pt>
                <c:pt idx="5012">
                  <c:v>44733</c:v>
                </c:pt>
                <c:pt idx="5013">
                  <c:v>44734</c:v>
                </c:pt>
                <c:pt idx="5014">
                  <c:v>44735</c:v>
                </c:pt>
                <c:pt idx="5015">
                  <c:v>44736</c:v>
                </c:pt>
                <c:pt idx="5016">
                  <c:v>44737</c:v>
                </c:pt>
                <c:pt idx="5017">
                  <c:v>44738</c:v>
                </c:pt>
                <c:pt idx="5018">
                  <c:v>44739</c:v>
                </c:pt>
                <c:pt idx="5019">
                  <c:v>44740</c:v>
                </c:pt>
                <c:pt idx="5020">
                  <c:v>44741</c:v>
                </c:pt>
                <c:pt idx="5021">
                  <c:v>44742</c:v>
                </c:pt>
                <c:pt idx="5022">
                  <c:v>44743</c:v>
                </c:pt>
                <c:pt idx="5023">
                  <c:v>44744</c:v>
                </c:pt>
                <c:pt idx="5024">
                  <c:v>44745</c:v>
                </c:pt>
                <c:pt idx="5025">
                  <c:v>44746</c:v>
                </c:pt>
                <c:pt idx="5026">
                  <c:v>44747</c:v>
                </c:pt>
                <c:pt idx="5027">
                  <c:v>44748</c:v>
                </c:pt>
                <c:pt idx="5028">
                  <c:v>44749</c:v>
                </c:pt>
                <c:pt idx="5029">
                  <c:v>44750</c:v>
                </c:pt>
                <c:pt idx="5030">
                  <c:v>44751</c:v>
                </c:pt>
                <c:pt idx="5031">
                  <c:v>44752</c:v>
                </c:pt>
                <c:pt idx="5032">
                  <c:v>44753</c:v>
                </c:pt>
                <c:pt idx="5033">
                  <c:v>44754</c:v>
                </c:pt>
                <c:pt idx="5034">
                  <c:v>44755</c:v>
                </c:pt>
                <c:pt idx="5035">
                  <c:v>44756</c:v>
                </c:pt>
                <c:pt idx="5036">
                  <c:v>44757</c:v>
                </c:pt>
                <c:pt idx="5037">
                  <c:v>44758</c:v>
                </c:pt>
                <c:pt idx="5038">
                  <c:v>44759</c:v>
                </c:pt>
                <c:pt idx="5039">
                  <c:v>44760</c:v>
                </c:pt>
                <c:pt idx="5040">
                  <c:v>44761</c:v>
                </c:pt>
                <c:pt idx="5041">
                  <c:v>44762</c:v>
                </c:pt>
                <c:pt idx="5042">
                  <c:v>44763</c:v>
                </c:pt>
                <c:pt idx="5043">
                  <c:v>44764</c:v>
                </c:pt>
                <c:pt idx="5044">
                  <c:v>44765</c:v>
                </c:pt>
                <c:pt idx="5045">
                  <c:v>44766</c:v>
                </c:pt>
                <c:pt idx="5046">
                  <c:v>44767</c:v>
                </c:pt>
                <c:pt idx="5047">
                  <c:v>44768</c:v>
                </c:pt>
                <c:pt idx="5048">
                  <c:v>44769</c:v>
                </c:pt>
                <c:pt idx="5049">
                  <c:v>44770</c:v>
                </c:pt>
                <c:pt idx="5050">
                  <c:v>44771</c:v>
                </c:pt>
                <c:pt idx="5051">
                  <c:v>44772</c:v>
                </c:pt>
                <c:pt idx="5052">
                  <c:v>44773</c:v>
                </c:pt>
                <c:pt idx="5053">
                  <c:v>44774</c:v>
                </c:pt>
                <c:pt idx="5054">
                  <c:v>44775</c:v>
                </c:pt>
                <c:pt idx="5055">
                  <c:v>44776</c:v>
                </c:pt>
                <c:pt idx="5056">
                  <c:v>44777</c:v>
                </c:pt>
                <c:pt idx="5057">
                  <c:v>44778</c:v>
                </c:pt>
                <c:pt idx="5058">
                  <c:v>44779</c:v>
                </c:pt>
                <c:pt idx="5059">
                  <c:v>44780</c:v>
                </c:pt>
                <c:pt idx="5060">
                  <c:v>44781</c:v>
                </c:pt>
                <c:pt idx="5061">
                  <c:v>44782</c:v>
                </c:pt>
                <c:pt idx="5062">
                  <c:v>44783</c:v>
                </c:pt>
                <c:pt idx="5063">
                  <c:v>44784</c:v>
                </c:pt>
                <c:pt idx="5064">
                  <c:v>44785</c:v>
                </c:pt>
                <c:pt idx="5065">
                  <c:v>44786</c:v>
                </c:pt>
                <c:pt idx="5066">
                  <c:v>44787</c:v>
                </c:pt>
                <c:pt idx="5067">
                  <c:v>44788</c:v>
                </c:pt>
                <c:pt idx="5068">
                  <c:v>44789</c:v>
                </c:pt>
                <c:pt idx="5069">
                  <c:v>44790</c:v>
                </c:pt>
                <c:pt idx="5070">
                  <c:v>44791</c:v>
                </c:pt>
                <c:pt idx="5071">
                  <c:v>44792</c:v>
                </c:pt>
                <c:pt idx="5072">
                  <c:v>44793</c:v>
                </c:pt>
                <c:pt idx="5073">
                  <c:v>44794</c:v>
                </c:pt>
                <c:pt idx="5074">
                  <c:v>44795</c:v>
                </c:pt>
                <c:pt idx="5075">
                  <c:v>44796</c:v>
                </c:pt>
                <c:pt idx="5076">
                  <c:v>44797</c:v>
                </c:pt>
                <c:pt idx="5077">
                  <c:v>44798</c:v>
                </c:pt>
                <c:pt idx="5078">
                  <c:v>44799</c:v>
                </c:pt>
                <c:pt idx="5079">
                  <c:v>44800</c:v>
                </c:pt>
                <c:pt idx="5080">
                  <c:v>44801</c:v>
                </c:pt>
                <c:pt idx="5081">
                  <c:v>44802</c:v>
                </c:pt>
                <c:pt idx="5082">
                  <c:v>44803</c:v>
                </c:pt>
                <c:pt idx="5083">
                  <c:v>44804</c:v>
                </c:pt>
                <c:pt idx="5084">
                  <c:v>44805</c:v>
                </c:pt>
                <c:pt idx="5085">
                  <c:v>44806</c:v>
                </c:pt>
                <c:pt idx="5086">
                  <c:v>44807</c:v>
                </c:pt>
                <c:pt idx="5087">
                  <c:v>44808</c:v>
                </c:pt>
                <c:pt idx="5088">
                  <c:v>44809</c:v>
                </c:pt>
                <c:pt idx="5089">
                  <c:v>44810</c:v>
                </c:pt>
                <c:pt idx="5090">
                  <c:v>44811</c:v>
                </c:pt>
                <c:pt idx="5091">
                  <c:v>44812</c:v>
                </c:pt>
                <c:pt idx="5092">
                  <c:v>44813</c:v>
                </c:pt>
                <c:pt idx="5093">
                  <c:v>44814</c:v>
                </c:pt>
                <c:pt idx="5094">
                  <c:v>44815</c:v>
                </c:pt>
                <c:pt idx="5095">
                  <c:v>44816</c:v>
                </c:pt>
                <c:pt idx="5096">
                  <c:v>44817</c:v>
                </c:pt>
                <c:pt idx="5097">
                  <c:v>44818</c:v>
                </c:pt>
                <c:pt idx="5098">
                  <c:v>44819</c:v>
                </c:pt>
                <c:pt idx="5099">
                  <c:v>44820</c:v>
                </c:pt>
                <c:pt idx="5100">
                  <c:v>44821</c:v>
                </c:pt>
                <c:pt idx="5101">
                  <c:v>44822</c:v>
                </c:pt>
                <c:pt idx="5102">
                  <c:v>44823</c:v>
                </c:pt>
                <c:pt idx="5103">
                  <c:v>44824</c:v>
                </c:pt>
                <c:pt idx="5104">
                  <c:v>44825</c:v>
                </c:pt>
                <c:pt idx="5105">
                  <c:v>44826</c:v>
                </c:pt>
                <c:pt idx="5106">
                  <c:v>44827</c:v>
                </c:pt>
                <c:pt idx="5107">
                  <c:v>44828</c:v>
                </c:pt>
                <c:pt idx="5108">
                  <c:v>44829</c:v>
                </c:pt>
                <c:pt idx="5109">
                  <c:v>44830</c:v>
                </c:pt>
                <c:pt idx="5110">
                  <c:v>44831</c:v>
                </c:pt>
                <c:pt idx="5111">
                  <c:v>44832</c:v>
                </c:pt>
                <c:pt idx="5112">
                  <c:v>44833</c:v>
                </c:pt>
                <c:pt idx="5113">
                  <c:v>44834</c:v>
                </c:pt>
                <c:pt idx="5114">
                  <c:v>44835</c:v>
                </c:pt>
                <c:pt idx="5115">
                  <c:v>44836</c:v>
                </c:pt>
                <c:pt idx="5116">
                  <c:v>44837</c:v>
                </c:pt>
                <c:pt idx="5117">
                  <c:v>44838</c:v>
                </c:pt>
                <c:pt idx="5118">
                  <c:v>44839</c:v>
                </c:pt>
                <c:pt idx="5119">
                  <c:v>44840</c:v>
                </c:pt>
                <c:pt idx="5120">
                  <c:v>44841</c:v>
                </c:pt>
                <c:pt idx="5121">
                  <c:v>44842</c:v>
                </c:pt>
                <c:pt idx="5122">
                  <c:v>44843</c:v>
                </c:pt>
                <c:pt idx="5123">
                  <c:v>44844</c:v>
                </c:pt>
                <c:pt idx="5124">
                  <c:v>44845</c:v>
                </c:pt>
                <c:pt idx="5125">
                  <c:v>44846</c:v>
                </c:pt>
                <c:pt idx="5126">
                  <c:v>44847</c:v>
                </c:pt>
                <c:pt idx="5127">
                  <c:v>44848</c:v>
                </c:pt>
                <c:pt idx="5128">
                  <c:v>44849</c:v>
                </c:pt>
                <c:pt idx="5129">
                  <c:v>44850</c:v>
                </c:pt>
                <c:pt idx="5130">
                  <c:v>44851</c:v>
                </c:pt>
                <c:pt idx="5131">
                  <c:v>44852</c:v>
                </c:pt>
                <c:pt idx="5132">
                  <c:v>44853</c:v>
                </c:pt>
                <c:pt idx="5133">
                  <c:v>44854</c:v>
                </c:pt>
                <c:pt idx="5134">
                  <c:v>44855</c:v>
                </c:pt>
                <c:pt idx="5135">
                  <c:v>44856</c:v>
                </c:pt>
                <c:pt idx="5136">
                  <c:v>44857</c:v>
                </c:pt>
                <c:pt idx="5137">
                  <c:v>44858</c:v>
                </c:pt>
                <c:pt idx="5138">
                  <c:v>44859</c:v>
                </c:pt>
                <c:pt idx="5139">
                  <c:v>44860</c:v>
                </c:pt>
                <c:pt idx="5140">
                  <c:v>44861</c:v>
                </c:pt>
                <c:pt idx="5141">
                  <c:v>44862</c:v>
                </c:pt>
                <c:pt idx="5142">
                  <c:v>44863</c:v>
                </c:pt>
                <c:pt idx="5143">
                  <c:v>44864</c:v>
                </c:pt>
                <c:pt idx="5144">
                  <c:v>44865</c:v>
                </c:pt>
                <c:pt idx="5145">
                  <c:v>44866</c:v>
                </c:pt>
                <c:pt idx="5146">
                  <c:v>44867</c:v>
                </c:pt>
                <c:pt idx="5147">
                  <c:v>44868</c:v>
                </c:pt>
                <c:pt idx="5148">
                  <c:v>44869</c:v>
                </c:pt>
                <c:pt idx="5149">
                  <c:v>44870</c:v>
                </c:pt>
                <c:pt idx="5150">
                  <c:v>44871</c:v>
                </c:pt>
                <c:pt idx="5151">
                  <c:v>44872</c:v>
                </c:pt>
                <c:pt idx="5152">
                  <c:v>44873</c:v>
                </c:pt>
                <c:pt idx="5153">
                  <c:v>44874</c:v>
                </c:pt>
                <c:pt idx="5154">
                  <c:v>44875</c:v>
                </c:pt>
                <c:pt idx="5155">
                  <c:v>44876</c:v>
                </c:pt>
                <c:pt idx="5156">
                  <c:v>44877</c:v>
                </c:pt>
                <c:pt idx="5157">
                  <c:v>44878</c:v>
                </c:pt>
                <c:pt idx="5158">
                  <c:v>44879</c:v>
                </c:pt>
                <c:pt idx="5159">
                  <c:v>44880</c:v>
                </c:pt>
                <c:pt idx="5160">
                  <c:v>44881</c:v>
                </c:pt>
                <c:pt idx="5161">
                  <c:v>44882</c:v>
                </c:pt>
                <c:pt idx="5162">
                  <c:v>44883</c:v>
                </c:pt>
                <c:pt idx="5163">
                  <c:v>44884</c:v>
                </c:pt>
                <c:pt idx="5164">
                  <c:v>44885</c:v>
                </c:pt>
                <c:pt idx="5165">
                  <c:v>44886</c:v>
                </c:pt>
                <c:pt idx="5166">
                  <c:v>44887</c:v>
                </c:pt>
                <c:pt idx="5167">
                  <c:v>44888</c:v>
                </c:pt>
                <c:pt idx="5168">
                  <c:v>44889</c:v>
                </c:pt>
                <c:pt idx="5169">
                  <c:v>44890</c:v>
                </c:pt>
                <c:pt idx="5170">
                  <c:v>44891</c:v>
                </c:pt>
                <c:pt idx="5171">
                  <c:v>44892</c:v>
                </c:pt>
                <c:pt idx="5172">
                  <c:v>44893</c:v>
                </c:pt>
                <c:pt idx="5173">
                  <c:v>44894</c:v>
                </c:pt>
                <c:pt idx="5174">
                  <c:v>44895</c:v>
                </c:pt>
                <c:pt idx="5175">
                  <c:v>44896</c:v>
                </c:pt>
                <c:pt idx="5176">
                  <c:v>44897</c:v>
                </c:pt>
                <c:pt idx="5177">
                  <c:v>44898</c:v>
                </c:pt>
                <c:pt idx="5178">
                  <c:v>44899</c:v>
                </c:pt>
                <c:pt idx="5179">
                  <c:v>44900</c:v>
                </c:pt>
                <c:pt idx="5180">
                  <c:v>44901</c:v>
                </c:pt>
                <c:pt idx="5181">
                  <c:v>44902</c:v>
                </c:pt>
                <c:pt idx="5182">
                  <c:v>44903</c:v>
                </c:pt>
                <c:pt idx="5183">
                  <c:v>44904</c:v>
                </c:pt>
                <c:pt idx="5184">
                  <c:v>44905</c:v>
                </c:pt>
                <c:pt idx="5185">
                  <c:v>44906</c:v>
                </c:pt>
                <c:pt idx="5186">
                  <c:v>44907</c:v>
                </c:pt>
                <c:pt idx="5187">
                  <c:v>44908</c:v>
                </c:pt>
                <c:pt idx="5188">
                  <c:v>44909</c:v>
                </c:pt>
                <c:pt idx="5189">
                  <c:v>44910</c:v>
                </c:pt>
                <c:pt idx="5190">
                  <c:v>44911</c:v>
                </c:pt>
                <c:pt idx="5191">
                  <c:v>44912</c:v>
                </c:pt>
                <c:pt idx="5192">
                  <c:v>44913</c:v>
                </c:pt>
                <c:pt idx="5193">
                  <c:v>44914</c:v>
                </c:pt>
                <c:pt idx="5194">
                  <c:v>44915</c:v>
                </c:pt>
                <c:pt idx="5195">
                  <c:v>44916</c:v>
                </c:pt>
                <c:pt idx="5196">
                  <c:v>44917</c:v>
                </c:pt>
                <c:pt idx="5197">
                  <c:v>44918</c:v>
                </c:pt>
                <c:pt idx="5198">
                  <c:v>44919</c:v>
                </c:pt>
                <c:pt idx="5199">
                  <c:v>44920</c:v>
                </c:pt>
                <c:pt idx="5200">
                  <c:v>44921</c:v>
                </c:pt>
                <c:pt idx="5201">
                  <c:v>44922</c:v>
                </c:pt>
                <c:pt idx="5202">
                  <c:v>44923</c:v>
                </c:pt>
                <c:pt idx="5203">
                  <c:v>44924</c:v>
                </c:pt>
                <c:pt idx="5204">
                  <c:v>44925</c:v>
                </c:pt>
                <c:pt idx="5205">
                  <c:v>44926</c:v>
                </c:pt>
                <c:pt idx="5206">
                  <c:v>44927</c:v>
                </c:pt>
                <c:pt idx="5207">
                  <c:v>44928</c:v>
                </c:pt>
                <c:pt idx="5208">
                  <c:v>44929</c:v>
                </c:pt>
                <c:pt idx="5209">
                  <c:v>44930</c:v>
                </c:pt>
                <c:pt idx="5210">
                  <c:v>44931</c:v>
                </c:pt>
                <c:pt idx="5211">
                  <c:v>44932</c:v>
                </c:pt>
                <c:pt idx="5212">
                  <c:v>44933</c:v>
                </c:pt>
                <c:pt idx="5213">
                  <c:v>44934</c:v>
                </c:pt>
                <c:pt idx="5214">
                  <c:v>44935</c:v>
                </c:pt>
                <c:pt idx="5215">
                  <c:v>44936</c:v>
                </c:pt>
                <c:pt idx="5216">
                  <c:v>44937</c:v>
                </c:pt>
                <c:pt idx="5217">
                  <c:v>44938</c:v>
                </c:pt>
                <c:pt idx="5218">
                  <c:v>44939</c:v>
                </c:pt>
                <c:pt idx="5219">
                  <c:v>44940</c:v>
                </c:pt>
                <c:pt idx="5220">
                  <c:v>44941</c:v>
                </c:pt>
                <c:pt idx="5221">
                  <c:v>44942</c:v>
                </c:pt>
                <c:pt idx="5222">
                  <c:v>44943</c:v>
                </c:pt>
                <c:pt idx="5223">
                  <c:v>44944</c:v>
                </c:pt>
                <c:pt idx="5224">
                  <c:v>44945</c:v>
                </c:pt>
                <c:pt idx="5225">
                  <c:v>44946</c:v>
                </c:pt>
                <c:pt idx="5226">
                  <c:v>44947</c:v>
                </c:pt>
                <c:pt idx="5227">
                  <c:v>44948</c:v>
                </c:pt>
                <c:pt idx="5228">
                  <c:v>44949</c:v>
                </c:pt>
                <c:pt idx="5229">
                  <c:v>44950</c:v>
                </c:pt>
                <c:pt idx="5230">
                  <c:v>44951</c:v>
                </c:pt>
                <c:pt idx="5231">
                  <c:v>44952</c:v>
                </c:pt>
                <c:pt idx="5232">
                  <c:v>44953</c:v>
                </c:pt>
                <c:pt idx="5233">
                  <c:v>44954</c:v>
                </c:pt>
                <c:pt idx="5234">
                  <c:v>44955</c:v>
                </c:pt>
                <c:pt idx="5235">
                  <c:v>44956</c:v>
                </c:pt>
                <c:pt idx="5236">
                  <c:v>44957</c:v>
                </c:pt>
                <c:pt idx="5237">
                  <c:v>44958</c:v>
                </c:pt>
                <c:pt idx="5238">
                  <c:v>44959</c:v>
                </c:pt>
                <c:pt idx="5239">
                  <c:v>44960</c:v>
                </c:pt>
                <c:pt idx="5240">
                  <c:v>44961</c:v>
                </c:pt>
                <c:pt idx="5241">
                  <c:v>44962</c:v>
                </c:pt>
                <c:pt idx="5242">
                  <c:v>44963</c:v>
                </c:pt>
                <c:pt idx="5243">
                  <c:v>44964</c:v>
                </c:pt>
                <c:pt idx="5244">
                  <c:v>44965</c:v>
                </c:pt>
                <c:pt idx="5245">
                  <c:v>44966</c:v>
                </c:pt>
                <c:pt idx="5246">
                  <c:v>44967</c:v>
                </c:pt>
                <c:pt idx="5247">
                  <c:v>44968</c:v>
                </c:pt>
                <c:pt idx="5248">
                  <c:v>44969</c:v>
                </c:pt>
                <c:pt idx="5249">
                  <c:v>44970</c:v>
                </c:pt>
                <c:pt idx="5250">
                  <c:v>44971</c:v>
                </c:pt>
                <c:pt idx="5251">
                  <c:v>44972</c:v>
                </c:pt>
                <c:pt idx="5252">
                  <c:v>44973</c:v>
                </c:pt>
                <c:pt idx="5253">
                  <c:v>44974</c:v>
                </c:pt>
                <c:pt idx="5254">
                  <c:v>44975</c:v>
                </c:pt>
                <c:pt idx="5255">
                  <c:v>44976</c:v>
                </c:pt>
                <c:pt idx="5256">
                  <c:v>44977</c:v>
                </c:pt>
                <c:pt idx="5257">
                  <c:v>44978</c:v>
                </c:pt>
                <c:pt idx="5258">
                  <c:v>44979</c:v>
                </c:pt>
                <c:pt idx="5259">
                  <c:v>44980</c:v>
                </c:pt>
                <c:pt idx="5260">
                  <c:v>44981</c:v>
                </c:pt>
                <c:pt idx="5261">
                  <c:v>44982</c:v>
                </c:pt>
                <c:pt idx="5262">
                  <c:v>44983</c:v>
                </c:pt>
                <c:pt idx="5263">
                  <c:v>44984</c:v>
                </c:pt>
                <c:pt idx="5264">
                  <c:v>44985</c:v>
                </c:pt>
                <c:pt idx="5265">
                  <c:v>44986</c:v>
                </c:pt>
                <c:pt idx="5266">
                  <c:v>44987</c:v>
                </c:pt>
                <c:pt idx="5267">
                  <c:v>44988</c:v>
                </c:pt>
                <c:pt idx="5268">
                  <c:v>44989</c:v>
                </c:pt>
                <c:pt idx="5269">
                  <c:v>44990</c:v>
                </c:pt>
                <c:pt idx="5270">
                  <c:v>44991</c:v>
                </c:pt>
                <c:pt idx="5271">
                  <c:v>44992</c:v>
                </c:pt>
                <c:pt idx="5272">
                  <c:v>44993</c:v>
                </c:pt>
                <c:pt idx="5273">
                  <c:v>44994</c:v>
                </c:pt>
                <c:pt idx="5274">
                  <c:v>44995</c:v>
                </c:pt>
                <c:pt idx="5275">
                  <c:v>44996</c:v>
                </c:pt>
                <c:pt idx="5276">
                  <c:v>44997</c:v>
                </c:pt>
                <c:pt idx="5277">
                  <c:v>44998</c:v>
                </c:pt>
                <c:pt idx="5278">
                  <c:v>44999</c:v>
                </c:pt>
                <c:pt idx="5279">
                  <c:v>45000</c:v>
                </c:pt>
                <c:pt idx="5280">
                  <c:v>45001</c:v>
                </c:pt>
                <c:pt idx="5281">
                  <c:v>45002</c:v>
                </c:pt>
                <c:pt idx="5282">
                  <c:v>45003</c:v>
                </c:pt>
                <c:pt idx="5283">
                  <c:v>45004</c:v>
                </c:pt>
                <c:pt idx="5284">
                  <c:v>45005</c:v>
                </c:pt>
                <c:pt idx="5285">
                  <c:v>45006</c:v>
                </c:pt>
                <c:pt idx="5286">
                  <c:v>45007</c:v>
                </c:pt>
                <c:pt idx="5287">
                  <c:v>45008</c:v>
                </c:pt>
                <c:pt idx="5288">
                  <c:v>45009</c:v>
                </c:pt>
                <c:pt idx="5289">
                  <c:v>45010</c:v>
                </c:pt>
                <c:pt idx="5290">
                  <c:v>45011</c:v>
                </c:pt>
                <c:pt idx="5291">
                  <c:v>45012</c:v>
                </c:pt>
                <c:pt idx="5292">
                  <c:v>45013</c:v>
                </c:pt>
                <c:pt idx="5293">
                  <c:v>45014</c:v>
                </c:pt>
                <c:pt idx="5294">
                  <c:v>45015</c:v>
                </c:pt>
                <c:pt idx="5295">
                  <c:v>45016</c:v>
                </c:pt>
                <c:pt idx="5296">
                  <c:v>45017</c:v>
                </c:pt>
                <c:pt idx="5297">
                  <c:v>45018</c:v>
                </c:pt>
                <c:pt idx="5298">
                  <c:v>45019</c:v>
                </c:pt>
                <c:pt idx="5299">
                  <c:v>45020</c:v>
                </c:pt>
                <c:pt idx="5300">
                  <c:v>45021</c:v>
                </c:pt>
                <c:pt idx="5301">
                  <c:v>45022</c:v>
                </c:pt>
                <c:pt idx="5302">
                  <c:v>45023</c:v>
                </c:pt>
                <c:pt idx="5303">
                  <c:v>45024</c:v>
                </c:pt>
                <c:pt idx="5304">
                  <c:v>45025</c:v>
                </c:pt>
                <c:pt idx="5305">
                  <c:v>45026</c:v>
                </c:pt>
                <c:pt idx="5306">
                  <c:v>45027</c:v>
                </c:pt>
                <c:pt idx="5307">
                  <c:v>45028</c:v>
                </c:pt>
                <c:pt idx="5308">
                  <c:v>45029</c:v>
                </c:pt>
                <c:pt idx="5309">
                  <c:v>45030</c:v>
                </c:pt>
                <c:pt idx="5310">
                  <c:v>45031</c:v>
                </c:pt>
                <c:pt idx="5311">
                  <c:v>45032</c:v>
                </c:pt>
                <c:pt idx="5312">
                  <c:v>45033</c:v>
                </c:pt>
                <c:pt idx="5313">
                  <c:v>45034</c:v>
                </c:pt>
                <c:pt idx="5314">
                  <c:v>45035</c:v>
                </c:pt>
                <c:pt idx="5315">
                  <c:v>45036</c:v>
                </c:pt>
                <c:pt idx="5316">
                  <c:v>45037</c:v>
                </c:pt>
                <c:pt idx="5317">
                  <c:v>45038</c:v>
                </c:pt>
                <c:pt idx="5318">
                  <c:v>45039</c:v>
                </c:pt>
                <c:pt idx="5319">
                  <c:v>45040</c:v>
                </c:pt>
                <c:pt idx="5320">
                  <c:v>45041</c:v>
                </c:pt>
                <c:pt idx="5321">
                  <c:v>45042</c:v>
                </c:pt>
                <c:pt idx="5322">
                  <c:v>45043</c:v>
                </c:pt>
                <c:pt idx="5323">
                  <c:v>45044</c:v>
                </c:pt>
                <c:pt idx="5324">
                  <c:v>45045</c:v>
                </c:pt>
                <c:pt idx="5325">
                  <c:v>45046</c:v>
                </c:pt>
                <c:pt idx="5326">
                  <c:v>45047</c:v>
                </c:pt>
                <c:pt idx="5327">
                  <c:v>45048</c:v>
                </c:pt>
                <c:pt idx="5328">
                  <c:v>45049</c:v>
                </c:pt>
                <c:pt idx="5329">
                  <c:v>45050</c:v>
                </c:pt>
                <c:pt idx="5330">
                  <c:v>45051</c:v>
                </c:pt>
                <c:pt idx="5331">
                  <c:v>45052</c:v>
                </c:pt>
                <c:pt idx="5332">
                  <c:v>45053</c:v>
                </c:pt>
                <c:pt idx="5333">
                  <c:v>45054</c:v>
                </c:pt>
                <c:pt idx="5334">
                  <c:v>45055</c:v>
                </c:pt>
                <c:pt idx="5335">
                  <c:v>45056</c:v>
                </c:pt>
                <c:pt idx="5336">
                  <c:v>45057</c:v>
                </c:pt>
                <c:pt idx="5337">
                  <c:v>45058</c:v>
                </c:pt>
                <c:pt idx="5338">
                  <c:v>45059</c:v>
                </c:pt>
                <c:pt idx="5339">
                  <c:v>45060</c:v>
                </c:pt>
                <c:pt idx="5340">
                  <c:v>45061</c:v>
                </c:pt>
                <c:pt idx="5341">
                  <c:v>45062</c:v>
                </c:pt>
                <c:pt idx="5342">
                  <c:v>45063</c:v>
                </c:pt>
                <c:pt idx="5343">
                  <c:v>45064</c:v>
                </c:pt>
                <c:pt idx="5344">
                  <c:v>45065</c:v>
                </c:pt>
                <c:pt idx="5345">
                  <c:v>45066</c:v>
                </c:pt>
                <c:pt idx="5346">
                  <c:v>45067</c:v>
                </c:pt>
                <c:pt idx="5347">
                  <c:v>45068</c:v>
                </c:pt>
                <c:pt idx="5348">
                  <c:v>45069</c:v>
                </c:pt>
                <c:pt idx="5349">
                  <c:v>45070</c:v>
                </c:pt>
                <c:pt idx="5350">
                  <c:v>45071</c:v>
                </c:pt>
                <c:pt idx="5351">
                  <c:v>45072</c:v>
                </c:pt>
                <c:pt idx="5352">
                  <c:v>45073</c:v>
                </c:pt>
                <c:pt idx="5353">
                  <c:v>45074</c:v>
                </c:pt>
                <c:pt idx="5354">
                  <c:v>45075</c:v>
                </c:pt>
                <c:pt idx="5355">
                  <c:v>45076</c:v>
                </c:pt>
                <c:pt idx="5356">
                  <c:v>45077</c:v>
                </c:pt>
                <c:pt idx="5357">
                  <c:v>45078</c:v>
                </c:pt>
                <c:pt idx="5358">
                  <c:v>45079</c:v>
                </c:pt>
                <c:pt idx="5359">
                  <c:v>45080</c:v>
                </c:pt>
                <c:pt idx="5360">
                  <c:v>45081</c:v>
                </c:pt>
                <c:pt idx="5361">
                  <c:v>45082</c:v>
                </c:pt>
                <c:pt idx="5362">
                  <c:v>45083</c:v>
                </c:pt>
                <c:pt idx="5363">
                  <c:v>45084</c:v>
                </c:pt>
                <c:pt idx="5364">
                  <c:v>45085</c:v>
                </c:pt>
                <c:pt idx="5365">
                  <c:v>45086</c:v>
                </c:pt>
                <c:pt idx="5366">
                  <c:v>45087</c:v>
                </c:pt>
                <c:pt idx="5367">
                  <c:v>45088</c:v>
                </c:pt>
                <c:pt idx="5368">
                  <c:v>45089</c:v>
                </c:pt>
                <c:pt idx="5369">
                  <c:v>45090</c:v>
                </c:pt>
                <c:pt idx="5370">
                  <c:v>45091</c:v>
                </c:pt>
                <c:pt idx="5371">
                  <c:v>45092</c:v>
                </c:pt>
                <c:pt idx="5372">
                  <c:v>45093</c:v>
                </c:pt>
                <c:pt idx="5373">
                  <c:v>45094</c:v>
                </c:pt>
                <c:pt idx="5374">
                  <c:v>45095</c:v>
                </c:pt>
                <c:pt idx="5375">
                  <c:v>45096</c:v>
                </c:pt>
                <c:pt idx="5376">
                  <c:v>45097</c:v>
                </c:pt>
                <c:pt idx="5377">
                  <c:v>45098</c:v>
                </c:pt>
                <c:pt idx="5378">
                  <c:v>45099</c:v>
                </c:pt>
                <c:pt idx="5379">
                  <c:v>45100</c:v>
                </c:pt>
                <c:pt idx="5380">
                  <c:v>45101</c:v>
                </c:pt>
                <c:pt idx="5381">
                  <c:v>45102</c:v>
                </c:pt>
                <c:pt idx="5382">
                  <c:v>45103</c:v>
                </c:pt>
                <c:pt idx="5383">
                  <c:v>45104</c:v>
                </c:pt>
                <c:pt idx="5384">
                  <c:v>45105</c:v>
                </c:pt>
                <c:pt idx="5385">
                  <c:v>45106</c:v>
                </c:pt>
                <c:pt idx="5386">
                  <c:v>45107</c:v>
                </c:pt>
                <c:pt idx="5387">
                  <c:v>45108</c:v>
                </c:pt>
                <c:pt idx="5388">
                  <c:v>45109</c:v>
                </c:pt>
                <c:pt idx="5389">
                  <c:v>45110</c:v>
                </c:pt>
                <c:pt idx="5390">
                  <c:v>45111</c:v>
                </c:pt>
                <c:pt idx="5391">
                  <c:v>45112</c:v>
                </c:pt>
                <c:pt idx="5392">
                  <c:v>45113</c:v>
                </c:pt>
                <c:pt idx="5393">
                  <c:v>45114</c:v>
                </c:pt>
                <c:pt idx="5394">
                  <c:v>45115</c:v>
                </c:pt>
                <c:pt idx="5395">
                  <c:v>45116</c:v>
                </c:pt>
                <c:pt idx="5396">
                  <c:v>45117</c:v>
                </c:pt>
                <c:pt idx="5397">
                  <c:v>45118</c:v>
                </c:pt>
                <c:pt idx="5398">
                  <c:v>45119</c:v>
                </c:pt>
                <c:pt idx="5399">
                  <c:v>45120</c:v>
                </c:pt>
                <c:pt idx="5400">
                  <c:v>45121</c:v>
                </c:pt>
                <c:pt idx="5401">
                  <c:v>45122</c:v>
                </c:pt>
                <c:pt idx="5402">
                  <c:v>45123</c:v>
                </c:pt>
                <c:pt idx="5403">
                  <c:v>45124</c:v>
                </c:pt>
                <c:pt idx="5404">
                  <c:v>45125</c:v>
                </c:pt>
                <c:pt idx="5405">
                  <c:v>45126</c:v>
                </c:pt>
                <c:pt idx="5406">
                  <c:v>45127</c:v>
                </c:pt>
                <c:pt idx="5407">
                  <c:v>45128</c:v>
                </c:pt>
                <c:pt idx="5408">
                  <c:v>45129</c:v>
                </c:pt>
                <c:pt idx="5409">
                  <c:v>45130</c:v>
                </c:pt>
                <c:pt idx="5410">
                  <c:v>45131</c:v>
                </c:pt>
                <c:pt idx="5411">
                  <c:v>45132</c:v>
                </c:pt>
                <c:pt idx="5412">
                  <c:v>45133</c:v>
                </c:pt>
                <c:pt idx="5413">
                  <c:v>45134</c:v>
                </c:pt>
                <c:pt idx="5414">
                  <c:v>45135</c:v>
                </c:pt>
                <c:pt idx="5415">
                  <c:v>45136</c:v>
                </c:pt>
                <c:pt idx="5416">
                  <c:v>45137</c:v>
                </c:pt>
                <c:pt idx="5417">
                  <c:v>45138</c:v>
                </c:pt>
                <c:pt idx="5418">
                  <c:v>45139</c:v>
                </c:pt>
                <c:pt idx="5419">
                  <c:v>45140</c:v>
                </c:pt>
                <c:pt idx="5420">
                  <c:v>45141</c:v>
                </c:pt>
                <c:pt idx="5421">
                  <c:v>45142</c:v>
                </c:pt>
                <c:pt idx="5422">
                  <c:v>45143</c:v>
                </c:pt>
                <c:pt idx="5423">
                  <c:v>45144</c:v>
                </c:pt>
                <c:pt idx="5424">
                  <c:v>45145</c:v>
                </c:pt>
                <c:pt idx="5425">
                  <c:v>45146</c:v>
                </c:pt>
                <c:pt idx="5426">
                  <c:v>45147</c:v>
                </c:pt>
                <c:pt idx="5427">
                  <c:v>45148</c:v>
                </c:pt>
                <c:pt idx="5428">
                  <c:v>45149</c:v>
                </c:pt>
                <c:pt idx="5429">
                  <c:v>45150</c:v>
                </c:pt>
                <c:pt idx="5430">
                  <c:v>45151</c:v>
                </c:pt>
                <c:pt idx="5431">
                  <c:v>45152</c:v>
                </c:pt>
                <c:pt idx="5432">
                  <c:v>45153</c:v>
                </c:pt>
                <c:pt idx="5433">
                  <c:v>45154</c:v>
                </c:pt>
                <c:pt idx="5434">
                  <c:v>45155</c:v>
                </c:pt>
                <c:pt idx="5435">
                  <c:v>45156</c:v>
                </c:pt>
                <c:pt idx="5436">
                  <c:v>45157</c:v>
                </c:pt>
                <c:pt idx="5437">
                  <c:v>45158</c:v>
                </c:pt>
                <c:pt idx="5438">
                  <c:v>45159</c:v>
                </c:pt>
                <c:pt idx="5439">
                  <c:v>45160</c:v>
                </c:pt>
                <c:pt idx="5440">
                  <c:v>45161</c:v>
                </c:pt>
                <c:pt idx="5441">
                  <c:v>45162</c:v>
                </c:pt>
                <c:pt idx="5442">
                  <c:v>45163</c:v>
                </c:pt>
                <c:pt idx="5443">
                  <c:v>45164</c:v>
                </c:pt>
                <c:pt idx="5444">
                  <c:v>45165</c:v>
                </c:pt>
                <c:pt idx="5445">
                  <c:v>45166</c:v>
                </c:pt>
                <c:pt idx="5446">
                  <c:v>45167</c:v>
                </c:pt>
                <c:pt idx="5447">
                  <c:v>45168</c:v>
                </c:pt>
                <c:pt idx="5448">
                  <c:v>45169</c:v>
                </c:pt>
                <c:pt idx="5449">
                  <c:v>45170</c:v>
                </c:pt>
                <c:pt idx="5450">
                  <c:v>45171</c:v>
                </c:pt>
                <c:pt idx="5451">
                  <c:v>45172</c:v>
                </c:pt>
                <c:pt idx="5452">
                  <c:v>45173</c:v>
                </c:pt>
                <c:pt idx="5453">
                  <c:v>45174</c:v>
                </c:pt>
                <c:pt idx="5454">
                  <c:v>45175</c:v>
                </c:pt>
                <c:pt idx="5455">
                  <c:v>45176</c:v>
                </c:pt>
                <c:pt idx="5456">
                  <c:v>45177</c:v>
                </c:pt>
                <c:pt idx="5457">
                  <c:v>45178</c:v>
                </c:pt>
                <c:pt idx="5458">
                  <c:v>45179</c:v>
                </c:pt>
                <c:pt idx="5459">
                  <c:v>45180</c:v>
                </c:pt>
                <c:pt idx="5460">
                  <c:v>45181</c:v>
                </c:pt>
                <c:pt idx="5461">
                  <c:v>45182</c:v>
                </c:pt>
                <c:pt idx="5462">
                  <c:v>45183</c:v>
                </c:pt>
                <c:pt idx="5463">
                  <c:v>45184</c:v>
                </c:pt>
                <c:pt idx="5464">
                  <c:v>45185</c:v>
                </c:pt>
                <c:pt idx="5465">
                  <c:v>45186</c:v>
                </c:pt>
                <c:pt idx="5466">
                  <c:v>45187</c:v>
                </c:pt>
                <c:pt idx="5467">
                  <c:v>45188</c:v>
                </c:pt>
                <c:pt idx="5468">
                  <c:v>45189</c:v>
                </c:pt>
                <c:pt idx="5469">
                  <c:v>45190</c:v>
                </c:pt>
                <c:pt idx="5470">
                  <c:v>45191</c:v>
                </c:pt>
                <c:pt idx="5471">
                  <c:v>45192</c:v>
                </c:pt>
                <c:pt idx="5472">
                  <c:v>45193</c:v>
                </c:pt>
                <c:pt idx="5473">
                  <c:v>45194</c:v>
                </c:pt>
                <c:pt idx="5474">
                  <c:v>45195</c:v>
                </c:pt>
                <c:pt idx="5475">
                  <c:v>45196</c:v>
                </c:pt>
                <c:pt idx="5476">
                  <c:v>45197</c:v>
                </c:pt>
                <c:pt idx="5477">
                  <c:v>45198</c:v>
                </c:pt>
                <c:pt idx="5478">
                  <c:v>45199</c:v>
                </c:pt>
                <c:pt idx="5479">
                  <c:v>45200</c:v>
                </c:pt>
                <c:pt idx="5480">
                  <c:v>45201</c:v>
                </c:pt>
                <c:pt idx="5481">
                  <c:v>45202</c:v>
                </c:pt>
                <c:pt idx="5482">
                  <c:v>45203</c:v>
                </c:pt>
                <c:pt idx="5483">
                  <c:v>45204</c:v>
                </c:pt>
                <c:pt idx="5484">
                  <c:v>45205</c:v>
                </c:pt>
                <c:pt idx="5485">
                  <c:v>45206</c:v>
                </c:pt>
                <c:pt idx="5486">
                  <c:v>45207</c:v>
                </c:pt>
                <c:pt idx="5487">
                  <c:v>45208</c:v>
                </c:pt>
                <c:pt idx="5488">
                  <c:v>45209</c:v>
                </c:pt>
                <c:pt idx="5489">
                  <c:v>45210</c:v>
                </c:pt>
                <c:pt idx="5490">
                  <c:v>45211</c:v>
                </c:pt>
                <c:pt idx="5491">
                  <c:v>45212</c:v>
                </c:pt>
                <c:pt idx="5492">
                  <c:v>45213</c:v>
                </c:pt>
                <c:pt idx="5493">
                  <c:v>45214</c:v>
                </c:pt>
                <c:pt idx="5494">
                  <c:v>45215</c:v>
                </c:pt>
                <c:pt idx="5495">
                  <c:v>45216</c:v>
                </c:pt>
                <c:pt idx="5496">
                  <c:v>45217</c:v>
                </c:pt>
                <c:pt idx="5497">
                  <c:v>45218</c:v>
                </c:pt>
                <c:pt idx="5498">
                  <c:v>45219</c:v>
                </c:pt>
                <c:pt idx="5499">
                  <c:v>45220</c:v>
                </c:pt>
                <c:pt idx="5500">
                  <c:v>45221</c:v>
                </c:pt>
                <c:pt idx="5501">
                  <c:v>45222</c:v>
                </c:pt>
                <c:pt idx="5502">
                  <c:v>45223</c:v>
                </c:pt>
                <c:pt idx="5503">
                  <c:v>45224</c:v>
                </c:pt>
                <c:pt idx="5504">
                  <c:v>45225</c:v>
                </c:pt>
                <c:pt idx="5505">
                  <c:v>45226</c:v>
                </c:pt>
                <c:pt idx="5506">
                  <c:v>45227</c:v>
                </c:pt>
                <c:pt idx="5507">
                  <c:v>45228</c:v>
                </c:pt>
                <c:pt idx="5508">
                  <c:v>45229</c:v>
                </c:pt>
                <c:pt idx="5509">
                  <c:v>45230</c:v>
                </c:pt>
                <c:pt idx="5510">
                  <c:v>45231</c:v>
                </c:pt>
                <c:pt idx="5511">
                  <c:v>45232</c:v>
                </c:pt>
                <c:pt idx="5512">
                  <c:v>45233</c:v>
                </c:pt>
                <c:pt idx="5513">
                  <c:v>45234</c:v>
                </c:pt>
                <c:pt idx="5514">
                  <c:v>45235</c:v>
                </c:pt>
                <c:pt idx="5515">
                  <c:v>45236</c:v>
                </c:pt>
                <c:pt idx="5516">
                  <c:v>45237</c:v>
                </c:pt>
                <c:pt idx="5517">
                  <c:v>45238</c:v>
                </c:pt>
                <c:pt idx="5518">
                  <c:v>45239</c:v>
                </c:pt>
                <c:pt idx="5519">
                  <c:v>45240</c:v>
                </c:pt>
                <c:pt idx="5520">
                  <c:v>45241</c:v>
                </c:pt>
                <c:pt idx="5521">
                  <c:v>45242</c:v>
                </c:pt>
                <c:pt idx="5522">
                  <c:v>45243</c:v>
                </c:pt>
                <c:pt idx="5523">
                  <c:v>45244</c:v>
                </c:pt>
                <c:pt idx="5524">
                  <c:v>45245</c:v>
                </c:pt>
                <c:pt idx="5525">
                  <c:v>45246</c:v>
                </c:pt>
                <c:pt idx="5526">
                  <c:v>45247</c:v>
                </c:pt>
                <c:pt idx="5527">
                  <c:v>45248</c:v>
                </c:pt>
                <c:pt idx="5528">
                  <c:v>45249</c:v>
                </c:pt>
                <c:pt idx="5529">
                  <c:v>45250</c:v>
                </c:pt>
                <c:pt idx="5530">
                  <c:v>45251</c:v>
                </c:pt>
                <c:pt idx="5531">
                  <c:v>45252</c:v>
                </c:pt>
                <c:pt idx="5532">
                  <c:v>45253</c:v>
                </c:pt>
                <c:pt idx="5533">
                  <c:v>45254</c:v>
                </c:pt>
                <c:pt idx="5534">
                  <c:v>45255</c:v>
                </c:pt>
                <c:pt idx="5535">
                  <c:v>45256</c:v>
                </c:pt>
                <c:pt idx="5536">
                  <c:v>45257</c:v>
                </c:pt>
                <c:pt idx="5537">
                  <c:v>45258</c:v>
                </c:pt>
                <c:pt idx="5538">
                  <c:v>45259</c:v>
                </c:pt>
                <c:pt idx="5539">
                  <c:v>45260</c:v>
                </c:pt>
                <c:pt idx="5540">
                  <c:v>45261</c:v>
                </c:pt>
                <c:pt idx="5541">
                  <c:v>45262</c:v>
                </c:pt>
                <c:pt idx="5542">
                  <c:v>45263</c:v>
                </c:pt>
                <c:pt idx="5543">
                  <c:v>45264</c:v>
                </c:pt>
                <c:pt idx="5544">
                  <c:v>45265</c:v>
                </c:pt>
                <c:pt idx="5545">
                  <c:v>45266</c:v>
                </c:pt>
                <c:pt idx="5546">
                  <c:v>45267</c:v>
                </c:pt>
                <c:pt idx="5547">
                  <c:v>45268</c:v>
                </c:pt>
                <c:pt idx="5548">
                  <c:v>45269</c:v>
                </c:pt>
                <c:pt idx="5549">
                  <c:v>45270</c:v>
                </c:pt>
                <c:pt idx="5550">
                  <c:v>45271</c:v>
                </c:pt>
                <c:pt idx="5551">
                  <c:v>45272</c:v>
                </c:pt>
                <c:pt idx="5552">
                  <c:v>45273</c:v>
                </c:pt>
                <c:pt idx="5553">
                  <c:v>45274</c:v>
                </c:pt>
                <c:pt idx="5554">
                  <c:v>45275</c:v>
                </c:pt>
                <c:pt idx="5555">
                  <c:v>45276</c:v>
                </c:pt>
                <c:pt idx="5556">
                  <c:v>45277</c:v>
                </c:pt>
                <c:pt idx="5557">
                  <c:v>45278</c:v>
                </c:pt>
                <c:pt idx="5558">
                  <c:v>45279</c:v>
                </c:pt>
                <c:pt idx="5559">
                  <c:v>45280</c:v>
                </c:pt>
                <c:pt idx="5560">
                  <c:v>45281</c:v>
                </c:pt>
                <c:pt idx="5561">
                  <c:v>45282</c:v>
                </c:pt>
                <c:pt idx="5562">
                  <c:v>45283</c:v>
                </c:pt>
                <c:pt idx="5563">
                  <c:v>45284</c:v>
                </c:pt>
                <c:pt idx="5564">
                  <c:v>45285</c:v>
                </c:pt>
                <c:pt idx="5565">
                  <c:v>45286</c:v>
                </c:pt>
                <c:pt idx="5566">
                  <c:v>45287</c:v>
                </c:pt>
                <c:pt idx="5567">
                  <c:v>45288</c:v>
                </c:pt>
                <c:pt idx="5568">
                  <c:v>45289</c:v>
                </c:pt>
                <c:pt idx="5569">
                  <c:v>45290</c:v>
                </c:pt>
                <c:pt idx="5570">
                  <c:v>45291</c:v>
                </c:pt>
                <c:pt idx="5571">
                  <c:v>45292</c:v>
                </c:pt>
                <c:pt idx="5572">
                  <c:v>45293</c:v>
                </c:pt>
                <c:pt idx="5573">
                  <c:v>45294</c:v>
                </c:pt>
                <c:pt idx="5574">
                  <c:v>45295</c:v>
                </c:pt>
                <c:pt idx="5575">
                  <c:v>45296</c:v>
                </c:pt>
                <c:pt idx="5576">
                  <c:v>45297</c:v>
                </c:pt>
                <c:pt idx="5577">
                  <c:v>45298</c:v>
                </c:pt>
                <c:pt idx="5578">
                  <c:v>45299</c:v>
                </c:pt>
                <c:pt idx="5579">
                  <c:v>45300</c:v>
                </c:pt>
                <c:pt idx="5580">
                  <c:v>45301</c:v>
                </c:pt>
                <c:pt idx="5581">
                  <c:v>45302</c:v>
                </c:pt>
              </c:numCache>
            </c:numRef>
          </c:cat>
          <c:val>
            <c:numRef>
              <c:f>Data!$B$4:$B$6305</c:f>
              <c:numCache>
                <c:formatCode>0.000</c:formatCode>
                <c:ptCount val="6302"/>
                <c:pt idx="0">
                  <c:v>3.3085</c:v>
                </c:pt>
                <c:pt idx="1">
                  <c:v>3.3085</c:v>
                </c:pt>
                <c:pt idx="2">
                  <c:v>3.3085</c:v>
                </c:pt>
                <c:pt idx="3">
                  <c:v>3.3085</c:v>
                </c:pt>
                <c:pt idx="4">
                  <c:v>3.3085</c:v>
                </c:pt>
                <c:pt idx="5">
                  <c:v>3.3085</c:v>
                </c:pt>
                <c:pt idx="6">
                  <c:v>3.3085</c:v>
                </c:pt>
                <c:pt idx="7">
                  <c:v>3.3085</c:v>
                </c:pt>
                <c:pt idx="8">
                  <c:v>3.3085</c:v>
                </c:pt>
                <c:pt idx="9">
                  <c:v>4.7697000000000012</c:v>
                </c:pt>
                <c:pt idx="10">
                  <c:v>4.7697000000000012</c:v>
                </c:pt>
                <c:pt idx="11">
                  <c:v>4.7697000000000012</c:v>
                </c:pt>
                <c:pt idx="12">
                  <c:v>4.7697000000000012</c:v>
                </c:pt>
                <c:pt idx="13">
                  <c:v>4.7697000000000012</c:v>
                </c:pt>
                <c:pt idx="14">
                  <c:v>4.7697000000000012</c:v>
                </c:pt>
                <c:pt idx="15">
                  <c:v>4.7697000000000012</c:v>
                </c:pt>
                <c:pt idx="16">
                  <c:v>4.7697000000000012</c:v>
                </c:pt>
                <c:pt idx="17">
                  <c:v>4.7697000000000012</c:v>
                </c:pt>
                <c:pt idx="18">
                  <c:v>4.7697000000000012</c:v>
                </c:pt>
                <c:pt idx="19">
                  <c:v>4.7697000000000012</c:v>
                </c:pt>
                <c:pt idx="20">
                  <c:v>4.7697000000000012</c:v>
                </c:pt>
                <c:pt idx="21">
                  <c:v>4.7697000000000012</c:v>
                </c:pt>
                <c:pt idx="22">
                  <c:v>4.7697000000000012</c:v>
                </c:pt>
                <c:pt idx="23">
                  <c:v>4.7697000000000012</c:v>
                </c:pt>
                <c:pt idx="24">
                  <c:v>4.7697000000000012</c:v>
                </c:pt>
                <c:pt idx="25">
                  <c:v>4.7697000000000012</c:v>
                </c:pt>
                <c:pt idx="26">
                  <c:v>4.7697000000000012</c:v>
                </c:pt>
                <c:pt idx="27">
                  <c:v>11.0078</c:v>
                </c:pt>
                <c:pt idx="28">
                  <c:v>9.9077999999999999</c:v>
                </c:pt>
                <c:pt idx="29">
                  <c:v>9.9077999999999999</c:v>
                </c:pt>
                <c:pt idx="30">
                  <c:v>9.9077999999999999</c:v>
                </c:pt>
                <c:pt idx="31">
                  <c:v>9.9077999999999999</c:v>
                </c:pt>
                <c:pt idx="32">
                  <c:v>9.9077999999999999</c:v>
                </c:pt>
                <c:pt idx="33">
                  <c:v>9.9077999999999999</c:v>
                </c:pt>
                <c:pt idx="34">
                  <c:v>9.9077999999999999</c:v>
                </c:pt>
                <c:pt idx="35">
                  <c:v>9.9077999999999999</c:v>
                </c:pt>
                <c:pt idx="36">
                  <c:v>9.9077999999999999</c:v>
                </c:pt>
                <c:pt idx="37">
                  <c:v>9.9077999999999999</c:v>
                </c:pt>
                <c:pt idx="38">
                  <c:v>10.437799999999999</c:v>
                </c:pt>
                <c:pt idx="39">
                  <c:v>10.9278</c:v>
                </c:pt>
                <c:pt idx="40">
                  <c:v>11.467800000000002</c:v>
                </c:pt>
                <c:pt idx="41">
                  <c:v>11.617800000000001</c:v>
                </c:pt>
                <c:pt idx="42">
                  <c:v>11.727800000000002</c:v>
                </c:pt>
                <c:pt idx="43">
                  <c:v>12.207800000000001</c:v>
                </c:pt>
                <c:pt idx="44">
                  <c:v>12.1578</c:v>
                </c:pt>
                <c:pt idx="45">
                  <c:v>12.3378</c:v>
                </c:pt>
                <c:pt idx="46">
                  <c:v>12.4278</c:v>
                </c:pt>
                <c:pt idx="47">
                  <c:v>12.727800000000002</c:v>
                </c:pt>
                <c:pt idx="48">
                  <c:v>12.727800000000002</c:v>
                </c:pt>
                <c:pt idx="49">
                  <c:v>12.847799999999999</c:v>
                </c:pt>
                <c:pt idx="50">
                  <c:v>12.9078</c:v>
                </c:pt>
                <c:pt idx="51">
                  <c:v>12.807800000000002</c:v>
                </c:pt>
                <c:pt idx="52">
                  <c:v>12.9878</c:v>
                </c:pt>
                <c:pt idx="53">
                  <c:v>12.9078</c:v>
                </c:pt>
                <c:pt idx="54">
                  <c:v>12.9078</c:v>
                </c:pt>
                <c:pt idx="55">
                  <c:v>13.1778</c:v>
                </c:pt>
                <c:pt idx="56">
                  <c:v>13.307800000000002</c:v>
                </c:pt>
                <c:pt idx="57">
                  <c:v>13.4078</c:v>
                </c:pt>
                <c:pt idx="58">
                  <c:v>13.4078</c:v>
                </c:pt>
                <c:pt idx="59">
                  <c:v>13.2378</c:v>
                </c:pt>
                <c:pt idx="60">
                  <c:v>13.237799999999995</c:v>
                </c:pt>
                <c:pt idx="61">
                  <c:v>13.5078</c:v>
                </c:pt>
                <c:pt idx="62">
                  <c:v>13.6578</c:v>
                </c:pt>
                <c:pt idx="63">
                  <c:v>13.4078</c:v>
                </c:pt>
                <c:pt idx="64">
                  <c:v>13.4078</c:v>
                </c:pt>
                <c:pt idx="65">
                  <c:v>13.617800000000001</c:v>
                </c:pt>
                <c:pt idx="66">
                  <c:v>13.8978</c:v>
                </c:pt>
                <c:pt idx="67">
                  <c:v>13.9878</c:v>
                </c:pt>
                <c:pt idx="68">
                  <c:v>14.137800000000002</c:v>
                </c:pt>
                <c:pt idx="69">
                  <c:v>14.057800000000002</c:v>
                </c:pt>
                <c:pt idx="70">
                  <c:v>14.3278</c:v>
                </c:pt>
                <c:pt idx="71">
                  <c:v>14.7478</c:v>
                </c:pt>
                <c:pt idx="72">
                  <c:v>14.967800000000002</c:v>
                </c:pt>
                <c:pt idx="73">
                  <c:v>15.367800000000001</c:v>
                </c:pt>
                <c:pt idx="74">
                  <c:v>15.5078</c:v>
                </c:pt>
                <c:pt idx="75">
                  <c:v>16.027799999999999</c:v>
                </c:pt>
                <c:pt idx="76">
                  <c:v>15.9078</c:v>
                </c:pt>
                <c:pt idx="77">
                  <c:v>16.0078</c:v>
                </c:pt>
                <c:pt idx="78">
                  <c:v>16.0078</c:v>
                </c:pt>
                <c:pt idx="79">
                  <c:v>16.0078</c:v>
                </c:pt>
                <c:pt idx="80">
                  <c:v>16.0078</c:v>
                </c:pt>
                <c:pt idx="81">
                  <c:v>15.9078</c:v>
                </c:pt>
                <c:pt idx="82">
                  <c:v>16.0578</c:v>
                </c:pt>
                <c:pt idx="83">
                  <c:v>15.9878</c:v>
                </c:pt>
                <c:pt idx="84">
                  <c:v>15.9878</c:v>
                </c:pt>
                <c:pt idx="85">
                  <c:v>15.9878</c:v>
                </c:pt>
                <c:pt idx="86">
                  <c:v>15.9878</c:v>
                </c:pt>
                <c:pt idx="87">
                  <c:v>15.9878</c:v>
                </c:pt>
                <c:pt idx="88">
                  <c:v>15.9878</c:v>
                </c:pt>
                <c:pt idx="89">
                  <c:v>16.267800000000001</c:v>
                </c:pt>
                <c:pt idx="90">
                  <c:v>16.887799999999999</c:v>
                </c:pt>
                <c:pt idx="91">
                  <c:v>16.8278</c:v>
                </c:pt>
                <c:pt idx="92">
                  <c:v>16.907800000000002</c:v>
                </c:pt>
                <c:pt idx="93">
                  <c:v>16.957799999999999</c:v>
                </c:pt>
                <c:pt idx="94">
                  <c:v>17.0078</c:v>
                </c:pt>
                <c:pt idx="95">
                  <c:v>17.107800000000001</c:v>
                </c:pt>
                <c:pt idx="96">
                  <c:v>17.2578</c:v>
                </c:pt>
                <c:pt idx="97">
                  <c:v>17.2578</c:v>
                </c:pt>
                <c:pt idx="98">
                  <c:v>17.2578</c:v>
                </c:pt>
                <c:pt idx="99">
                  <c:v>17.2578</c:v>
                </c:pt>
                <c:pt idx="100">
                  <c:v>17.3078</c:v>
                </c:pt>
                <c:pt idx="101">
                  <c:v>17.343299999999999</c:v>
                </c:pt>
                <c:pt idx="102">
                  <c:v>17.343299999999999</c:v>
                </c:pt>
                <c:pt idx="103">
                  <c:v>17.393400000000003</c:v>
                </c:pt>
                <c:pt idx="104">
                  <c:v>17.543800000000001</c:v>
                </c:pt>
                <c:pt idx="105">
                  <c:v>17.563800000000001</c:v>
                </c:pt>
                <c:pt idx="106">
                  <c:v>17.563800000000001</c:v>
                </c:pt>
                <c:pt idx="107">
                  <c:v>17.573899999999998</c:v>
                </c:pt>
                <c:pt idx="108">
                  <c:v>17.543800000000001</c:v>
                </c:pt>
                <c:pt idx="109">
                  <c:v>17.4937</c:v>
                </c:pt>
                <c:pt idx="110">
                  <c:v>17.543800000000001</c:v>
                </c:pt>
                <c:pt idx="111">
                  <c:v>17.593900000000001</c:v>
                </c:pt>
                <c:pt idx="112">
                  <c:v>17.644000000000002</c:v>
                </c:pt>
                <c:pt idx="113">
                  <c:v>17.644000000000002</c:v>
                </c:pt>
                <c:pt idx="114">
                  <c:v>17.744299999999999</c:v>
                </c:pt>
                <c:pt idx="115">
                  <c:v>18.045000000000002</c:v>
                </c:pt>
                <c:pt idx="116">
                  <c:v>18.195399999999999</c:v>
                </c:pt>
                <c:pt idx="117">
                  <c:v>18.345800000000001</c:v>
                </c:pt>
                <c:pt idx="118">
                  <c:v>18.395900000000001</c:v>
                </c:pt>
                <c:pt idx="119">
                  <c:v>18.596399999999999</c:v>
                </c:pt>
                <c:pt idx="120">
                  <c:v>18.7468</c:v>
                </c:pt>
                <c:pt idx="121">
                  <c:v>18.6967</c:v>
                </c:pt>
                <c:pt idx="122">
                  <c:v>19.1478</c:v>
                </c:pt>
                <c:pt idx="123">
                  <c:v>19.348299999999998</c:v>
                </c:pt>
                <c:pt idx="124">
                  <c:v>19.799399999999999</c:v>
                </c:pt>
                <c:pt idx="125">
                  <c:v>20.200399999999998</c:v>
                </c:pt>
                <c:pt idx="126">
                  <c:v>21.152799999999999</c:v>
                </c:pt>
                <c:pt idx="127">
                  <c:v>21.152799999999999</c:v>
                </c:pt>
                <c:pt idx="128">
                  <c:v>21.102699999999999</c:v>
                </c:pt>
                <c:pt idx="129">
                  <c:v>21.102699999999999</c:v>
                </c:pt>
                <c:pt idx="130">
                  <c:v>21.122699999999998</c:v>
                </c:pt>
                <c:pt idx="131">
                  <c:v>21.243000000000002</c:v>
                </c:pt>
                <c:pt idx="132">
                  <c:v>21.403400000000001</c:v>
                </c:pt>
                <c:pt idx="133">
                  <c:v>21.473600000000001</c:v>
                </c:pt>
                <c:pt idx="134">
                  <c:v>21.473600000000001</c:v>
                </c:pt>
                <c:pt idx="135">
                  <c:v>21.473600000000001</c:v>
                </c:pt>
                <c:pt idx="136">
                  <c:v>21.573799999999999</c:v>
                </c:pt>
                <c:pt idx="137">
                  <c:v>21.9147</c:v>
                </c:pt>
                <c:pt idx="138">
                  <c:v>21.954799999999999</c:v>
                </c:pt>
                <c:pt idx="139">
                  <c:v>21.8445</c:v>
                </c:pt>
                <c:pt idx="140">
                  <c:v>21.7743</c:v>
                </c:pt>
                <c:pt idx="141">
                  <c:v>21.7944</c:v>
                </c:pt>
                <c:pt idx="142">
                  <c:v>21.7944</c:v>
                </c:pt>
                <c:pt idx="143">
                  <c:v>21.904699999999998</c:v>
                </c:pt>
                <c:pt idx="144">
                  <c:v>21.904699999999998</c:v>
                </c:pt>
                <c:pt idx="145">
                  <c:v>21.954799999999999</c:v>
                </c:pt>
                <c:pt idx="146">
                  <c:v>22.205400000000001</c:v>
                </c:pt>
                <c:pt idx="147">
                  <c:v>22.205400000000001</c:v>
                </c:pt>
                <c:pt idx="148">
                  <c:v>23.007400000000001</c:v>
                </c:pt>
                <c:pt idx="149">
                  <c:v>23.558800000000005</c:v>
                </c:pt>
                <c:pt idx="150">
                  <c:v>23.859500000000001</c:v>
                </c:pt>
                <c:pt idx="151">
                  <c:v>24.360800000000005</c:v>
                </c:pt>
                <c:pt idx="152">
                  <c:v>24.7117</c:v>
                </c:pt>
                <c:pt idx="153">
                  <c:v>24.761800000000001</c:v>
                </c:pt>
                <c:pt idx="154">
                  <c:v>24.6615</c:v>
                </c:pt>
                <c:pt idx="155">
                  <c:v>24.741700000000002</c:v>
                </c:pt>
                <c:pt idx="156">
                  <c:v>24.7818</c:v>
                </c:pt>
                <c:pt idx="157">
                  <c:v>24.7818</c:v>
                </c:pt>
                <c:pt idx="158">
                  <c:v>24.7117</c:v>
                </c:pt>
                <c:pt idx="159">
                  <c:v>24.741700000000002</c:v>
                </c:pt>
                <c:pt idx="160">
                  <c:v>25.0425</c:v>
                </c:pt>
                <c:pt idx="161">
                  <c:v>25.1127</c:v>
                </c:pt>
                <c:pt idx="162">
                  <c:v>25.162700000000001</c:v>
                </c:pt>
                <c:pt idx="163">
                  <c:v>25.192900000000002</c:v>
                </c:pt>
                <c:pt idx="164">
                  <c:v>25.192900000000002</c:v>
                </c:pt>
                <c:pt idx="165">
                  <c:v>25.142700000000001</c:v>
                </c:pt>
                <c:pt idx="166">
                  <c:v>25.142700000000001</c:v>
                </c:pt>
                <c:pt idx="167">
                  <c:v>25.313199999999998</c:v>
                </c:pt>
                <c:pt idx="168">
                  <c:v>25.634</c:v>
                </c:pt>
                <c:pt idx="169">
                  <c:v>25.764299999999999</c:v>
                </c:pt>
                <c:pt idx="170">
                  <c:v>26.065000000000001</c:v>
                </c:pt>
                <c:pt idx="171">
                  <c:v>26.3157</c:v>
                </c:pt>
                <c:pt idx="172">
                  <c:v>26.716700000000003</c:v>
                </c:pt>
                <c:pt idx="173">
                  <c:v>26.7668</c:v>
                </c:pt>
                <c:pt idx="174">
                  <c:v>27.007400000000001</c:v>
                </c:pt>
                <c:pt idx="175">
                  <c:v>27.227900000000002</c:v>
                </c:pt>
                <c:pt idx="176">
                  <c:v>29.924700000000001</c:v>
                </c:pt>
                <c:pt idx="177">
                  <c:v>29.924700000000001</c:v>
                </c:pt>
                <c:pt idx="178">
                  <c:v>29.924700000000001</c:v>
                </c:pt>
                <c:pt idx="179">
                  <c:v>30.125200000000003</c:v>
                </c:pt>
                <c:pt idx="180">
                  <c:v>30.125200000000003</c:v>
                </c:pt>
                <c:pt idx="181">
                  <c:v>30.1953</c:v>
                </c:pt>
                <c:pt idx="182">
                  <c:v>30.335000000000001</c:v>
                </c:pt>
                <c:pt idx="183">
                  <c:v>30.546199999999999</c:v>
                </c:pt>
                <c:pt idx="184">
                  <c:v>30.578299999999999</c:v>
                </c:pt>
                <c:pt idx="185">
                  <c:v>30.6265</c:v>
                </c:pt>
                <c:pt idx="186">
                  <c:v>30.726700000000001</c:v>
                </c:pt>
                <c:pt idx="187">
                  <c:v>30.686599999999999</c:v>
                </c:pt>
                <c:pt idx="188">
                  <c:v>30.666499999999999</c:v>
                </c:pt>
                <c:pt idx="189">
                  <c:v>30.666499999999999</c:v>
                </c:pt>
                <c:pt idx="190">
                  <c:v>30.726700000000001</c:v>
                </c:pt>
                <c:pt idx="191">
                  <c:v>30.7287</c:v>
                </c:pt>
                <c:pt idx="192">
                  <c:v>30.776800000000005</c:v>
                </c:pt>
                <c:pt idx="193">
                  <c:v>30.876999999999999</c:v>
                </c:pt>
                <c:pt idx="194">
                  <c:v>30.937200000000001</c:v>
                </c:pt>
                <c:pt idx="195">
                  <c:v>30.9572</c:v>
                </c:pt>
                <c:pt idx="196">
                  <c:v>30.9572</c:v>
                </c:pt>
                <c:pt idx="197">
                  <c:v>30.937200000000001</c:v>
                </c:pt>
                <c:pt idx="198">
                  <c:v>31.047499999999999</c:v>
                </c:pt>
                <c:pt idx="199">
                  <c:v>31.087599999999998</c:v>
                </c:pt>
                <c:pt idx="200">
                  <c:v>31.268000000000001</c:v>
                </c:pt>
                <c:pt idx="201">
                  <c:v>31.398299999999999</c:v>
                </c:pt>
                <c:pt idx="202">
                  <c:v>31.629000000000001</c:v>
                </c:pt>
                <c:pt idx="203">
                  <c:v>34.335700000000003</c:v>
                </c:pt>
                <c:pt idx="204">
                  <c:v>34.335700000000003</c:v>
                </c:pt>
                <c:pt idx="205">
                  <c:v>34.335700000000003</c:v>
                </c:pt>
                <c:pt idx="206">
                  <c:v>34.335700000000003</c:v>
                </c:pt>
                <c:pt idx="207">
                  <c:v>34.435927777777792</c:v>
                </c:pt>
                <c:pt idx="208">
                  <c:v>34.606299999999997</c:v>
                </c:pt>
                <c:pt idx="209">
                  <c:v>34.837000000000003</c:v>
                </c:pt>
                <c:pt idx="210">
                  <c:v>34.917099999999998</c:v>
                </c:pt>
                <c:pt idx="211">
                  <c:v>35.187800000000003</c:v>
                </c:pt>
                <c:pt idx="212">
                  <c:v>35.408299999999997</c:v>
                </c:pt>
                <c:pt idx="213">
                  <c:v>35.709099999999999</c:v>
                </c:pt>
                <c:pt idx="214">
                  <c:v>37.0625</c:v>
                </c:pt>
                <c:pt idx="215">
                  <c:v>40.220300000000002</c:v>
                </c:pt>
                <c:pt idx="216">
                  <c:v>40.220300000000002</c:v>
                </c:pt>
                <c:pt idx="217">
                  <c:v>40.220300000000002</c:v>
                </c:pt>
                <c:pt idx="218">
                  <c:v>40.220300000000002</c:v>
                </c:pt>
                <c:pt idx="219">
                  <c:v>40.220300000000002</c:v>
                </c:pt>
                <c:pt idx="220">
                  <c:v>40.220300000000002</c:v>
                </c:pt>
                <c:pt idx="221">
                  <c:v>40.340600000000002</c:v>
                </c:pt>
                <c:pt idx="222">
                  <c:v>40.491</c:v>
                </c:pt>
                <c:pt idx="223">
                  <c:v>40.561199999999999</c:v>
                </c:pt>
                <c:pt idx="224">
                  <c:v>40.621299999999998</c:v>
                </c:pt>
                <c:pt idx="225">
                  <c:v>40.621299999999998</c:v>
                </c:pt>
                <c:pt idx="226">
                  <c:v>40.621299999999998</c:v>
                </c:pt>
                <c:pt idx="227">
                  <c:v>44.160200000000003</c:v>
                </c:pt>
                <c:pt idx="228">
                  <c:v>44.160200000000003</c:v>
                </c:pt>
                <c:pt idx="229">
                  <c:v>44.160200000000003</c:v>
                </c:pt>
                <c:pt idx="230">
                  <c:v>44.160200000000003</c:v>
                </c:pt>
                <c:pt idx="231">
                  <c:v>44.160200000000003</c:v>
                </c:pt>
                <c:pt idx="232">
                  <c:v>44.263599999999997</c:v>
                </c:pt>
                <c:pt idx="233">
                  <c:v>44.148200000000003</c:v>
                </c:pt>
                <c:pt idx="234">
                  <c:v>44.339700000000001</c:v>
                </c:pt>
                <c:pt idx="235">
                  <c:v>46.237608000000002</c:v>
                </c:pt>
                <c:pt idx="236">
                  <c:v>46.115000000000002</c:v>
                </c:pt>
                <c:pt idx="237">
                  <c:v>46.115000000000002</c:v>
                </c:pt>
                <c:pt idx="238">
                  <c:v>46.115000000000002</c:v>
                </c:pt>
                <c:pt idx="239">
                  <c:v>46.115000000000002</c:v>
                </c:pt>
                <c:pt idx="240">
                  <c:v>46.115000000000002</c:v>
                </c:pt>
                <c:pt idx="241">
                  <c:v>46.115000000000002</c:v>
                </c:pt>
                <c:pt idx="242">
                  <c:v>46.115000000000002</c:v>
                </c:pt>
                <c:pt idx="243">
                  <c:v>46.115000000000002</c:v>
                </c:pt>
                <c:pt idx="244">
                  <c:v>46.115000000000002</c:v>
                </c:pt>
                <c:pt idx="245">
                  <c:v>46.115000000000002</c:v>
                </c:pt>
                <c:pt idx="246">
                  <c:v>51.897711999999999</c:v>
                </c:pt>
                <c:pt idx="247">
                  <c:v>51.560600000000001</c:v>
                </c:pt>
                <c:pt idx="248">
                  <c:v>51.371434999999998</c:v>
                </c:pt>
                <c:pt idx="249">
                  <c:v>51.748896000000002</c:v>
                </c:pt>
                <c:pt idx="250">
                  <c:v>51.742913000000001</c:v>
                </c:pt>
                <c:pt idx="251">
                  <c:v>51.752586999999998</c:v>
                </c:pt>
                <c:pt idx="252">
                  <c:v>51.775109000000008</c:v>
                </c:pt>
                <c:pt idx="253">
                  <c:v>51.759839999999997</c:v>
                </c:pt>
                <c:pt idx="254">
                  <c:v>51.768883000000002</c:v>
                </c:pt>
                <c:pt idx="255">
                  <c:v>51.797567999999998</c:v>
                </c:pt>
                <c:pt idx="256">
                  <c:v>51.790658999999998</c:v>
                </c:pt>
                <c:pt idx="257">
                  <c:v>51.791113000000003</c:v>
                </c:pt>
                <c:pt idx="258">
                  <c:v>51.798594000000008</c:v>
                </c:pt>
                <c:pt idx="259">
                  <c:v>52.159379999999999</c:v>
                </c:pt>
                <c:pt idx="260">
                  <c:v>53.367103999999998</c:v>
                </c:pt>
                <c:pt idx="261">
                  <c:v>54.832791</c:v>
                </c:pt>
                <c:pt idx="262">
                  <c:v>58.384255000000003</c:v>
                </c:pt>
                <c:pt idx="263">
                  <c:v>57.436069000000003</c:v>
                </c:pt>
                <c:pt idx="264">
                  <c:v>57.981777000000001</c:v>
                </c:pt>
                <c:pt idx="265">
                  <c:v>57.986277000000001</c:v>
                </c:pt>
                <c:pt idx="266">
                  <c:v>59.273958999999998</c:v>
                </c:pt>
                <c:pt idx="267">
                  <c:v>60.350445000000001</c:v>
                </c:pt>
                <c:pt idx="268">
                  <c:v>60.815047</c:v>
                </c:pt>
                <c:pt idx="269">
                  <c:v>61.240913999999997</c:v>
                </c:pt>
                <c:pt idx="270">
                  <c:v>63.237712000000002</c:v>
                </c:pt>
                <c:pt idx="271">
                  <c:v>64.089077000000003</c:v>
                </c:pt>
                <c:pt idx="272">
                  <c:v>64.146349000000001</c:v>
                </c:pt>
                <c:pt idx="273">
                  <c:v>64.062060000000002</c:v>
                </c:pt>
                <c:pt idx="274">
                  <c:v>64.059486000000007</c:v>
                </c:pt>
                <c:pt idx="275">
                  <c:v>61.502415999999997</c:v>
                </c:pt>
                <c:pt idx="276">
                  <c:v>60.88981600000001</c:v>
                </c:pt>
                <c:pt idx="277">
                  <c:v>60.097436999999999</c:v>
                </c:pt>
                <c:pt idx="278">
                  <c:v>60.253064000000002</c:v>
                </c:pt>
                <c:pt idx="279">
                  <c:v>60.128605000000007</c:v>
                </c:pt>
                <c:pt idx="280">
                  <c:v>60.091495000000002</c:v>
                </c:pt>
                <c:pt idx="281">
                  <c:v>60.113799999999998</c:v>
                </c:pt>
                <c:pt idx="282">
                  <c:v>60.150395000000003</c:v>
                </c:pt>
                <c:pt idx="283">
                  <c:v>60.072913</c:v>
                </c:pt>
                <c:pt idx="284">
                  <c:v>59.558185000000009</c:v>
                </c:pt>
                <c:pt idx="285">
                  <c:v>59.362352999999999</c:v>
                </c:pt>
                <c:pt idx="286">
                  <c:v>59.189461999999999</c:v>
                </c:pt>
                <c:pt idx="287">
                  <c:v>58.930537000000008</c:v>
                </c:pt>
                <c:pt idx="288">
                  <c:v>58.352572000000002</c:v>
                </c:pt>
                <c:pt idx="289">
                  <c:v>58.372442000000007</c:v>
                </c:pt>
                <c:pt idx="290">
                  <c:v>58.175553999999998</c:v>
                </c:pt>
                <c:pt idx="291">
                  <c:v>58.10668900000001</c:v>
                </c:pt>
                <c:pt idx="292">
                  <c:v>57.826486000000003</c:v>
                </c:pt>
                <c:pt idx="293">
                  <c:v>57.784953999999999</c:v>
                </c:pt>
                <c:pt idx="294">
                  <c:v>57.629185999999997</c:v>
                </c:pt>
                <c:pt idx="295">
                  <c:v>57.808964000000003</c:v>
                </c:pt>
                <c:pt idx="296">
                  <c:v>57.757053999999997</c:v>
                </c:pt>
                <c:pt idx="297">
                  <c:v>57.748527000000003</c:v>
                </c:pt>
                <c:pt idx="298">
                  <c:v>57.882745000000007</c:v>
                </c:pt>
                <c:pt idx="299">
                  <c:v>57.422356999999998</c:v>
                </c:pt>
                <c:pt idx="300">
                  <c:v>57.227694000000007</c:v>
                </c:pt>
                <c:pt idx="301">
                  <c:v>57.439062</c:v>
                </c:pt>
                <c:pt idx="302">
                  <c:v>57.419953</c:v>
                </c:pt>
                <c:pt idx="303">
                  <c:v>57.347918</c:v>
                </c:pt>
                <c:pt idx="304">
                  <c:v>57.505631000000001</c:v>
                </c:pt>
                <c:pt idx="305">
                  <c:v>57.473610999999998</c:v>
                </c:pt>
                <c:pt idx="306">
                  <c:v>57.701644000000002</c:v>
                </c:pt>
                <c:pt idx="307">
                  <c:v>58.156561000000004</c:v>
                </c:pt>
                <c:pt idx="308">
                  <c:v>58.458911000000001</c:v>
                </c:pt>
                <c:pt idx="309">
                  <c:v>58.723494000000002</c:v>
                </c:pt>
                <c:pt idx="310">
                  <c:v>59.217435999999999</c:v>
                </c:pt>
                <c:pt idx="311">
                  <c:v>61.299875999999998</c:v>
                </c:pt>
                <c:pt idx="312">
                  <c:v>59.764763000000002</c:v>
                </c:pt>
                <c:pt idx="313">
                  <c:v>59.448523999999999</c:v>
                </c:pt>
                <c:pt idx="314">
                  <c:v>59.321857000000001</c:v>
                </c:pt>
                <c:pt idx="315">
                  <c:v>59.336453000000006</c:v>
                </c:pt>
                <c:pt idx="316">
                  <c:v>59.376286</c:v>
                </c:pt>
                <c:pt idx="317">
                  <c:v>59.444739000000006</c:v>
                </c:pt>
                <c:pt idx="318">
                  <c:v>59.565336000000002</c:v>
                </c:pt>
                <c:pt idx="319">
                  <c:v>59.673772999999997</c:v>
                </c:pt>
                <c:pt idx="320">
                  <c:v>59.619892999999998</c:v>
                </c:pt>
                <c:pt idx="321">
                  <c:v>59.673749999999998</c:v>
                </c:pt>
                <c:pt idx="322">
                  <c:v>59.697963999999999</c:v>
                </c:pt>
                <c:pt idx="323">
                  <c:v>59.692892999999998</c:v>
                </c:pt>
                <c:pt idx="324">
                  <c:v>59.747892999999998</c:v>
                </c:pt>
                <c:pt idx="325">
                  <c:v>59.777036000000003</c:v>
                </c:pt>
                <c:pt idx="326">
                  <c:v>59.836821000000008</c:v>
                </c:pt>
                <c:pt idx="327">
                  <c:v>59.858713000000002</c:v>
                </c:pt>
                <c:pt idx="328">
                  <c:v>59.960935999999997</c:v>
                </c:pt>
                <c:pt idx="329">
                  <c:v>60.021201000000005</c:v>
                </c:pt>
                <c:pt idx="330">
                  <c:v>60.201791</c:v>
                </c:pt>
                <c:pt idx="331">
                  <c:v>60.176453000000002</c:v>
                </c:pt>
                <c:pt idx="332">
                  <c:v>60.33415500000001</c:v>
                </c:pt>
                <c:pt idx="333">
                  <c:v>60.386358000000001</c:v>
                </c:pt>
                <c:pt idx="334">
                  <c:v>60.546474000000003</c:v>
                </c:pt>
                <c:pt idx="335">
                  <c:v>60.604154000000001</c:v>
                </c:pt>
                <c:pt idx="336">
                  <c:v>60.819988000000009</c:v>
                </c:pt>
                <c:pt idx="337">
                  <c:v>60.885542999999998</c:v>
                </c:pt>
                <c:pt idx="338">
                  <c:v>60.734665999999997</c:v>
                </c:pt>
                <c:pt idx="339">
                  <c:v>60.687463999999999</c:v>
                </c:pt>
                <c:pt idx="340">
                  <c:v>60.709004999999998</c:v>
                </c:pt>
                <c:pt idx="341">
                  <c:v>60.681860999999998</c:v>
                </c:pt>
                <c:pt idx="342">
                  <c:v>60.722811</c:v>
                </c:pt>
                <c:pt idx="343">
                  <c:v>60.438074</c:v>
                </c:pt>
                <c:pt idx="344">
                  <c:v>60.405737999999999</c:v>
                </c:pt>
                <c:pt idx="345">
                  <c:v>60.679223999999998</c:v>
                </c:pt>
                <c:pt idx="346">
                  <c:v>60.680833</c:v>
                </c:pt>
                <c:pt idx="347">
                  <c:v>60.683957999999997</c:v>
                </c:pt>
                <c:pt idx="348">
                  <c:v>61.129908000000007</c:v>
                </c:pt>
                <c:pt idx="349">
                  <c:v>61.521017999999998</c:v>
                </c:pt>
                <c:pt idx="350">
                  <c:v>62.580523999999997</c:v>
                </c:pt>
                <c:pt idx="351">
                  <c:v>62.486557000000005</c:v>
                </c:pt>
                <c:pt idx="352">
                  <c:v>62.716571000000002</c:v>
                </c:pt>
                <c:pt idx="353">
                  <c:v>64.480857</c:v>
                </c:pt>
                <c:pt idx="354">
                  <c:v>66.581785999999994</c:v>
                </c:pt>
                <c:pt idx="355">
                  <c:v>68.168429000000003</c:v>
                </c:pt>
                <c:pt idx="356">
                  <c:v>71.384570999999994</c:v>
                </c:pt>
                <c:pt idx="357">
                  <c:v>76.069028000000003</c:v>
                </c:pt>
                <c:pt idx="358">
                  <c:v>77.988472000000016</c:v>
                </c:pt>
                <c:pt idx="359">
                  <c:v>81.535832999999997</c:v>
                </c:pt>
                <c:pt idx="360">
                  <c:v>78.686110999999997</c:v>
                </c:pt>
                <c:pt idx="361">
                  <c:v>78.969166999999999</c:v>
                </c:pt>
                <c:pt idx="362">
                  <c:v>78.866944000000004</c:v>
                </c:pt>
                <c:pt idx="363">
                  <c:v>79.783056000000002</c:v>
                </c:pt>
                <c:pt idx="364">
                  <c:v>80.320000000000007</c:v>
                </c:pt>
                <c:pt idx="365">
                  <c:v>80.397082999999995</c:v>
                </c:pt>
                <c:pt idx="366">
                  <c:v>80.855138999999994</c:v>
                </c:pt>
                <c:pt idx="367">
                  <c:v>81.255139</c:v>
                </c:pt>
                <c:pt idx="368">
                  <c:v>83.058194</c:v>
                </c:pt>
                <c:pt idx="369">
                  <c:v>82.960138999999998</c:v>
                </c:pt>
                <c:pt idx="370">
                  <c:v>83.095139000000017</c:v>
                </c:pt>
                <c:pt idx="371">
                  <c:v>83.301900000000003</c:v>
                </c:pt>
                <c:pt idx="372">
                  <c:v>83.240600000000001</c:v>
                </c:pt>
                <c:pt idx="373">
                  <c:v>83.238699999999994</c:v>
                </c:pt>
                <c:pt idx="374">
                  <c:v>83.307000000000002</c:v>
                </c:pt>
                <c:pt idx="375">
                  <c:v>83.302700000000002</c:v>
                </c:pt>
                <c:pt idx="376">
                  <c:v>83.297100000000015</c:v>
                </c:pt>
                <c:pt idx="377">
                  <c:v>83.290500000000009</c:v>
                </c:pt>
                <c:pt idx="378">
                  <c:v>83.319599999999994</c:v>
                </c:pt>
                <c:pt idx="379">
                  <c:v>83.280799999999999</c:v>
                </c:pt>
                <c:pt idx="380">
                  <c:v>83.195700000000002</c:v>
                </c:pt>
                <c:pt idx="381">
                  <c:v>83.164599999999993</c:v>
                </c:pt>
                <c:pt idx="382">
                  <c:v>83.176900000000003</c:v>
                </c:pt>
                <c:pt idx="383">
                  <c:v>83.18780000000001</c:v>
                </c:pt>
                <c:pt idx="384">
                  <c:v>83.241799999999998</c:v>
                </c:pt>
                <c:pt idx="385">
                  <c:v>83.340800000000002</c:v>
                </c:pt>
                <c:pt idx="386">
                  <c:v>83.278000000000006</c:v>
                </c:pt>
                <c:pt idx="387">
                  <c:v>83.288200000000003</c:v>
                </c:pt>
                <c:pt idx="388">
                  <c:v>83.277799999999999</c:v>
                </c:pt>
                <c:pt idx="389">
                  <c:v>83.3018</c:v>
                </c:pt>
                <c:pt idx="390">
                  <c:v>83.248099999999994</c:v>
                </c:pt>
                <c:pt idx="391">
                  <c:v>83.323400000000007</c:v>
                </c:pt>
                <c:pt idx="392">
                  <c:v>83.283300000000011</c:v>
                </c:pt>
                <c:pt idx="393">
                  <c:v>83.350099999999998</c:v>
                </c:pt>
                <c:pt idx="394">
                  <c:v>83.452200000000019</c:v>
                </c:pt>
                <c:pt idx="395">
                  <c:v>83.451000000000008</c:v>
                </c:pt>
                <c:pt idx="396">
                  <c:v>83.630899999999997</c:v>
                </c:pt>
                <c:pt idx="397">
                  <c:v>83.66070000000002</c:v>
                </c:pt>
                <c:pt idx="398">
                  <c:v>83.685500000000005</c:v>
                </c:pt>
                <c:pt idx="399">
                  <c:v>83.673900000000017</c:v>
                </c:pt>
                <c:pt idx="400">
                  <c:v>83.680400000000006</c:v>
                </c:pt>
                <c:pt idx="401">
                  <c:v>83.585999999999999</c:v>
                </c:pt>
                <c:pt idx="402">
                  <c:v>83.635500000000008</c:v>
                </c:pt>
                <c:pt idx="403">
                  <c:v>83.592600000000004</c:v>
                </c:pt>
                <c:pt idx="404">
                  <c:v>83.547300000000007</c:v>
                </c:pt>
                <c:pt idx="405">
                  <c:v>83.367800000000003</c:v>
                </c:pt>
                <c:pt idx="406">
                  <c:v>83.382999999999996</c:v>
                </c:pt>
                <c:pt idx="407">
                  <c:v>83.200100000000006</c:v>
                </c:pt>
                <c:pt idx="408">
                  <c:v>83.442899999999995</c:v>
                </c:pt>
                <c:pt idx="409">
                  <c:v>83.525300000000001</c:v>
                </c:pt>
                <c:pt idx="410">
                  <c:v>83.539300000000011</c:v>
                </c:pt>
                <c:pt idx="411">
                  <c:v>83.509399999999999</c:v>
                </c:pt>
                <c:pt idx="412">
                  <c:v>83.496899999999997</c:v>
                </c:pt>
                <c:pt idx="413">
                  <c:v>83.485399999999998</c:v>
                </c:pt>
                <c:pt idx="414">
                  <c:v>83.3977</c:v>
                </c:pt>
                <c:pt idx="415">
                  <c:v>83.432400000000001</c:v>
                </c:pt>
                <c:pt idx="416">
                  <c:v>83.505499999999998</c:v>
                </c:pt>
                <c:pt idx="417">
                  <c:v>83.523499999999999</c:v>
                </c:pt>
                <c:pt idx="418">
                  <c:v>83.521799999999999</c:v>
                </c:pt>
                <c:pt idx="419">
                  <c:v>83.558300000000003</c:v>
                </c:pt>
                <c:pt idx="420">
                  <c:v>83.495500000000007</c:v>
                </c:pt>
                <c:pt idx="421">
                  <c:v>83.356399999999994</c:v>
                </c:pt>
                <c:pt idx="422">
                  <c:v>83.579499999999996</c:v>
                </c:pt>
                <c:pt idx="423">
                  <c:v>83.567499999999995</c:v>
                </c:pt>
                <c:pt idx="424">
                  <c:v>83.549899999999994</c:v>
                </c:pt>
                <c:pt idx="425">
                  <c:v>83.541100000000014</c:v>
                </c:pt>
                <c:pt idx="426">
                  <c:v>83.522999999999996</c:v>
                </c:pt>
                <c:pt idx="427">
                  <c:v>83.3155</c:v>
                </c:pt>
                <c:pt idx="428">
                  <c:v>83.519300000000001</c:v>
                </c:pt>
                <c:pt idx="429">
                  <c:v>83.564700000000002</c:v>
                </c:pt>
                <c:pt idx="430">
                  <c:v>83.461399999999998</c:v>
                </c:pt>
                <c:pt idx="431">
                  <c:v>83.667900000000017</c:v>
                </c:pt>
                <c:pt idx="432">
                  <c:v>83.647599999999997</c:v>
                </c:pt>
                <c:pt idx="433">
                  <c:v>83.66370000000002</c:v>
                </c:pt>
                <c:pt idx="434">
                  <c:v>83.849000000000004</c:v>
                </c:pt>
                <c:pt idx="435">
                  <c:v>84.036699999999996</c:v>
                </c:pt>
                <c:pt idx="436">
                  <c:v>84.259100000000004</c:v>
                </c:pt>
                <c:pt idx="437">
                  <c:v>84.241</c:v>
                </c:pt>
                <c:pt idx="438">
                  <c:v>84.145300000000006</c:v>
                </c:pt>
                <c:pt idx="439">
                  <c:v>84.129800000000003</c:v>
                </c:pt>
                <c:pt idx="440">
                  <c:v>84.189499999999995</c:v>
                </c:pt>
                <c:pt idx="441">
                  <c:v>84.346000000000004</c:v>
                </c:pt>
                <c:pt idx="442">
                  <c:v>84.313699999999997</c:v>
                </c:pt>
                <c:pt idx="443">
                  <c:v>84.328000000000003</c:v>
                </c:pt>
                <c:pt idx="444">
                  <c:v>84.232399999999998</c:v>
                </c:pt>
                <c:pt idx="445">
                  <c:v>84.194400000000016</c:v>
                </c:pt>
                <c:pt idx="446">
                  <c:v>84.198800000000006</c:v>
                </c:pt>
                <c:pt idx="447">
                  <c:v>84.282100000000014</c:v>
                </c:pt>
                <c:pt idx="448">
                  <c:v>84.2363</c:v>
                </c:pt>
                <c:pt idx="449">
                  <c:v>84.287899999999993</c:v>
                </c:pt>
                <c:pt idx="450">
                  <c:v>84.244100000000003</c:v>
                </c:pt>
                <c:pt idx="451">
                  <c:v>84.185000000000002</c:v>
                </c:pt>
                <c:pt idx="452">
                  <c:v>84.179599999999994</c:v>
                </c:pt>
                <c:pt idx="453">
                  <c:v>84.174300000000002</c:v>
                </c:pt>
                <c:pt idx="454">
                  <c:v>84.149699999999996</c:v>
                </c:pt>
                <c:pt idx="455">
                  <c:v>84.098299999999995</c:v>
                </c:pt>
                <c:pt idx="456">
                  <c:v>84.187899999999999</c:v>
                </c:pt>
                <c:pt idx="457">
                  <c:v>84.141400000000004</c:v>
                </c:pt>
                <c:pt idx="458">
                  <c:v>84.389399999999995</c:v>
                </c:pt>
                <c:pt idx="459">
                  <c:v>84.405100000000004</c:v>
                </c:pt>
                <c:pt idx="460">
                  <c:v>84.4208</c:v>
                </c:pt>
                <c:pt idx="461">
                  <c:v>84.436300000000003</c:v>
                </c:pt>
                <c:pt idx="462">
                  <c:v>84.682199999999995</c:v>
                </c:pt>
                <c:pt idx="463">
                  <c:v>84.729100000000003</c:v>
                </c:pt>
                <c:pt idx="464">
                  <c:v>84.7453</c:v>
                </c:pt>
                <c:pt idx="465">
                  <c:v>84.795699999999997</c:v>
                </c:pt>
                <c:pt idx="466">
                  <c:v>84.746499999999997</c:v>
                </c:pt>
                <c:pt idx="467">
                  <c:v>84.714800000000011</c:v>
                </c:pt>
                <c:pt idx="468">
                  <c:v>84.793300000000002</c:v>
                </c:pt>
                <c:pt idx="469">
                  <c:v>85.094300000000004</c:v>
                </c:pt>
                <c:pt idx="470">
                  <c:v>84.952800000000011</c:v>
                </c:pt>
                <c:pt idx="471">
                  <c:v>84.792000000000002</c:v>
                </c:pt>
                <c:pt idx="472">
                  <c:v>84.699100000000001</c:v>
                </c:pt>
                <c:pt idx="473">
                  <c:v>84.5762</c:v>
                </c:pt>
                <c:pt idx="474">
                  <c:v>84.617800000000003</c:v>
                </c:pt>
                <c:pt idx="475">
                  <c:v>84.339100000000002</c:v>
                </c:pt>
                <c:pt idx="476">
                  <c:v>84.453900000000004</c:v>
                </c:pt>
                <c:pt idx="477">
                  <c:v>84.633300000000006</c:v>
                </c:pt>
                <c:pt idx="478">
                  <c:v>84.570499999999996</c:v>
                </c:pt>
                <c:pt idx="479">
                  <c:v>84.603300000000004</c:v>
                </c:pt>
                <c:pt idx="480">
                  <c:v>84.637799999999999</c:v>
                </c:pt>
                <c:pt idx="481">
                  <c:v>84.590900000000005</c:v>
                </c:pt>
                <c:pt idx="482">
                  <c:v>84.631699999999995</c:v>
                </c:pt>
                <c:pt idx="483">
                  <c:v>84.585000000000008</c:v>
                </c:pt>
                <c:pt idx="484">
                  <c:v>84.478999999999999</c:v>
                </c:pt>
                <c:pt idx="485">
                  <c:v>84.623800000000003</c:v>
                </c:pt>
                <c:pt idx="486">
                  <c:v>84.702100000000002</c:v>
                </c:pt>
                <c:pt idx="487">
                  <c:v>84.6875</c:v>
                </c:pt>
                <c:pt idx="488">
                  <c:v>84.677199999999999</c:v>
                </c:pt>
                <c:pt idx="489">
                  <c:v>84.590199999999996</c:v>
                </c:pt>
                <c:pt idx="490">
                  <c:v>84.94080000000001</c:v>
                </c:pt>
                <c:pt idx="491">
                  <c:v>85.094800000000006</c:v>
                </c:pt>
                <c:pt idx="492">
                  <c:v>85.018500000000003</c:v>
                </c:pt>
                <c:pt idx="493">
                  <c:v>85.156999999999996</c:v>
                </c:pt>
                <c:pt idx="494">
                  <c:v>85.011200000000002</c:v>
                </c:pt>
                <c:pt idx="495">
                  <c:v>84.962400000000017</c:v>
                </c:pt>
                <c:pt idx="496">
                  <c:v>84.978700000000003</c:v>
                </c:pt>
                <c:pt idx="497">
                  <c:v>84.907499999999999</c:v>
                </c:pt>
                <c:pt idx="498">
                  <c:v>84.8857</c:v>
                </c:pt>
                <c:pt idx="499">
                  <c:v>84.862899999999996</c:v>
                </c:pt>
                <c:pt idx="500">
                  <c:v>84.916399999999996</c:v>
                </c:pt>
                <c:pt idx="501">
                  <c:v>84.943100000000001</c:v>
                </c:pt>
                <c:pt idx="502">
                  <c:v>84.97020000000002</c:v>
                </c:pt>
                <c:pt idx="503">
                  <c:v>84.947000000000003</c:v>
                </c:pt>
                <c:pt idx="504">
                  <c:v>84.861699999999999</c:v>
                </c:pt>
                <c:pt idx="505">
                  <c:v>84.847700000000003</c:v>
                </c:pt>
                <c:pt idx="506">
                  <c:v>84.830800000000011</c:v>
                </c:pt>
                <c:pt idx="507">
                  <c:v>84.788399999999996</c:v>
                </c:pt>
                <c:pt idx="508">
                  <c:v>84.691100000000006</c:v>
                </c:pt>
                <c:pt idx="509">
                  <c:v>84.691100000000006</c:v>
                </c:pt>
                <c:pt idx="510">
                  <c:v>85.124899999999997</c:v>
                </c:pt>
                <c:pt idx="511">
                  <c:v>84.97</c:v>
                </c:pt>
                <c:pt idx="512">
                  <c:v>84.871099999999998</c:v>
                </c:pt>
                <c:pt idx="513">
                  <c:v>84.858900000000006</c:v>
                </c:pt>
                <c:pt idx="514">
                  <c:v>84.866799999999998</c:v>
                </c:pt>
                <c:pt idx="515">
                  <c:v>84.896699999999996</c:v>
                </c:pt>
                <c:pt idx="516">
                  <c:v>84.868499999999997</c:v>
                </c:pt>
                <c:pt idx="517">
                  <c:v>85.048599999999993</c:v>
                </c:pt>
                <c:pt idx="518">
                  <c:v>85.145899999999997</c:v>
                </c:pt>
                <c:pt idx="519">
                  <c:v>84.952500000000001</c:v>
                </c:pt>
                <c:pt idx="520">
                  <c:v>85.066100000000006</c:v>
                </c:pt>
                <c:pt idx="521">
                  <c:v>84.907100000000014</c:v>
                </c:pt>
                <c:pt idx="522">
                  <c:v>84.798000000000002</c:v>
                </c:pt>
                <c:pt idx="523">
                  <c:v>84.802499999999995</c:v>
                </c:pt>
                <c:pt idx="524">
                  <c:v>84.868200000000002</c:v>
                </c:pt>
                <c:pt idx="525">
                  <c:v>84.525500000000008</c:v>
                </c:pt>
                <c:pt idx="526">
                  <c:v>84.626099999999994</c:v>
                </c:pt>
                <c:pt idx="527">
                  <c:v>84.239599999999996</c:v>
                </c:pt>
                <c:pt idx="528">
                  <c:v>84.261799999999994</c:v>
                </c:pt>
                <c:pt idx="529">
                  <c:v>84.465599999999995</c:v>
                </c:pt>
                <c:pt idx="530">
                  <c:v>84.465800000000002</c:v>
                </c:pt>
                <c:pt idx="531">
                  <c:v>84.002899999999997</c:v>
                </c:pt>
                <c:pt idx="532">
                  <c:v>84.229500000000002</c:v>
                </c:pt>
                <c:pt idx="533">
                  <c:v>84.380799999999994</c:v>
                </c:pt>
                <c:pt idx="534">
                  <c:v>84.399500000000003</c:v>
                </c:pt>
                <c:pt idx="535">
                  <c:v>85.023799999999994</c:v>
                </c:pt>
                <c:pt idx="536">
                  <c:v>83.943100000000001</c:v>
                </c:pt>
                <c:pt idx="537">
                  <c:v>83.959699999999998</c:v>
                </c:pt>
                <c:pt idx="538">
                  <c:v>84.007099999999994</c:v>
                </c:pt>
                <c:pt idx="539">
                  <c:v>84.021199999999993</c:v>
                </c:pt>
                <c:pt idx="540">
                  <c:v>84.254500000000007</c:v>
                </c:pt>
                <c:pt idx="541">
                  <c:v>84.003100000000003</c:v>
                </c:pt>
                <c:pt idx="542">
                  <c:v>83.685299999999998</c:v>
                </c:pt>
                <c:pt idx="543">
                  <c:v>83.784500000000008</c:v>
                </c:pt>
                <c:pt idx="544">
                  <c:v>83.785300000000007</c:v>
                </c:pt>
                <c:pt idx="545">
                  <c:v>83.839699999999993</c:v>
                </c:pt>
                <c:pt idx="546">
                  <c:v>84.070000000000007</c:v>
                </c:pt>
                <c:pt idx="547">
                  <c:v>84.132099999999994</c:v>
                </c:pt>
                <c:pt idx="548">
                  <c:v>84.026100000000014</c:v>
                </c:pt>
                <c:pt idx="549">
                  <c:v>83.917000000000002</c:v>
                </c:pt>
                <c:pt idx="550">
                  <c:v>84.152100000000004</c:v>
                </c:pt>
                <c:pt idx="551">
                  <c:v>84.1477</c:v>
                </c:pt>
                <c:pt idx="552">
                  <c:v>84.216899999999995</c:v>
                </c:pt>
                <c:pt idx="553">
                  <c:v>84.1357</c:v>
                </c:pt>
                <c:pt idx="554">
                  <c:v>84.070600000000013</c:v>
                </c:pt>
                <c:pt idx="555">
                  <c:v>83.512500000000003</c:v>
                </c:pt>
                <c:pt idx="556">
                  <c:v>83.645100000000014</c:v>
                </c:pt>
                <c:pt idx="557">
                  <c:v>83.268799999999999</c:v>
                </c:pt>
                <c:pt idx="558">
                  <c:v>83.249600000000001</c:v>
                </c:pt>
                <c:pt idx="559">
                  <c:v>83.342600000000004</c:v>
                </c:pt>
                <c:pt idx="560">
                  <c:v>83.636899999999997</c:v>
                </c:pt>
                <c:pt idx="561">
                  <c:v>83.870199999999997</c:v>
                </c:pt>
                <c:pt idx="562">
                  <c:v>84.111099999999993</c:v>
                </c:pt>
                <c:pt idx="563">
                  <c:v>84.040300000000002</c:v>
                </c:pt>
                <c:pt idx="564">
                  <c:v>84.168000000000006</c:v>
                </c:pt>
                <c:pt idx="565">
                  <c:v>84.171599999999998</c:v>
                </c:pt>
                <c:pt idx="566">
                  <c:v>84.156500000000008</c:v>
                </c:pt>
                <c:pt idx="567">
                  <c:v>84.155300000000011</c:v>
                </c:pt>
                <c:pt idx="568">
                  <c:v>84.134500000000003</c:v>
                </c:pt>
                <c:pt idx="569">
                  <c:v>83.918899999999994</c:v>
                </c:pt>
                <c:pt idx="570">
                  <c:v>83.992800000000003</c:v>
                </c:pt>
                <c:pt idx="571">
                  <c:v>84.001199999999997</c:v>
                </c:pt>
                <c:pt idx="572">
                  <c:v>83.992000000000004</c:v>
                </c:pt>
                <c:pt idx="573">
                  <c:v>84.153700000000001</c:v>
                </c:pt>
                <c:pt idx="574">
                  <c:v>84.133100000000013</c:v>
                </c:pt>
                <c:pt idx="575">
                  <c:v>84.1447</c:v>
                </c:pt>
                <c:pt idx="576">
                  <c:v>83.973100000000002</c:v>
                </c:pt>
                <c:pt idx="577">
                  <c:v>84.119900000000001</c:v>
                </c:pt>
                <c:pt idx="578">
                  <c:v>84.513099999999994</c:v>
                </c:pt>
                <c:pt idx="579">
                  <c:v>84.518699999999995</c:v>
                </c:pt>
                <c:pt idx="580">
                  <c:v>84.126900000000006</c:v>
                </c:pt>
                <c:pt idx="581">
                  <c:v>84.163799999999995</c:v>
                </c:pt>
                <c:pt idx="582">
                  <c:v>84.053899999999999</c:v>
                </c:pt>
                <c:pt idx="583">
                  <c:v>84.147099999999995</c:v>
                </c:pt>
                <c:pt idx="584">
                  <c:v>84.393199999999993</c:v>
                </c:pt>
                <c:pt idx="585">
                  <c:v>84.245199999999997</c:v>
                </c:pt>
                <c:pt idx="586">
                  <c:v>84.289400000000001</c:v>
                </c:pt>
                <c:pt idx="587">
                  <c:v>84.365200000000002</c:v>
                </c:pt>
                <c:pt idx="588">
                  <c:v>84.024699999999996</c:v>
                </c:pt>
                <c:pt idx="589">
                  <c:v>84.061600000000013</c:v>
                </c:pt>
                <c:pt idx="590">
                  <c:v>84.290500000000009</c:v>
                </c:pt>
                <c:pt idx="591">
                  <c:v>84.056600000000003</c:v>
                </c:pt>
                <c:pt idx="592">
                  <c:v>84.281700000000001</c:v>
                </c:pt>
                <c:pt idx="593">
                  <c:v>84.293599999999998</c:v>
                </c:pt>
                <c:pt idx="594">
                  <c:v>84.200500000000005</c:v>
                </c:pt>
                <c:pt idx="595">
                  <c:v>84.344899999999996</c:v>
                </c:pt>
                <c:pt idx="596">
                  <c:v>84.451899999999995</c:v>
                </c:pt>
                <c:pt idx="597">
                  <c:v>84.240899999999996</c:v>
                </c:pt>
                <c:pt idx="598">
                  <c:v>84.366900000000001</c:v>
                </c:pt>
                <c:pt idx="599">
                  <c:v>84.622500000000002</c:v>
                </c:pt>
                <c:pt idx="600">
                  <c:v>84.575400000000016</c:v>
                </c:pt>
                <c:pt idx="601">
                  <c:v>84.326999999999998</c:v>
                </c:pt>
                <c:pt idx="602">
                  <c:v>84.396000000000001</c:v>
                </c:pt>
                <c:pt idx="603">
                  <c:v>84.914100000000005</c:v>
                </c:pt>
                <c:pt idx="604">
                  <c:v>84.869799999999998</c:v>
                </c:pt>
                <c:pt idx="605">
                  <c:v>85.19380000000001</c:v>
                </c:pt>
                <c:pt idx="606">
                  <c:v>84.760300000000001</c:v>
                </c:pt>
                <c:pt idx="607">
                  <c:v>84.823700000000002</c:v>
                </c:pt>
                <c:pt idx="608">
                  <c:v>84.641300000000001</c:v>
                </c:pt>
                <c:pt idx="609">
                  <c:v>84.692800000000005</c:v>
                </c:pt>
                <c:pt idx="610">
                  <c:v>84.873099999999994</c:v>
                </c:pt>
                <c:pt idx="611">
                  <c:v>85.195899999999995</c:v>
                </c:pt>
                <c:pt idx="612">
                  <c:v>85.575000000000003</c:v>
                </c:pt>
                <c:pt idx="613">
                  <c:v>85.089800000000011</c:v>
                </c:pt>
                <c:pt idx="614">
                  <c:v>85.185599999999994</c:v>
                </c:pt>
                <c:pt idx="615">
                  <c:v>85.570800000000006</c:v>
                </c:pt>
                <c:pt idx="616">
                  <c:v>85.528400000000005</c:v>
                </c:pt>
                <c:pt idx="617">
                  <c:v>85.429000000000002</c:v>
                </c:pt>
                <c:pt idx="618">
                  <c:v>85.034700000000001</c:v>
                </c:pt>
                <c:pt idx="619">
                  <c:v>85.212299999999999</c:v>
                </c:pt>
                <c:pt idx="620">
                  <c:v>85.194500000000005</c:v>
                </c:pt>
                <c:pt idx="621">
                  <c:v>85.194500000000005</c:v>
                </c:pt>
                <c:pt idx="622">
                  <c:v>85.049499999999995</c:v>
                </c:pt>
                <c:pt idx="623">
                  <c:v>85.379000000000005</c:v>
                </c:pt>
                <c:pt idx="624">
                  <c:v>85.534800000000004</c:v>
                </c:pt>
                <c:pt idx="625">
                  <c:v>85.311999999999998</c:v>
                </c:pt>
                <c:pt idx="626">
                  <c:v>85.720699999999994</c:v>
                </c:pt>
                <c:pt idx="627">
                  <c:v>85.859800000000007</c:v>
                </c:pt>
                <c:pt idx="628">
                  <c:v>85.859800000000007</c:v>
                </c:pt>
                <c:pt idx="629">
                  <c:v>85.716800000000006</c:v>
                </c:pt>
                <c:pt idx="630">
                  <c:v>85.636200000000002</c:v>
                </c:pt>
                <c:pt idx="631">
                  <c:v>85.555099999999996</c:v>
                </c:pt>
                <c:pt idx="632">
                  <c:v>85.325000000000003</c:v>
                </c:pt>
                <c:pt idx="633">
                  <c:v>85.350800000000007</c:v>
                </c:pt>
                <c:pt idx="634">
                  <c:v>85.018500000000003</c:v>
                </c:pt>
                <c:pt idx="635">
                  <c:v>84.981999999999999</c:v>
                </c:pt>
                <c:pt idx="636">
                  <c:v>85.303100000000001</c:v>
                </c:pt>
                <c:pt idx="637">
                  <c:v>85.606700000000004</c:v>
                </c:pt>
                <c:pt idx="638">
                  <c:v>85.466499999999996</c:v>
                </c:pt>
                <c:pt idx="639">
                  <c:v>85.420400000000001</c:v>
                </c:pt>
                <c:pt idx="640">
                  <c:v>85.751400000000004</c:v>
                </c:pt>
                <c:pt idx="641">
                  <c:v>85.584299999999999</c:v>
                </c:pt>
                <c:pt idx="642">
                  <c:v>85.616799999999998</c:v>
                </c:pt>
                <c:pt idx="643">
                  <c:v>85.781199999999998</c:v>
                </c:pt>
                <c:pt idx="644">
                  <c:v>85.612899999999996</c:v>
                </c:pt>
                <c:pt idx="645">
                  <c:v>85.530799999999999</c:v>
                </c:pt>
                <c:pt idx="646">
                  <c:v>85.877600000000001</c:v>
                </c:pt>
                <c:pt idx="647">
                  <c:v>85.842399999999998</c:v>
                </c:pt>
                <c:pt idx="648">
                  <c:v>86.035600000000002</c:v>
                </c:pt>
                <c:pt idx="649">
                  <c:v>86.058199999999999</c:v>
                </c:pt>
                <c:pt idx="650">
                  <c:v>85.65470000000002</c:v>
                </c:pt>
                <c:pt idx="651">
                  <c:v>85.545900000000017</c:v>
                </c:pt>
                <c:pt idx="652">
                  <c:v>85.487499999999997</c:v>
                </c:pt>
                <c:pt idx="653">
                  <c:v>85.3262</c:v>
                </c:pt>
                <c:pt idx="654">
                  <c:v>85.510500000000008</c:v>
                </c:pt>
                <c:pt idx="655">
                  <c:v>85.928200000000004</c:v>
                </c:pt>
                <c:pt idx="656">
                  <c:v>85.924700000000001</c:v>
                </c:pt>
                <c:pt idx="657">
                  <c:v>85.802999999999997</c:v>
                </c:pt>
                <c:pt idx="658">
                  <c:v>85.644199999999998</c:v>
                </c:pt>
                <c:pt idx="659">
                  <c:v>85.517100000000013</c:v>
                </c:pt>
                <c:pt idx="660">
                  <c:v>85.337100000000007</c:v>
                </c:pt>
                <c:pt idx="661">
                  <c:v>85.28870000000002</c:v>
                </c:pt>
                <c:pt idx="662">
                  <c:v>85.155199999999994</c:v>
                </c:pt>
                <c:pt idx="663">
                  <c:v>85.149300000000011</c:v>
                </c:pt>
                <c:pt idx="664">
                  <c:v>85.2423</c:v>
                </c:pt>
                <c:pt idx="665">
                  <c:v>85.494900000000001</c:v>
                </c:pt>
                <c:pt idx="666">
                  <c:v>85.523100000000014</c:v>
                </c:pt>
                <c:pt idx="667">
                  <c:v>85.710800000000006</c:v>
                </c:pt>
                <c:pt idx="668">
                  <c:v>85.616600000000005</c:v>
                </c:pt>
                <c:pt idx="669">
                  <c:v>85.13</c:v>
                </c:pt>
                <c:pt idx="670">
                  <c:v>85.127300000000005</c:v>
                </c:pt>
                <c:pt idx="671">
                  <c:v>85.261100000000013</c:v>
                </c:pt>
                <c:pt idx="672">
                  <c:v>85.696899999999999</c:v>
                </c:pt>
                <c:pt idx="673">
                  <c:v>85.840599999999995</c:v>
                </c:pt>
                <c:pt idx="674">
                  <c:v>85.680400000000006</c:v>
                </c:pt>
                <c:pt idx="675">
                  <c:v>85.488100000000003</c:v>
                </c:pt>
                <c:pt idx="676">
                  <c:v>85.379599999999996</c:v>
                </c:pt>
                <c:pt idx="677">
                  <c:v>85.421199999999999</c:v>
                </c:pt>
                <c:pt idx="678">
                  <c:v>85.714500000000001</c:v>
                </c:pt>
                <c:pt idx="679">
                  <c:v>85.913499999999999</c:v>
                </c:pt>
                <c:pt idx="680">
                  <c:v>85.813699999999997</c:v>
                </c:pt>
                <c:pt idx="681">
                  <c:v>85.753600000000006</c:v>
                </c:pt>
                <c:pt idx="682">
                  <c:v>85.771100000000004</c:v>
                </c:pt>
                <c:pt idx="683">
                  <c:v>85.300399999999996</c:v>
                </c:pt>
                <c:pt idx="684">
                  <c:v>85.2834</c:v>
                </c:pt>
                <c:pt idx="685">
                  <c:v>85.293099999999995</c:v>
                </c:pt>
                <c:pt idx="686">
                  <c:v>85.580399999999997</c:v>
                </c:pt>
                <c:pt idx="687">
                  <c:v>85.402799999999999</c:v>
                </c:pt>
                <c:pt idx="688">
                  <c:v>85.635199999999998</c:v>
                </c:pt>
                <c:pt idx="689">
                  <c:v>85.778500000000008</c:v>
                </c:pt>
                <c:pt idx="690">
                  <c:v>85.546800000000005</c:v>
                </c:pt>
                <c:pt idx="691">
                  <c:v>85.547200000000004</c:v>
                </c:pt>
                <c:pt idx="692">
                  <c:v>85.615300000000005</c:v>
                </c:pt>
                <c:pt idx="693">
                  <c:v>85.953299999999999</c:v>
                </c:pt>
                <c:pt idx="694">
                  <c:v>85.912500000000009</c:v>
                </c:pt>
                <c:pt idx="695">
                  <c:v>85.581400000000016</c:v>
                </c:pt>
                <c:pt idx="696">
                  <c:v>85.452699999999993</c:v>
                </c:pt>
                <c:pt idx="697">
                  <c:v>85.2547</c:v>
                </c:pt>
                <c:pt idx="698">
                  <c:v>85.233000000000004</c:v>
                </c:pt>
                <c:pt idx="699">
                  <c:v>85.5077</c:v>
                </c:pt>
                <c:pt idx="700">
                  <c:v>85.808199999999999</c:v>
                </c:pt>
                <c:pt idx="701">
                  <c:v>85.598500000000001</c:v>
                </c:pt>
                <c:pt idx="702">
                  <c:v>85.804900000000004</c:v>
                </c:pt>
                <c:pt idx="703">
                  <c:v>85.501500000000007</c:v>
                </c:pt>
                <c:pt idx="704">
                  <c:v>85.119</c:v>
                </c:pt>
                <c:pt idx="705">
                  <c:v>85.122600000000006</c:v>
                </c:pt>
                <c:pt idx="706">
                  <c:v>85.401300000000006</c:v>
                </c:pt>
                <c:pt idx="707">
                  <c:v>85.751599999999996</c:v>
                </c:pt>
                <c:pt idx="708">
                  <c:v>85.819800000000001</c:v>
                </c:pt>
                <c:pt idx="709">
                  <c:v>85.802199999999999</c:v>
                </c:pt>
                <c:pt idx="710">
                  <c:v>85.588899999999995</c:v>
                </c:pt>
                <c:pt idx="711">
                  <c:v>85.754900000000006</c:v>
                </c:pt>
                <c:pt idx="712">
                  <c:v>85.740499999999997</c:v>
                </c:pt>
                <c:pt idx="713">
                  <c:v>85.510300000000001</c:v>
                </c:pt>
                <c:pt idx="714">
                  <c:v>85.556700000000006</c:v>
                </c:pt>
                <c:pt idx="715">
                  <c:v>85.783100000000005</c:v>
                </c:pt>
                <c:pt idx="716">
                  <c:v>85.719099999999997</c:v>
                </c:pt>
                <c:pt idx="717">
                  <c:v>85.744</c:v>
                </c:pt>
                <c:pt idx="718">
                  <c:v>85.919899999999998</c:v>
                </c:pt>
                <c:pt idx="719">
                  <c:v>86.107299999999995</c:v>
                </c:pt>
                <c:pt idx="720">
                  <c:v>86.025700000000001</c:v>
                </c:pt>
                <c:pt idx="721">
                  <c:v>85.738100000000003</c:v>
                </c:pt>
                <c:pt idx="722">
                  <c:v>85.948999999999998</c:v>
                </c:pt>
                <c:pt idx="723">
                  <c:v>86.049099999999996</c:v>
                </c:pt>
                <c:pt idx="724">
                  <c:v>86.181799999999996</c:v>
                </c:pt>
                <c:pt idx="725">
                  <c:v>86.146799999999999</c:v>
                </c:pt>
                <c:pt idx="726">
                  <c:v>86.173400000000001</c:v>
                </c:pt>
                <c:pt idx="727">
                  <c:v>86.359099999999998</c:v>
                </c:pt>
                <c:pt idx="728">
                  <c:v>86.397199999999998</c:v>
                </c:pt>
                <c:pt idx="729">
                  <c:v>86.507400000000004</c:v>
                </c:pt>
                <c:pt idx="730">
                  <c:v>86.403000000000006</c:v>
                </c:pt>
                <c:pt idx="731">
                  <c:v>86.38</c:v>
                </c:pt>
                <c:pt idx="732">
                  <c:v>86.231600000000014</c:v>
                </c:pt>
                <c:pt idx="733">
                  <c:v>86.231499999999997</c:v>
                </c:pt>
                <c:pt idx="734">
                  <c:v>86.069500000000005</c:v>
                </c:pt>
                <c:pt idx="735">
                  <c:v>86.231399999999994</c:v>
                </c:pt>
                <c:pt idx="736">
                  <c:v>86.1708</c:v>
                </c:pt>
                <c:pt idx="737">
                  <c:v>86.31580000000001</c:v>
                </c:pt>
                <c:pt idx="738">
                  <c:v>85.876000000000005</c:v>
                </c:pt>
                <c:pt idx="739">
                  <c:v>85.4358</c:v>
                </c:pt>
                <c:pt idx="740">
                  <c:v>85.434899999999999</c:v>
                </c:pt>
                <c:pt idx="741">
                  <c:v>85.989900000000006</c:v>
                </c:pt>
                <c:pt idx="742">
                  <c:v>86.132999999999996</c:v>
                </c:pt>
                <c:pt idx="743">
                  <c:v>86.323800000000006</c:v>
                </c:pt>
                <c:pt idx="744">
                  <c:v>85.564600000000013</c:v>
                </c:pt>
                <c:pt idx="745">
                  <c:v>85.509900000000016</c:v>
                </c:pt>
                <c:pt idx="746">
                  <c:v>86.061199999999999</c:v>
                </c:pt>
                <c:pt idx="747">
                  <c:v>86.2179</c:v>
                </c:pt>
                <c:pt idx="748">
                  <c:v>85.992599999999996</c:v>
                </c:pt>
                <c:pt idx="749">
                  <c:v>86.363399999999999</c:v>
                </c:pt>
                <c:pt idx="750">
                  <c:v>86.151600000000002</c:v>
                </c:pt>
                <c:pt idx="751">
                  <c:v>86.077699999999993</c:v>
                </c:pt>
                <c:pt idx="752">
                  <c:v>86.142100000000013</c:v>
                </c:pt>
                <c:pt idx="753">
                  <c:v>86.378900000000016</c:v>
                </c:pt>
                <c:pt idx="754">
                  <c:v>86.378500000000003</c:v>
                </c:pt>
                <c:pt idx="755">
                  <c:v>86.031300000000002</c:v>
                </c:pt>
                <c:pt idx="756">
                  <c:v>86.119299999999996</c:v>
                </c:pt>
                <c:pt idx="757">
                  <c:v>85.643500000000003</c:v>
                </c:pt>
                <c:pt idx="758">
                  <c:v>85.694400000000016</c:v>
                </c:pt>
                <c:pt idx="759">
                  <c:v>85.589500000000001</c:v>
                </c:pt>
                <c:pt idx="760">
                  <c:v>85.331299999999999</c:v>
                </c:pt>
                <c:pt idx="761">
                  <c:v>85.331500000000005</c:v>
                </c:pt>
                <c:pt idx="762">
                  <c:v>85.966899999999995</c:v>
                </c:pt>
                <c:pt idx="763">
                  <c:v>85.784000000000006</c:v>
                </c:pt>
                <c:pt idx="764">
                  <c:v>85.793899999999994</c:v>
                </c:pt>
                <c:pt idx="765">
                  <c:v>85.779200000000003</c:v>
                </c:pt>
                <c:pt idx="766">
                  <c:v>85.789300000000011</c:v>
                </c:pt>
                <c:pt idx="767">
                  <c:v>85.834400000000016</c:v>
                </c:pt>
                <c:pt idx="768">
                  <c:v>85.832000000000008</c:v>
                </c:pt>
                <c:pt idx="769">
                  <c:v>85.515699999999995</c:v>
                </c:pt>
                <c:pt idx="770">
                  <c:v>85.524699999999996</c:v>
                </c:pt>
                <c:pt idx="771">
                  <c:v>85.390500000000003</c:v>
                </c:pt>
                <c:pt idx="772">
                  <c:v>85.346199999999996</c:v>
                </c:pt>
                <c:pt idx="773">
                  <c:v>85.595299999999995</c:v>
                </c:pt>
                <c:pt idx="774">
                  <c:v>85.872399999999999</c:v>
                </c:pt>
                <c:pt idx="775">
                  <c:v>85.883100000000013</c:v>
                </c:pt>
                <c:pt idx="776">
                  <c:v>85.623999999999995</c:v>
                </c:pt>
                <c:pt idx="777">
                  <c:v>85.484499999999997</c:v>
                </c:pt>
                <c:pt idx="778">
                  <c:v>85.56</c:v>
                </c:pt>
                <c:pt idx="779">
                  <c:v>85.426599999999993</c:v>
                </c:pt>
                <c:pt idx="780">
                  <c:v>85.262799999999999</c:v>
                </c:pt>
                <c:pt idx="781">
                  <c:v>85.048199999999994</c:v>
                </c:pt>
                <c:pt idx="782">
                  <c:v>85.037500000000009</c:v>
                </c:pt>
                <c:pt idx="783">
                  <c:v>85.463999999999999</c:v>
                </c:pt>
                <c:pt idx="784">
                  <c:v>85.699700000000007</c:v>
                </c:pt>
                <c:pt idx="785">
                  <c:v>85.543999999999997</c:v>
                </c:pt>
                <c:pt idx="786">
                  <c:v>85.506699999999995</c:v>
                </c:pt>
                <c:pt idx="787">
                  <c:v>85.672100000000015</c:v>
                </c:pt>
                <c:pt idx="788">
                  <c:v>85.822699999999998</c:v>
                </c:pt>
                <c:pt idx="789">
                  <c:v>85.804500000000004</c:v>
                </c:pt>
                <c:pt idx="790">
                  <c:v>85.887900000000016</c:v>
                </c:pt>
                <c:pt idx="791">
                  <c:v>85.674000000000007</c:v>
                </c:pt>
                <c:pt idx="792">
                  <c:v>85.668199999999999</c:v>
                </c:pt>
                <c:pt idx="793">
                  <c:v>85.672200000000004</c:v>
                </c:pt>
                <c:pt idx="794">
                  <c:v>85.888000000000005</c:v>
                </c:pt>
                <c:pt idx="795">
                  <c:v>85.748199999999997</c:v>
                </c:pt>
                <c:pt idx="796">
                  <c:v>85.787899999999993</c:v>
                </c:pt>
                <c:pt idx="797">
                  <c:v>85.821200000000019</c:v>
                </c:pt>
                <c:pt idx="798">
                  <c:v>85.827299999999994</c:v>
                </c:pt>
                <c:pt idx="799">
                  <c:v>85.845600000000005</c:v>
                </c:pt>
                <c:pt idx="800">
                  <c:v>85.7453</c:v>
                </c:pt>
                <c:pt idx="801">
                  <c:v>85.839500000000001</c:v>
                </c:pt>
                <c:pt idx="802">
                  <c:v>85.9589</c:v>
                </c:pt>
                <c:pt idx="803">
                  <c:v>85.955800000000011</c:v>
                </c:pt>
                <c:pt idx="804">
                  <c:v>85.915599999999998</c:v>
                </c:pt>
                <c:pt idx="805">
                  <c:v>85.778800000000004</c:v>
                </c:pt>
                <c:pt idx="806">
                  <c:v>85.928899999999999</c:v>
                </c:pt>
                <c:pt idx="807">
                  <c:v>85.910499999999999</c:v>
                </c:pt>
                <c:pt idx="808">
                  <c:v>85.732500000000002</c:v>
                </c:pt>
                <c:pt idx="809">
                  <c:v>86.238699999999994</c:v>
                </c:pt>
                <c:pt idx="810">
                  <c:v>86.355500000000006</c:v>
                </c:pt>
                <c:pt idx="811">
                  <c:v>85.641099999999994</c:v>
                </c:pt>
                <c:pt idx="812">
                  <c:v>85.79</c:v>
                </c:pt>
                <c:pt idx="813">
                  <c:v>85.683000000000007</c:v>
                </c:pt>
                <c:pt idx="814">
                  <c:v>85.624600000000001</c:v>
                </c:pt>
                <c:pt idx="815">
                  <c:v>85.613900000000001</c:v>
                </c:pt>
                <c:pt idx="816">
                  <c:v>85.642899999999997</c:v>
                </c:pt>
                <c:pt idx="817">
                  <c:v>85.822900000000004</c:v>
                </c:pt>
                <c:pt idx="818">
                  <c:v>86.187600000000003</c:v>
                </c:pt>
                <c:pt idx="819">
                  <c:v>85.788100000000014</c:v>
                </c:pt>
                <c:pt idx="820">
                  <c:v>85.962199999999996</c:v>
                </c:pt>
                <c:pt idx="821">
                  <c:v>85.455500000000001</c:v>
                </c:pt>
                <c:pt idx="822">
                  <c:v>85.857100000000003</c:v>
                </c:pt>
                <c:pt idx="823">
                  <c:v>85.886600000000001</c:v>
                </c:pt>
                <c:pt idx="824">
                  <c:v>85.886600000000001</c:v>
                </c:pt>
                <c:pt idx="825">
                  <c:v>86.036199999999994</c:v>
                </c:pt>
                <c:pt idx="826">
                  <c:v>85.354800000000012</c:v>
                </c:pt>
                <c:pt idx="827">
                  <c:v>85.313800000000001</c:v>
                </c:pt>
                <c:pt idx="828">
                  <c:v>85.501599999999996</c:v>
                </c:pt>
                <c:pt idx="829">
                  <c:v>86.088600000000014</c:v>
                </c:pt>
                <c:pt idx="830">
                  <c:v>86.088600000000014</c:v>
                </c:pt>
                <c:pt idx="831">
                  <c:v>86.116299999999995</c:v>
                </c:pt>
                <c:pt idx="832">
                  <c:v>85.728300000000004</c:v>
                </c:pt>
                <c:pt idx="833">
                  <c:v>85.643699999999995</c:v>
                </c:pt>
                <c:pt idx="834">
                  <c:v>85.596800000000002</c:v>
                </c:pt>
                <c:pt idx="835">
                  <c:v>86.056299999999993</c:v>
                </c:pt>
                <c:pt idx="836">
                  <c:v>85.859200000000001</c:v>
                </c:pt>
                <c:pt idx="837">
                  <c:v>85.852000000000004</c:v>
                </c:pt>
                <c:pt idx="838">
                  <c:v>85.787099999999995</c:v>
                </c:pt>
                <c:pt idx="839">
                  <c:v>85.523899999999998</c:v>
                </c:pt>
                <c:pt idx="840">
                  <c:v>85.888199999999998</c:v>
                </c:pt>
                <c:pt idx="841">
                  <c:v>85.447800000000001</c:v>
                </c:pt>
                <c:pt idx="842">
                  <c:v>85.327200000000019</c:v>
                </c:pt>
                <c:pt idx="843">
                  <c:v>86.367599999999996</c:v>
                </c:pt>
                <c:pt idx="844">
                  <c:v>86.316199999999995</c:v>
                </c:pt>
                <c:pt idx="845">
                  <c:v>86.376000000000005</c:v>
                </c:pt>
                <c:pt idx="846">
                  <c:v>86.242099999999994</c:v>
                </c:pt>
                <c:pt idx="847">
                  <c:v>86.005799999999994</c:v>
                </c:pt>
                <c:pt idx="848">
                  <c:v>85.787099999999995</c:v>
                </c:pt>
                <c:pt idx="849">
                  <c:v>85.718000000000004</c:v>
                </c:pt>
                <c:pt idx="850">
                  <c:v>85.411600000000007</c:v>
                </c:pt>
                <c:pt idx="851">
                  <c:v>85.455500000000001</c:v>
                </c:pt>
                <c:pt idx="852">
                  <c:v>85.655300000000011</c:v>
                </c:pt>
                <c:pt idx="853">
                  <c:v>85.836399999999998</c:v>
                </c:pt>
                <c:pt idx="854">
                  <c:v>86.096500000000006</c:v>
                </c:pt>
                <c:pt idx="855">
                  <c:v>85.138400000000004</c:v>
                </c:pt>
                <c:pt idx="856">
                  <c:v>85.344399999999993</c:v>
                </c:pt>
                <c:pt idx="857">
                  <c:v>85.632199999999997</c:v>
                </c:pt>
                <c:pt idx="858">
                  <c:v>85.596199999999996</c:v>
                </c:pt>
                <c:pt idx="859">
                  <c:v>85.66</c:v>
                </c:pt>
                <c:pt idx="860">
                  <c:v>85.543800000000005</c:v>
                </c:pt>
                <c:pt idx="861">
                  <c:v>85.343699999999998</c:v>
                </c:pt>
                <c:pt idx="862">
                  <c:v>84.717600000000004</c:v>
                </c:pt>
                <c:pt idx="863">
                  <c:v>84.505399999999995</c:v>
                </c:pt>
                <c:pt idx="864">
                  <c:v>84.878600000000006</c:v>
                </c:pt>
                <c:pt idx="865">
                  <c:v>84.878600000000006</c:v>
                </c:pt>
                <c:pt idx="866">
                  <c:v>84.915700000000001</c:v>
                </c:pt>
                <c:pt idx="867">
                  <c:v>85.261899999999997</c:v>
                </c:pt>
                <c:pt idx="868">
                  <c:v>85.124399999999994</c:v>
                </c:pt>
                <c:pt idx="869">
                  <c:v>85.726100000000002</c:v>
                </c:pt>
                <c:pt idx="870">
                  <c:v>85.435699999999997</c:v>
                </c:pt>
                <c:pt idx="871">
                  <c:v>85.913600000000002</c:v>
                </c:pt>
                <c:pt idx="872">
                  <c:v>85.913600000000002</c:v>
                </c:pt>
                <c:pt idx="873">
                  <c:v>85.934700000000007</c:v>
                </c:pt>
                <c:pt idx="874">
                  <c:v>86.009699999999995</c:v>
                </c:pt>
                <c:pt idx="875">
                  <c:v>85.048699999999997</c:v>
                </c:pt>
                <c:pt idx="876">
                  <c:v>85.475800000000007</c:v>
                </c:pt>
                <c:pt idx="877">
                  <c:v>85.218299999999999</c:v>
                </c:pt>
                <c:pt idx="878">
                  <c:v>85.538300000000007</c:v>
                </c:pt>
                <c:pt idx="879">
                  <c:v>85.538300000000007</c:v>
                </c:pt>
                <c:pt idx="880">
                  <c:v>85.651899999999998</c:v>
                </c:pt>
                <c:pt idx="881">
                  <c:v>86.192300000000003</c:v>
                </c:pt>
                <c:pt idx="882">
                  <c:v>86.218000000000004</c:v>
                </c:pt>
                <c:pt idx="883">
                  <c:v>85.848399999999998</c:v>
                </c:pt>
                <c:pt idx="884">
                  <c:v>85.273300000000006</c:v>
                </c:pt>
                <c:pt idx="885">
                  <c:v>85.104100000000003</c:v>
                </c:pt>
                <c:pt idx="886">
                  <c:v>85.104100000000003</c:v>
                </c:pt>
                <c:pt idx="887">
                  <c:v>85.125</c:v>
                </c:pt>
                <c:pt idx="888">
                  <c:v>85.259699999999995</c:v>
                </c:pt>
                <c:pt idx="889">
                  <c:v>85.6233</c:v>
                </c:pt>
                <c:pt idx="890">
                  <c:v>85.624100000000013</c:v>
                </c:pt>
                <c:pt idx="891">
                  <c:v>85.212599999999995</c:v>
                </c:pt>
                <c:pt idx="892">
                  <c:v>85.620999999999995</c:v>
                </c:pt>
                <c:pt idx="893">
                  <c:v>85.620999999999995</c:v>
                </c:pt>
                <c:pt idx="894">
                  <c:v>85.668999999999997</c:v>
                </c:pt>
                <c:pt idx="895">
                  <c:v>85.102400000000017</c:v>
                </c:pt>
                <c:pt idx="896">
                  <c:v>85.189600000000013</c:v>
                </c:pt>
                <c:pt idx="897">
                  <c:v>85.631799999999998</c:v>
                </c:pt>
                <c:pt idx="898">
                  <c:v>84.923400000000001</c:v>
                </c:pt>
                <c:pt idx="899">
                  <c:v>84.947400000000016</c:v>
                </c:pt>
                <c:pt idx="900">
                  <c:v>84.94</c:v>
                </c:pt>
                <c:pt idx="901">
                  <c:v>84.997600000000006</c:v>
                </c:pt>
                <c:pt idx="902">
                  <c:v>85.777900000000017</c:v>
                </c:pt>
                <c:pt idx="903">
                  <c:v>84.975899999999996</c:v>
                </c:pt>
                <c:pt idx="904">
                  <c:v>85.417699999999996</c:v>
                </c:pt>
                <c:pt idx="905">
                  <c:v>84.980099999999993</c:v>
                </c:pt>
                <c:pt idx="906">
                  <c:v>84.502899999999997</c:v>
                </c:pt>
                <c:pt idx="907">
                  <c:v>84.502899999999997</c:v>
                </c:pt>
                <c:pt idx="908">
                  <c:v>84.708800000000011</c:v>
                </c:pt>
                <c:pt idx="909">
                  <c:v>85.570899999999995</c:v>
                </c:pt>
                <c:pt idx="910">
                  <c:v>85.379000000000005</c:v>
                </c:pt>
                <c:pt idx="911">
                  <c:v>85.331400000000016</c:v>
                </c:pt>
                <c:pt idx="912">
                  <c:v>85.058000000000007</c:v>
                </c:pt>
                <c:pt idx="913">
                  <c:v>85.673199999999994</c:v>
                </c:pt>
                <c:pt idx="914">
                  <c:v>85.665599999999998</c:v>
                </c:pt>
                <c:pt idx="915">
                  <c:v>85.628399999999999</c:v>
                </c:pt>
                <c:pt idx="916">
                  <c:v>85.764300000000006</c:v>
                </c:pt>
                <c:pt idx="917">
                  <c:v>85.797600000000003</c:v>
                </c:pt>
                <c:pt idx="918">
                  <c:v>85.118499999999997</c:v>
                </c:pt>
                <c:pt idx="919">
                  <c:v>85.283600000000007</c:v>
                </c:pt>
                <c:pt idx="920">
                  <c:v>85.215599999999995</c:v>
                </c:pt>
                <c:pt idx="921">
                  <c:v>85.230699999999999</c:v>
                </c:pt>
                <c:pt idx="922">
                  <c:v>85.287999999999997</c:v>
                </c:pt>
                <c:pt idx="923">
                  <c:v>84.486900000000006</c:v>
                </c:pt>
                <c:pt idx="924">
                  <c:v>84.241900000000001</c:v>
                </c:pt>
                <c:pt idx="925">
                  <c:v>84.429500000000004</c:v>
                </c:pt>
                <c:pt idx="926">
                  <c:v>84.164500000000004</c:v>
                </c:pt>
                <c:pt idx="927">
                  <c:v>84.482900000000001</c:v>
                </c:pt>
                <c:pt idx="928">
                  <c:v>84.482900000000001</c:v>
                </c:pt>
                <c:pt idx="929">
                  <c:v>84.555400000000006</c:v>
                </c:pt>
                <c:pt idx="930">
                  <c:v>84.749300000000005</c:v>
                </c:pt>
                <c:pt idx="931">
                  <c:v>85.0364</c:v>
                </c:pt>
                <c:pt idx="932">
                  <c:v>85.040800000000004</c:v>
                </c:pt>
                <c:pt idx="933">
                  <c:v>84.833600000000004</c:v>
                </c:pt>
                <c:pt idx="934">
                  <c:v>84.779799999999994</c:v>
                </c:pt>
                <c:pt idx="935">
                  <c:v>84.779799999999994</c:v>
                </c:pt>
                <c:pt idx="936">
                  <c:v>84.6875</c:v>
                </c:pt>
                <c:pt idx="937">
                  <c:v>84.651200000000003</c:v>
                </c:pt>
                <c:pt idx="938">
                  <c:v>84.179199999999994</c:v>
                </c:pt>
                <c:pt idx="939">
                  <c:v>84.588700000000003</c:v>
                </c:pt>
                <c:pt idx="940">
                  <c:v>84.277000000000001</c:v>
                </c:pt>
                <c:pt idx="941">
                  <c:v>84.41070000000002</c:v>
                </c:pt>
                <c:pt idx="942">
                  <c:v>84.41070000000002</c:v>
                </c:pt>
                <c:pt idx="943">
                  <c:v>84.511899999999997</c:v>
                </c:pt>
                <c:pt idx="944">
                  <c:v>84.291300000000007</c:v>
                </c:pt>
                <c:pt idx="945">
                  <c:v>84.275500000000008</c:v>
                </c:pt>
                <c:pt idx="946">
                  <c:v>84.285600000000002</c:v>
                </c:pt>
                <c:pt idx="947">
                  <c:v>84.914199999999994</c:v>
                </c:pt>
                <c:pt idx="948">
                  <c:v>85.162400000000005</c:v>
                </c:pt>
                <c:pt idx="949">
                  <c:v>85.162400000000005</c:v>
                </c:pt>
                <c:pt idx="950">
                  <c:v>85.245800000000003</c:v>
                </c:pt>
                <c:pt idx="951">
                  <c:v>84.885099999999994</c:v>
                </c:pt>
                <c:pt idx="952">
                  <c:v>84.646100000000004</c:v>
                </c:pt>
                <c:pt idx="953">
                  <c:v>84.777600000000007</c:v>
                </c:pt>
                <c:pt idx="954">
                  <c:v>84.623000000000005</c:v>
                </c:pt>
                <c:pt idx="955">
                  <c:v>85.377300000000005</c:v>
                </c:pt>
                <c:pt idx="956">
                  <c:v>85.392200000000003</c:v>
                </c:pt>
                <c:pt idx="957">
                  <c:v>85.497799999999998</c:v>
                </c:pt>
                <c:pt idx="958">
                  <c:v>85.031700000000001</c:v>
                </c:pt>
                <c:pt idx="959">
                  <c:v>85.638199999999998</c:v>
                </c:pt>
                <c:pt idx="960">
                  <c:v>85.621600000000001</c:v>
                </c:pt>
                <c:pt idx="961">
                  <c:v>86.237200000000001</c:v>
                </c:pt>
                <c:pt idx="962">
                  <c:v>86.156999999999996</c:v>
                </c:pt>
                <c:pt idx="963">
                  <c:v>86.156999999999996</c:v>
                </c:pt>
                <c:pt idx="964">
                  <c:v>86.252700000000019</c:v>
                </c:pt>
                <c:pt idx="965">
                  <c:v>85.811700000000002</c:v>
                </c:pt>
                <c:pt idx="966">
                  <c:v>85.416100000000014</c:v>
                </c:pt>
                <c:pt idx="967">
                  <c:v>85.497100000000003</c:v>
                </c:pt>
                <c:pt idx="968">
                  <c:v>85.250699999999995</c:v>
                </c:pt>
                <c:pt idx="969">
                  <c:v>85.1768</c:v>
                </c:pt>
                <c:pt idx="970">
                  <c:v>85.1768</c:v>
                </c:pt>
                <c:pt idx="971">
                  <c:v>85.1768</c:v>
                </c:pt>
                <c:pt idx="972">
                  <c:v>85.290400000000005</c:v>
                </c:pt>
                <c:pt idx="973">
                  <c:v>85.693899999999999</c:v>
                </c:pt>
                <c:pt idx="974">
                  <c:v>86.136300000000006</c:v>
                </c:pt>
                <c:pt idx="975">
                  <c:v>86.305199999999999</c:v>
                </c:pt>
                <c:pt idx="976">
                  <c:v>85.405799999999999</c:v>
                </c:pt>
                <c:pt idx="977">
                  <c:v>85.405799999999999</c:v>
                </c:pt>
                <c:pt idx="978">
                  <c:v>85.265600000000006</c:v>
                </c:pt>
                <c:pt idx="979">
                  <c:v>85.740700000000004</c:v>
                </c:pt>
                <c:pt idx="980">
                  <c:v>86.197599999999994</c:v>
                </c:pt>
                <c:pt idx="981">
                  <c:v>85.677499999999995</c:v>
                </c:pt>
                <c:pt idx="982">
                  <c:v>86.154200000000003</c:v>
                </c:pt>
                <c:pt idx="983">
                  <c:v>86.055300000000003</c:v>
                </c:pt>
                <c:pt idx="984">
                  <c:v>86.055300000000003</c:v>
                </c:pt>
                <c:pt idx="985">
                  <c:v>86.065899999999999</c:v>
                </c:pt>
                <c:pt idx="986">
                  <c:v>85.640100000000004</c:v>
                </c:pt>
                <c:pt idx="987">
                  <c:v>85.475899999999996</c:v>
                </c:pt>
                <c:pt idx="988">
                  <c:v>86.015000000000001</c:v>
                </c:pt>
                <c:pt idx="989">
                  <c:v>85.836800000000011</c:v>
                </c:pt>
                <c:pt idx="990">
                  <c:v>86.345100000000002</c:v>
                </c:pt>
                <c:pt idx="991">
                  <c:v>86.345100000000002</c:v>
                </c:pt>
                <c:pt idx="992">
                  <c:v>86.4358</c:v>
                </c:pt>
                <c:pt idx="993">
                  <c:v>86.281099999999995</c:v>
                </c:pt>
                <c:pt idx="994">
                  <c:v>85.886300000000006</c:v>
                </c:pt>
                <c:pt idx="995">
                  <c:v>86.169100000000014</c:v>
                </c:pt>
                <c:pt idx="996">
                  <c:v>85.466300000000004</c:v>
                </c:pt>
                <c:pt idx="997">
                  <c:v>85.949700000000007</c:v>
                </c:pt>
                <c:pt idx="998">
                  <c:v>85.949700000000007</c:v>
                </c:pt>
                <c:pt idx="999">
                  <c:v>85.944299999999998</c:v>
                </c:pt>
                <c:pt idx="1000">
                  <c:v>86.402000000000001</c:v>
                </c:pt>
                <c:pt idx="1001">
                  <c:v>85.993399999999994</c:v>
                </c:pt>
                <c:pt idx="1002">
                  <c:v>86.507999999999996</c:v>
                </c:pt>
                <c:pt idx="1003">
                  <c:v>86.205299999999994</c:v>
                </c:pt>
                <c:pt idx="1004">
                  <c:v>86.060500000000005</c:v>
                </c:pt>
                <c:pt idx="1005">
                  <c:v>86.060500000000005</c:v>
                </c:pt>
                <c:pt idx="1006">
                  <c:v>86.097999999999999</c:v>
                </c:pt>
                <c:pt idx="1007">
                  <c:v>85.950599999999994</c:v>
                </c:pt>
                <c:pt idx="1008">
                  <c:v>85.588300000000004</c:v>
                </c:pt>
                <c:pt idx="1009">
                  <c:v>86.199200000000019</c:v>
                </c:pt>
                <c:pt idx="1010">
                  <c:v>85.904499999999999</c:v>
                </c:pt>
                <c:pt idx="1011">
                  <c:v>85.472899999999996</c:v>
                </c:pt>
                <c:pt idx="1012">
                  <c:v>85.472899999999996</c:v>
                </c:pt>
                <c:pt idx="1013">
                  <c:v>85.654300000000006</c:v>
                </c:pt>
                <c:pt idx="1014">
                  <c:v>85.767399999999995</c:v>
                </c:pt>
                <c:pt idx="1015">
                  <c:v>86.308300000000003</c:v>
                </c:pt>
                <c:pt idx="1016">
                  <c:v>85.919499999999999</c:v>
                </c:pt>
                <c:pt idx="1017">
                  <c:v>86.189800000000005</c:v>
                </c:pt>
                <c:pt idx="1018">
                  <c:v>86.160100000000014</c:v>
                </c:pt>
                <c:pt idx="1019">
                  <c:v>75.572400000000016</c:v>
                </c:pt>
                <c:pt idx="1020">
                  <c:v>75.652100000000004</c:v>
                </c:pt>
                <c:pt idx="1021">
                  <c:v>86.505799999999994</c:v>
                </c:pt>
                <c:pt idx="1022">
                  <c:v>86.112499999999997</c:v>
                </c:pt>
                <c:pt idx="1023">
                  <c:v>85.708500000000001</c:v>
                </c:pt>
                <c:pt idx="1024">
                  <c:v>86.646900000000016</c:v>
                </c:pt>
                <c:pt idx="1025">
                  <c:v>86.003200000000007</c:v>
                </c:pt>
                <c:pt idx="1026">
                  <c:v>86.003200000000007</c:v>
                </c:pt>
                <c:pt idx="1027">
                  <c:v>85.934700000000007</c:v>
                </c:pt>
                <c:pt idx="1028">
                  <c:v>85.871399999999994</c:v>
                </c:pt>
                <c:pt idx="1029">
                  <c:v>86.124499999999998</c:v>
                </c:pt>
                <c:pt idx="1030">
                  <c:v>87.000799999999998</c:v>
                </c:pt>
                <c:pt idx="1031">
                  <c:v>86.201700000000002</c:v>
                </c:pt>
                <c:pt idx="1032">
                  <c:v>86.805999999999997</c:v>
                </c:pt>
                <c:pt idx="1033">
                  <c:v>86.805999999999997</c:v>
                </c:pt>
                <c:pt idx="1034">
                  <c:v>86.890600000000006</c:v>
                </c:pt>
                <c:pt idx="1035">
                  <c:v>86.579499999999996</c:v>
                </c:pt>
                <c:pt idx="1036">
                  <c:v>87.067499999999995</c:v>
                </c:pt>
                <c:pt idx="1037">
                  <c:v>86.133499999999998</c:v>
                </c:pt>
                <c:pt idx="1038">
                  <c:v>87.697900000000004</c:v>
                </c:pt>
                <c:pt idx="1039">
                  <c:v>86.452100000000002</c:v>
                </c:pt>
                <c:pt idx="1040">
                  <c:v>86.452100000000002</c:v>
                </c:pt>
                <c:pt idx="1041">
                  <c:v>86.301699999999997</c:v>
                </c:pt>
                <c:pt idx="1042">
                  <c:v>86.008100000000013</c:v>
                </c:pt>
                <c:pt idx="1043">
                  <c:v>86.919200000000004</c:v>
                </c:pt>
                <c:pt idx="1044">
                  <c:v>86.85720000000002</c:v>
                </c:pt>
                <c:pt idx="1045">
                  <c:v>86.759799999999998</c:v>
                </c:pt>
                <c:pt idx="1046">
                  <c:v>86.647999999999996</c:v>
                </c:pt>
                <c:pt idx="1047">
                  <c:v>86.647999999999996</c:v>
                </c:pt>
                <c:pt idx="1048">
                  <c:v>86.584199999999996</c:v>
                </c:pt>
                <c:pt idx="1049">
                  <c:v>85.456800000000001</c:v>
                </c:pt>
                <c:pt idx="1050">
                  <c:v>86.840800000000002</c:v>
                </c:pt>
                <c:pt idx="1051">
                  <c:v>86.661100000000005</c:v>
                </c:pt>
                <c:pt idx="1052">
                  <c:v>87.235699999999994</c:v>
                </c:pt>
                <c:pt idx="1053">
                  <c:v>86.802999999999997</c:v>
                </c:pt>
                <c:pt idx="1054">
                  <c:v>86.802999999999997</c:v>
                </c:pt>
                <c:pt idx="1055">
                  <c:v>86.734499999999997</c:v>
                </c:pt>
                <c:pt idx="1056">
                  <c:v>87.035399999999996</c:v>
                </c:pt>
                <c:pt idx="1057">
                  <c:v>86.5839</c:v>
                </c:pt>
                <c:pt idx="1058">
                  <c:v>86.6935</c:v>
                </c:pt>
                <c:pt idx="1059">
                  <c:v>86.9542</c:v>
                </c:pt>
                <c:pt idx="1060">
                  <c:v>86.21720000000002</c:v>
                </c:pt>
                <c:pt idx="1061">
                  <c:v>86.21720000000002</c:v>
                </c:pt>
                <c:pt idx="1062">
                  <c:v>86.338499999999996</c:v>
                </c:pt>
                <c:pt idx="1063">
                  <c:v>86.120800000000003</c:v>
                </c:pt>
                <c:pt idx="1064">
                  <c:v>87.659000000000006</c:v>
                </c:pt>
                <c:pt idx="1065">
                  <c:v>86.928399999999996</c:v>
                </c:pt>
                <c:pt idx="1066">
                  <c:v>87.627399999999994</c:v>
                </c:pt>
                <c:pt idx="1067">
                  <c:v>86.905500000000004</c:v>
                </c:pt>
                <c:pt idx="1068">
                  <c:v>86.905500000000004</c:v>
                </c:pt>
                <c:pt idx="1069">
                  <c:v>87.152699999999996</c:v>
                </c:pt>
                <c:pt idx="1070">
                  <c:v>87.657499999999999</c:v>
                </c:pt>
                <c:pt idx="1071">
                  <c:v>87.081800000000001</c:v>
                </c:pt>
                <c:pt idx="1072">
                  <c:v>87.587599999999995</c:v>
                </c:pt>
                <c:pt idx="1073">
                  <c:v>87.759100000000004</c:v>
                </c:pt>
                <c:pt idx="1074">
                  <c:v>87.155199999999994</c:v>
                </c:pt>
                <c:pt idx="1075">
                  <c:v>87.155199999999994</c:v>
                </c:pt>
                <c:pt idx="1076">
                  <c:v>87.320099999999996</c:v>
                </c:pt>
                <c:pt idx="1077">
                  <c:v>87.059799999999996</c:v>
                </c:pt>
                <c:pt idx="1078">
                  <c:v>86.972300000000004</c:v>
                </c:pt>
                <c:pt idx="1079">
                  <c:v>87.648899999999998</c:v>
                </c:pt>
                <c:pt idx="1080">
                  <c:v>87.851500000000001</c:v>
                </c:pt>
                <c:pt idx="1081">
                  <c:v>87.298699999999997</c:v>
                </c:pt>
                <c:pt idx="1082">
                  <c:v>87.298699999999997</c:v>
                </c:pt>
                <c:pt idx="1083">
                  <c:v>87.692899999999995</c:v>
                </c:pt>
                <c:pt idx="1084">
                  <c:v>88.293400000000005</c:v>
                </c:pt>
                <c:pt idx="1085">
                  <c:v>87.981800000000007</c:v>
                </c:pt>
                <c:pt idx="1086">
                  <c:v>87.662300000000002</c:v>
                </c:pt>
                <c:pt idx="1087">
                  <c:v>87.331500000000005</c:v>
                </c:pt>
                <c:pt idx="1088">
                  <c:v>87.347300000000004</c:v>
                </c:pt>
                <c:pt idx="1089">
                  <c:v>87.347300000000004</c:v>
                </c:pt>
                <c:pt idx="1090">
                  <c:v>87.009</c:v>
                </c:pt>
                <c:pt idx="1091">
                  <c:v>88.066599999999994</c:v>
                </c:pt>
                <c:pt idx="1092">
                  <c:v>87.616699999999994</c:v>
                </c:pt>
                <c:pt idx="1093">
                  <c:v>87.959500000000006</c:v>
                </c:pt>
                <c:pt idx="1094">
                  <c:v>87.707600000000014</c:v>
                </c:pt>
                <c:pt idx="1095">
                  <c:v>87.880499999999998</c:v>
                </c:pt>
                <c:pt idx="1096">
                  <c:v>87.880499999999998</c:v>
                </c:pt>
                <c:pt idx="1097">
                  <c:v>87.897400000000005</c:v>
                </c:pt>
                <c:pt idx="1098">
                  <c:v>87.177000000000007</c:v>
                </c:pt>
                <c:pt idx="1099">
                  <c:v>87.216800000000006</c:v>
                </c:pt>
                <c:pt idx="1100">
                  <c:v>87.132300000000001</c:v>
                </c:pt>
                <c:pt idx="1101">
                  <c:v>87.631100000000004</c:v>
                </c:pt>
                <c:pt idx="1102">
                  <c:v>87.942300000000003</c:v>
                </c:pt>
                <c:pt idx="1103">
                  <c:v>87.942300000000003</c:v>
                </c:pt>
                <c:pt idx="1104">
                  <c:v>88.061099999999996</c:v>
                </c:pt>
                <c:pt idx="1105">
                  <c:v>87.337100000000007</c:v>
                </c:pt>
                <c:pt idx="1106">
                  <c:v>87.234899999999996</c:v>
                </c:pt>
                <c:pt idx="1107">
                  <c:v>87.402799999999999</c:v>
                </c:pt>
                <c:pt idx="1108">
                  <c:v>87.539699999999996</c:v>
                </c:pt>
                <c:pt idx="1109">
                  <c:v>86.791799999999995</c:v>
                </c:pt>
                <c:pt idx="1110">
                  <c:v>86.791799999999995</c:v>
                </c:pt>
                <c:pt idx="1111">
                  <c:v>86.769900000000007</c:v>
                </c:pt>
                <c:pt idx="1112">
                  <c:v>86.669499999999999</c:v>
                </c:pt>
                <c:pt idx="1113">
                  <c:v>86.666899999999998</c:v>
                </c:pt>
                <c:pt idx="1114">
                  <c:v>86.506699999999995</c:v>
                </c:pt>
                <c:pt idx="1115">
                  <c:v>86.400599999999997</c:v>
                </c:pt>
                <c:pt idx="1116">
                  <c:v>86.715599999999995</c:v>
                </c:pt>
                <c:pt idx="1117">
                  <c:v>86.715599999999995</c:v>
                </c:pt>
                <c:pt idx="1118">
                  <c:v>86.780900000000017</c:v>
                </c:pt>
                <c:pt idx="1119">
                  <c:v>86.472800000000007</c:v>
                </c:pt>
                <c:pt idx="1120">
                  <c:v>86.657799999999995</c:v>
                </c:pt>
                <c:pt idx="1121">
                  <c:v>86.739099999999993</c:v>
                </c:pt>
                <c:pt idx="1122">
                  <c:v>87.144999999999996</c:v>
                </c:pt>
                <c:pt idx="1123">
                  <c:v>86.183700000000002</c:v>
                </c:pt>
                <c:pt idx="1124">
                  <c:v>86.183700000000002</c:v>
                </c:pt>
                <c:pt idx="1125">
                  <c:v>86.312100000000001</c:v>
                </c:pt>
                <c:pt idx="1126">
                  <c:v>86.970600000000005</c:v>
                </c:pt>
                <c:pt idx="1127">
                  <c:v>86.000399999999999</c:v>
                </c:pt>
                <c:pt idx="1128">
                  <c:v>85.858000000000004</c:v>
                </c:pt>
                <c:pt idx="1129">
                  <c:v>86.147500000000008</c:v>
                </c:pt>
                <c:pt idx="1130">
                  <c:v>86.349299999999999</c:v>
                </c:pt>
                <c:pt idx="1131">
                  <c:v>86.297300000000007</c:v>
                </c:pt>
                <c:pt idx="1132">
                  <c:v>86.342299999999994</c:v>
                </c:pt>
                <c:pt idx="1133">
                  <c:v>86.381900000000016</c:v>
                </c:pt>
                <c:pt idx="1134">
                  <c:v>86.365099999999998</c:v>
                </c:pt>
                <c:pt idx="1135">
                  <c:v>86.330500000000001</c:v>
                </c:pt>
                <c:pt idx="1136">
                  <c:v>86.667500000000004</c:v>
                </c:pt>
                <c:pt idx="1137">
                  <c:v>86.733199999999997</c:v>
                </c:pt>
                <c:pt idx="1138">
                  <c:v>86.733199999999997</c:v>
                </c:pt>
                <c:pt idx="1139">
                  <c:v>86.684600000000003</c:v>
                </c:pt>
                <c:pt idx="1140">
                  <c:v>86.713499999999996</c:v>
                </c:pt>
                <c:pt idx="1141">
                  <c:v>86.958699999999993</c:v>
                </c:pt>
                <c:pt idx="1142">
                  <c:v>87.168500000000009</c:v>
                </c:pt>
                <c:pt idx="1143">
                  <c:v>87.044300000000007</c:v>
                </c:pt>
                <c:pt idx="1144">
                  <c:v>87.219899999999996</c:v>
                </c:pt>
                <c:pt idx="1145">
                  <c:v>87.200599999999994</c:v>
                </c:pt>
                <c:pt idx="1146">
                  <c:v>87.405199999999994</c:v>
                </c:pt>
                <c:pt idx="1147">
                  <c:v>87.333600000000004</c:v>
                </c:pt>
                <c:pt idx="1148">
                  <c:v>87.430899999999994</c:v>
                </c:pt>
                <c:pt idx="1149">
                  <c:v>87.529899999999998</c:v>
                </c:pt>
                <c:pt idx="1150">
                  <c:v>87.775999999999996</c:v>
                </c:pt>
                <c:pt idx="1151">
                  <c:v>87.920100000000005</c:v>
                </c:pt>
                <c:pt idx="1152">
                  <c:v>87.920100000000005</c:v>
                </c:pt>
                <c:pt idx="1153">
                  <c:v>87.664599999999993</c:v>
                </c:pt>
                <c:pt idx="1154">
                  <c:v>88.045000000000002</c:v>
                </c:pt>
                <c:pt idx="1155">
                  <c:v>88.324100000000001</c:v>
                </c:pt>
                <c:pt idx="1156">
                  <c:v>88.615300000000005</c:v>
                </c:pt>
                <c:pt idx="1157">
                  <c:v>88.859600000000015</c:v>
                </c:pt>
                <c:pt idx="1158">
                  <c:v>89.473600000000005</c:v>
                </c:pt>
                <c:pt idx="1159">
                  <c:v>89.473600000000005</c:v>
                </c:pt>
                <c:pt idx="1160">
                  <c:v>89.399100000000004</c:v>
                </c:pt>
                <c:pt idx="1161">
                  <c:v>89.466399999999993</c:v>
                </c:pt>
                <c:pt idx="1162">
                  <c:v>89.485699999999994</c:v>
                </c:pt>
                <c:pt idx="1163">
                  <c:v>89.418000000000006</c:v>
                </c:pt>
                <c:pt idx="1164">
                  <c:v>88.941199999999995</c:v>
                </c:pt>
                <c:pt idx="1165">
                  <c:v>89.015699999999995</c:v>
                </c:pt>
                <c:pt idx="1166">
                  <c:v>89.015699999999995</c:v>
                </c:pt>
                <c:pt idx="1167">
                  <c:v>89.123800000000003</c:v>
                </c:pt>
                <c:pt idx="1168">
                  <c:v>89.197500000000005</c:v>
                </c:pt>
                <c:pt idx="1169">
                  <c:v>89.216200000000001</c:v>
                </c:pt>
                <c:pt idx="1170">
                  <c:v>89.594300000000004</c:v>
                </c:pt>
                <c:pt idx="1171">
                  <c:v>89.564899999999994</c:v>
                </c:pt>
                <c:pt idx="1172">
                  <c:v>89.728200000000001</c:v>
                </c:pt>
                <c:pt idx="1173">
                  <c:v>89.728200000000001</c:v>
                </c:pt>
                <c:pt idx="1174">
                  <c:v>89.878500000000003</c:v>
                </c:pt>
                <c:pt idx="1175">
                  <c:v>89.760900000000007</c:v>
                </c:pt>
                <c:pt idx="1176">
                  <c:v>89.970100000000002</c:v>
                </c:pt>
                <c:pt idx="1177">
                  <c:v>90.051299999999998</c:v>
                </c:pt>
                <c:pt idx="1178">
                  <c:v>89.657300000000006</c:v>
                </c:pt>
                <c:pt idx="1179">
                  <c:v>89.325000000000003</c:v>
                </c:pt>
                <c:pt idx="1180">
                  <c:v>89.319199999999995</c:v>
                </c:pt>
                <c:pt idx="1181">
                  <c:v>89.284899999999993</c:v>
                </c:pt>
                <c:pt idx="1182">
                  <c:v>89.1477</c:v>
                </c:pt>
                <c:pt idx="1183">
                  <c:v>89.909300000000002</c:v>
                </c:pt>
                <c:pt idx="1184">
                  <c:v>90.064400000000006</c:v>
                </c:pt>
                <c:pt idx="1185">
                  <c:v>89.901700000000019</c:v>
                </c:pt>
                <c:pt idx="1186">
                  <c:v>89.883200000000002</c:v>
                </c:pt>
                <c:pt idx="1187">
                  <c:v>89.959900000000005</c:v>
                </c:pt>
                <c:pt idx="1188">
                  <c:v>90.191900000000004</c:v>
                </c:pt>
                <c:pt idx="1189">
                  <c:v>90.039599999999993</c:v>
                </c:pt>
                <c:pt idx="1190">
                  <c:v>90.171999999999997</c:v>
                </c:pt>
                <c:pt idx="1191">
                  <c:v>90.316299999999998</c:v>
                </c:pt>
                <c:pt idx="1192">
                  <c:v>90.380600000000001</c:v>
                </c:pt>
                <c:pt idx="1193">
                  <c:v>90.682400000000001</c:v>
                </c:pt>
                <c:pt idx="1194">
                  <c:v>90.692499999999995</c:v>
                </c:pt>
                <c:pt idx="1195">
                  <c:v>90.745400000000004</c:v>
                </c:pt>
                <c:pt idx="1196">
                  <c:v>90.516400000000004</c:v>
                </c:pt>
                <c:pt idx="1197">
                  <c:v>90.422799999999995</c:v>
                </c:pt>
                <c:pt idx="1198">
                  <c:v>89.967500000000001</c:v>
                </c:pt>
                <c:pt idx="1199">
                  <c:v>90.064099999999996</c:v>
                </c:pt>
                <c:pt idx="1200">
                  <c:v>90.354900000000001</c:v>
                </c:pt>
                <c:pt idx="1201">
                  <c:v>90.354900000000001</c:v>
                </c:pt>
                <c:pt idx="1202">
                  <c:v>90.455200000000019</c:v>
                </c:pt>
                <c:pt idx="1203">
                  <c:v>90.278599999999997</c:v>
                </c:pt>
                <c:pt idx="1204">
                  <c:v>90.392200000000003</c:v>
                </c:pt>
                <c:pt idx="1205">
                  <c:v>90.254400000000004</c:v>
                </c:pt>
                <c:pt idx="1206">
                  <c:v>90.0839</c:v>
                </c:pt>
                <c:pt idx="1207">
                  <c:v>90.256</c:v>
                </c:pt>
                <c:pt idx="1208">
                  <c:v>90.256</c:v>
                </c:pt>
                <c:pt idx="1209">
                  <c:v>90.447699999999998</c:v>
                </c:pt>
                <c:pt idx="1210">
                  <c:v>90.245099999999994</c:v>
                </c:pt>
                <c:pt idx="1211">
                  <c:v>89.944800000000001</c:v>
                </c:pt>
                <c:pt idx="1212">
                  <c:v>89.760999999999996</c:v>
                </c:pt>
                <c:pt idx="1213">
                  <c:v>89.623599999999996</c:v>
                </c:pt>
                <c:pt idx="1214">
                  <c:v>89.367099999999994</c:v>
                </c:pt>
                <c:pt idx="1215">
                  <c:v>89.367099999999994</c:v>
                </c:pt>
                <c:pt idx="1216">
                  <c:v>90.209699999999998</c:v>
                </c:pt>
                <c:pt idx="1217">
                  <c:v>90.301599999999993</c:v>
                </c:pt>
                <c:pt idx="1218">
                  <c:v>90.527600000000007</c:v>
                </c:pt>
                <c:pt idx="1219">
                  <c:v>90.485100000000003</c:v>
                </c:pt>
                <c:pt idx="1220">
                  <c:v>90.469499999999996</c:v>
                </c:pt>
                <c:pt idx="1221">
                  <c:v>90.461299999999994</c:v>
                </c:pt>
                <c:pt idx="1222">
                  <c:v>90.447599999999994</c:v>
                </c:pt>
                <c:pt idx="1223">
                  <c:v>90.55070000000002</c:v>
                </c:pt>
                <c:pt idx="1224">
                  <c:v>90.692899999999995</c:v>
                </c:pt>
                <c:pt idx="1225">
                  <c:v>90.642499999999998</c:v>
                </c:pt>
                <c:pt idx="1226">
                  <c:v>90.753</c:v>
                </c:pt>
                <c:pt idx="1227">
                  <c:v>90.761899999999997</c:v>
                </c:pt>
                <c:pt idx="1228">
                  <c:v>90.583399999999997</c:v>
                </c:pt>
                <c:pt idx="1229">
                  <c:v>90.780600000000007</c:v>
                </c:pt>
                <c:pt idx="1230">
                  <c:v>90.631100000000004</c:v>
                </c:pt>
                <c:pt idx="1231">
                  <c:v>90.982600000000005</c:v>
                </c:pt>
                <c:pt idx="1232">
                  <c:v>90.665099999999995</c:v>
                </c:pt>
                <c:pt idx="1233">
                  <c:v>90.760199999999998</c:v>
                </c:pt>
                <c:pt idx="1234">
                  <c:v>90.739400000000018</c:v>
                </c:pt>
                <c:pt idx="1235">
                  <c:v>90.842500000000001</c:v>
                </c:pt>
                <c:pt idx="1236">
                  <c:v>90.842500000000001</c:v>
                </c:pt>
                <c:pt idx="1237">
                  <c:v>90.613500000000002</c:v>
                </c:pt>
                <c:pt idx="1238">
                  <c:v>91.084500000000006</c:v>
                </c:pt>
                <c:pt idx="1239">
                  <c:v>90.792500000000004</c:v>
                </c:pt>
                <c:pt idx="1240">
                  <c:v>90.795000000000002</c:v>
                </c:pt>
                <c:pt idx="1241">
                  <c:v>90.849500000000006</c:v>
                </c:pt>
                <c:pt idx="1242">
                  <c:v>90.913399999999996</c:v>
                </c:pt>
                <c:pt idx="1243">
                  <c:v>90.913399999999996</c:v>
                </c:pt>
                <c:pt idx="1244">
                  <c:v>90.856200000000001</c:v>
                </c:pt>
                <c:pt idx="1245">
                  <c:v>90.866399999999999</c:v>
                </c:pt>
                <c:pt idx="1246">
                  <c:v>90.694400000000016</c:v>
                </c:pt>
                <c:pt idx="1247">
                  <c:v>91.012</c:v>
                </c:pt>
                <c:pt idx="1248">
                  <c:v>91.005899999999997</c:v>
                </c:pt>
                <c:pt idx="1249">
                  <c:v>91.042300000000012</c:v>
                </c:pt>
                <c:pt idx="1250">
                  <c:v>91.042300000000012</c:v>
                </c:pt>
                <c:pt idx="1251">
                  <c:v>91.059600000000003</c:v>
                </c:pt>
                <c:pt idx="1252">
                  <c:v>90.860399999999998</c:v>
                </c:pt>
                <c:pt idx="1253">
                  <c:v>90.9345</c:v>
                </c:pt>
                <c:pt idx="1254">
                  <c:v>90.955600000000004</c:v>
                </c:pt>
                <c:pt idx="1255">
                  <c:v>90.934100000000001</c:v>
                </c:pt>
                <c:pt idx="1256">
                  <c:v>90.766599999999997</c:v>
                </c:pt>
                <c:pt idx="1257">
                  <c:v>90.766599999999997</c:v>
                </c:pt>
                <c:pt idx="1258">
                  <c:v>90.801400000000001</c:v>
                </c:pt>
                <c:pt idx="1259">
                  <c:v>90.642100000000013</c:v>
                </c:pt>
                <c:pt idx="1260">
                  <c:v>90.850200000000001</c:v>
                </c:pt>
                <c:pt idx="1261">
                  <c:v>90.802499999999995</c:v>
                </c:pt>
                <c:pt idx="1262">
                  <c:v>90.814400000000006</c:v>
                </c:pt>
                <c:pt idx="1263">
                  <c:v>90.770700000000019</c:v>
                </c:pt>
                <c:pt idx="1264">
                  <c:v>90.770700000000019</c:v>
                </c:pt>
                <c:pt idx="1265">
                  <c:v>90.816599999999994</c:v>
                </c:pt>
                <c:pt idx="1266">
                  <c:v>90.740300000000005</c:v>
                </c:pt>
                <c:pt idx="1267">
                  <c:v>90.693600000000004</c:v>
                </c:pt>
                <c:pt idx="1268">
                  <c:v>90.7363</c:v>
                </c:pt>
                <c:pt idx="1269">
                  <c:v>90.792199999999994</c:v>
                </c:pt>
                <c:pt idx="1270">
                  <c:v>91.912700000000001</c:v>
                </c:pt>
                <c:pt idx="1271">
                  <c:v>91.912700000000001</c:v>
                </c:pt>
                <c:pt idx="1272">
                  <c:v>91.872200000000007</c:v>
                </c:pt>
                <c:pt idx="1273">
                  <c:v>90.901200000000003</c:v>
                </c:pt>
                <c:pt idx="1274">
                  <c:v>90.813400000000001</c:v>
                </c:pt>
                <c:pt idx="1275">
                  <c:v>90.653000000000006</c:v>
                </c:pt>
                <c:pt idx="1276">
                  <c:v>90.671199999999999</c:v>
                </c:pt>
                <c:pt idx="1277">
                  <c:v>90.686099999999996</c:v>
                </c:pt>
                <c:pt idx="1278">
                  <c:v>90.686099999999996</c:v>
                </c:pt>
                <c:pt idx="1279">
                  <c:v>90.686099999999996</c:v>
                </c:pt>
                <c:pt idx="1280">
                  <c:v>90.678899999999999</c:v>
                </c:pt>
                <c:pt idx="1281">
                  <c:v>90.542400000000001</c:v>
                </c:pt>
                <c:pt idx="1282">
                  <c:v>90.376300000000001</c:v>
                </c:pt>
                <c:pt idx="1283">
                  <c:v>90.5869</c:v>
                </c:pt>
                <c:pt idx="1284">
                  <c:v>90.591399999999993</c:v>
                </c:pt>
                <c:pt idx="1285">
                  <c:v>90.590599999999995</c:v>
                </c:pt>
                <c:pt idx="1286">
                  <c:v>90.676300000000012</c:v>
                </c:pt>
                <c:pt idx="1287">
                  <c:v>90.627600000000001</c:v>
                </c:pt>
                <c:pt idx="1288">
                  <c:v>90.765000000000001</c:v>
                </c:pt>
                <c:pt idx="1289">
                  <c:v>90.685100000000006</c:v>
                </c:pt>
                <c:pt idx="1290">
                  <c:v>90.735500000000002</c:v>
                </c:pt>
                <c:pt idx="1291">
                  <c:v>90.710000000000008</c:v>
                </c:pt>
                <c:pt idx="1292">
                  <c:v>90.710000000000008</c:v>
                </c:pt>
                <c:pt idx="1293">
                  <c:v>90.67</c:v>
                </c:pt>
                <c:pt idx="1294">
                  <c:v>90.736099999999993</c:v>
                </c:pt>
                <c:pt idx="1295">
                  <c:v>90.694400000000016</c:v>
                </c:pt>
                <c:pt idx="1296">
                  <c:v>90.728600000000014</c:v>
                </c:pt>
                <c:pt idx="1297">
                  <c:v>90.784300000000002</c:v>
                </c:pt>
                <c:pt idx="1298">
                  <c:v>90.720100000000002</c:v>
                </c:pt>
                <c:pt idx="1299">
                  <c:v>90.720100000000002</c:v>
                </c:pt>
                <c:pt idx="1300">
                  <c:v>90.686300000000003</c:v>
                </c:pt>
                <c:pt idx="1301">
                  <c:v>90.903899999999993</c:v>
                </c:pt>
                <c:pt idx="1302">
                  <c:v>90.928899999999999</c:v>
                </c:pt>
                <c:pt idx="1303">
                  <c:v>90.887500000000003</c:v>
                </c:pt>
                <c:pt idx="1304">
                  <c:v>90.867000000000004</c:v>
                </c:pt>
                <c:pt idx="1305">
                  <c:v>90.753600000000006</c:v>
                </c:pt>
                <c:pt idx="1306">
                  <c:v>90.753600000000006</c:v>
                </c:pt>
                <c:pt idx="1307">
                  <c:v>90.736900000000006</c:v>
                </c:pt>
                <c:pt idx="1308">
                  <c:v>91.067000000000007</c:v>
                </c:pt>
                <c:pt idx="1309">
                  <c:v>91.073899999999995</c:v>
                </c:pt>
                <c:pt idx="1310">
                  <c:v>90.987000000000009</c:v>
                </c:pt>
                <c:pt idx="1311">
                  <c:v>90.802999999999997</c:v>
                </c:pt>
                <c:pt idx="1312">
                  <c:v>90.799500000000009</c:v>
                </c:pt>
                <c:pt idx="1313">
                  <c:v>90.799500000000009</c:v>
                </c:pt>
                <c:pt idx="1314">
                  <c:v>90.923300000000012</c:v>
                </c:pt>
                <c:pt idx="1315">
                  <c:v>90.828199999999995</c:v>
                </c:pt>
                <c:pt idx="1316">
                  <c:v>90.91070000000002</c:v>
                </c:pt>
                <c:pt idx="1317">
                  <c:v>90.896000000000001</c:v>
                </c:pt>
                <c:pt idx="1318">
                  <c:v>90.917599999999993</c:v>
                </c:pt>
                <c:pt idx="1319">
                  <c:v>90.9803</c:v>
                </c:pt>
                <c:pt idx="1320">
                  <c:v>90.980400000000017</c:v>
                </c:pt>
                <c:pt idx="1321">
                  <c:v>91.025700000000001</c:v>
                </c:pt>
                <c:pt idx="1322">
                  <c:v>90.876800000000003</c:v>
                </c:pt>
                <c:pt idx="1323">
                  <c:v>90.936199999999999</c:v>
                </c:pt>
                <c:pt idx="1324">
                  <c:v>90.881100000000004</c:v>
                </c:pt>
                <c:pt idx="1325">
                  <c:v>90.877100000000013</c:v>
                </c:pt>
                <c:pt idx="1326">
                  <c:v>90.921899999999994</c:v>
                </c:pt>
                <c:pt idx="1327">
                  <c:v>90.921899999999994</c:v>
                </c:pt>
                <c:pt idx="1328">
                  <c:v>91.031199999999998</c:v>
                </c:pt>
                <c:pt idx="1329">
                  <c:v>91.302199999999999</c:v>
                </c:pt>
                <c:pt idx="1330">
                  <c:v>91.507500000000007</c:v>
                </c:pt>
                <c:pt idx="1331">
                  <c:v>91.996899999999997</c:v>
                </c:pt>
                <c:pt idx="1332">
                  <c:v>91.973600000000005</c:v>
                </c:pt>
                <c:pt idx="1333">
                  <c:v>91.809700000000007</c:v>
                </c:pt>
                <c:pt idx="1334">
                  <c:v>91.809700000000007</c:v>
                </c:pt>
                <c:pt idx="1335">
                  <c:v>91.634100000000004</c:v>
                </c:pt>
                <c:pt idx="1336">
                  <c:v>91.815600000000003</c:v>
                </c:pt>
                <c:pt idx="1337">
                  <c:v>92.916200000000003</c:v>
                </c:pt>
                <c:pt idx="1338">
                  <c:v>93.124200000000002</c:v>
                </c:pt>
                <c:pt idx="1339">
                  <c:v>93.644199999999998</c:v>
                </c:pt>
                <c:pt idx="1340">
                  <c:v>93.504800000000003</c:v>
                </c:pt>
                <c:pt idx="1341">
                  <c:v>93.680700000000002</c:v>
                </c:pt>
                <c:pt idx="1342">
                  <c:v>93.723399999999998</c:v>
                </c:pt>
                <c:pt idx="1343">
                  <c:v>93.882800000000003</c:v>
                </c:pt>
                <c:pt idx="1344">
                  <c:v>93.880200000000002</c:v>
                </c:pt>
                <c:pt idx="1345">
                  <c:v>94.135300000000001</c:v>
                </c:pt>
                <c:pt idx="1346">
                  <c:v>94.412599999999998</c:v>
                </c:pt>
                <c:pt idx="1347">
                  <c:v>94.263300000000001</c:v>
                </c:pt>
                <c:pt idx="1348">
                  <c:v>94.263300000000001</c:v>
                </c:pt>
                <c:pt idx="1349">
                  <c:v>93.899300000000011</c:v>
                </c:pt>
                <c:pt idx="1350">
                  <c:v>94.528999999999996</c:v>
                </c:pt>
                <c:pt idx="1351">
                  <c:v>94.526799999999994</c:v>
                </c:pt>
                <c:pt idx="1352">
                  <c:v>94.417400000000001</c:v>
                </c:pt>
                <c:pt idx="1353">
                  <c:v>94.326600000000013</c:v>
                </c:pt>
                <c:pt idx="1354">
                  <c:v>94.380499999999998</c:v>
                </c:pt>
                <c:pt idx="1355">
                  <c:v>94.206299999999999</c:v>
                </c:pt>
                <c:pt idx="1356">
                  <c:v>94.206299999999999</c:v>
                </c:pt>
                <c:pt idx="1357">
                  <c:v>94.002399999999994</c:v>
                </c:pt>
                <c:pt idx="1358">
                  <c:v>93.429699999999997</c:v>
                </c:pt>
                <c:pt idx="1359">
                  <c:v>94.259100000000004</c:v>
                </c:pt>
                <c:pt idx="1360">
                  <c:v>94.406000000000006</c:v>
                </c:pt>
                <c:pt idx="1361">
                  <c:v>94.433700000000002</c:v>
                </c:pt>
                <c:pt idx="1362">
                  <c:v>94.481099999999998</c:v>
                </c:pt>
                <c:pt idx="1363">
                  <c:v>94.487200000000001</c:v>
                </c:pt>
                <c:pt idx="1364">
                  <c:v>94.528899999999993</c:v>
                </c:pt>
                <c:pt idx="1365">
                  <c:v>94.548699999999997</c:v>
                </c:pt>
                <c:pt idx="1366">
                  <c:v>94.589200000000019</c:v>
                </c:pt>
                <c:pt idx="1367">
                  <c:v>94.263400000000004</c:v>
                </c:pt>
                <c:pt idx="1368">
                  <c:v>94.564700000000002</c:v>
                </c:pt>
                <c:pt idx="1369">
                  <c:v>94.598699999999994</c:v>
                </c:pt>
                <c:pt idx="1370">
                  <c:v>94.749499999999998</c:v>
                </c:pt>
                <c:pt idx="1371">
                  <c:v>94.6477</c:v>
                </c:pt>
                <c:pt idx="1372">
                  <c:v>94.674199999999999</c:v>
                </c:pt>
                <c:pt idx="1373">
                  <c:v>94.593199999999996</c:v>
                </c:pt>
                <c:pt idx="1374">
                  <c:v>94.404300000000006</c:v>
                </c:pt>
                <c:pt idx="1375">
                  <c:v>93.968000000000004</c:v>
                </c:pt>
                <c:pt idx="1376">
                  <c:v>94.1083</c:v>
                </c:pt>
                <c:pt idx="1377">
                  <c:v>94.1387</c:v>
                </c:pt>
                <c:pt idx="1378">
                  <c:v>94.104600000000005</c:v>
                </c:pt>
                <c:pt idx="1379">
                  <c:v>94.413899999999998</c:v>
                </c:pt>
                <c:pt idx="1380">
                  <c:v>94.434399999999997</c:v>
                </c:pt>
                <c:pt idx="1381">
                  <c:v>94.430099999999996</c:v>
                </c:pt>
                <c:pt idx="1382">
                  <c:v>94.349199999999996</c:v>
                </c:pt>
                <c:pt idx="1383">
                  <c:v>94.382500000000007</c:v>
                </c:pt>
                <c:pt idx="1384">
                  <c:v>94.303799999999995</c:v>
                </c:pt>
                <c:pt idx="1385">
                  <c:v>94.478000000000009</c:v>
                </c:pt>
                <c:pt idx="1386">
                  <c:v>94.432400000000001</c:v>
                </c:pt>
                <c:pt idx="1387">
                  <c:v>94.406899999999993</c:v>
                </c:pt>
                <c:pt idx="1388">
                  <c:v>94.440100000000001</c:v>
                </c:pt>
                <c:pt idx="1389">
                  <c:v>94.4529</c:v>
                </c:pt>
                <c:pt idx="1390">
                  <c:v>94.4529</c:v>
                </c:pt>
                <c:pt idx="1391">
                  <c:v>94.519400000000005</c:v>
                </c:pt>
                <c:pt idx="1392">
                  <c:v>94.418000000000006</c:v>
                </c:pt>
                <c:pt idx="1393">
                  <c:v>94.460600000000014</c:v>
                </c:pt>
                <c:pt idx="1394">
                  <c:v>94.667100000000005</c:v>
                </c:pt>
                <c:pt idx="1395">
                  <c:v>94.42570000000002</c:v>
                </c:pt>
                <c:pt idx="1396">
                  <c:v>94.586100000000002</c:v>
                </c:pt>
                <c:pt idx="1397">
                  <c:v>94.582300000000004</c:v>
                </c:pt>
                <c:pt idx="1398">
                  <c:v>94.672399999999996</c:v>
                </c:pt>
                <c:pt idx="1399">
                  <c:v>94.524100000000004</c:v>
                </c:pt>
                <c:pt idx="1400">
                  <c:v>94.638999999999996</c:v>
                </c:pt>
                <c:pt idx="1401">
                  <c:v>94.597999999999999</c:v>
                </c:pt>
                <c:pt idx="1402">
                  <c:v>94.36</c:v>
                </c:pt>
                <c:pt idx="1403">
                  <c:v>94.710400000000007</c:v>
                </c:pt>
                <c:pt idx="1404">
                  <c:v>94.706599999999995</c:v>
                </c:pt>
                <c:pt idx="1405">
                  <c:v>94.724800000000002</c:v>
                </c:pt>
                <c:pt idx="1406">
                  <c:v>94.248400000000004</c:v>
                </c:pt>
                <c:pt idx="1407">
                  <c:v>94.299300000000002</c:v>
                </c:pt>
                <c:pt idx="1408">
                  <c:v>94.152799999999999</c:v>
                </c:pt>
                <c:pt idx="1409">
                  <c:v>94.070000000000007</c:v>
                </c:pt>
                <c:pt idx="1410">
                  <c:v>94.135400000000004</c:v>
                </c:pt>
                <c:pt idx="1411">
                  <c:v>94.083399999999997</c:v>
                </c:pt>
                <c:pt idx="1412">
                  <c:v>94.185400000000001</c:v>
                </c:pt>
                <c:pt idx="1413">
                  <c:v>94.520100000000014</c:v>
                </c:pt>
                <c:pt idx="1414">
                  <c:v>94.507800000000003</c:v>
                </c:pt>
                <c:pt idx="1415">
                  <c:v>94.536100000000005</c:v>
                </c:pt>
                <c:pt idx="1416">
                  <c:v>94.087900000000005</c:v>
                </c:pt>
                <c:pt idx="1417">
                  <c:v>94.442600000000013</c:v>
                </c:pt>
                <c:pt idx="1418">
                  <c:v>94.537000000000006</c:v>
                </c:pt>
                <c:pt idx="1419">
                  <c:v>94.561099999999996</c:v>
                </c:pt>
                <c:pt idx="1420">
                  <c:v>94.253600000000006</c:v>
                </c:pt>
                <c:pt idx="1421">
                  <c:v>94.467500000000001</c:v>
                </c:pt>
                <c:pt idx="1422">
                  <c:v>94.438599999999994</c:v>
                </c:pt>
                <c:pt idx="1423">
                  <c:v>94.719300000000004</c:v>
                </c:pt>
                <c:pt idx="1424">
                  <c:v>94.885000000000005</c:v>
                </c:pt>
                <c:pt idx="1425">
                  <c:v>94.911500000000004</c:v>
                </c:pt>
                <c:pt idx="1426">
                  <c:v>94.875500000000002</c:v>
                </c:pt>
                <c:pt idx="1427">
                  <c:v>94.956900000000005</c:v>
                </c:pt>
                <c:pt idx="1428">
                  <c:v>94.868799999999993</c:v>
                </c:pt>
                <c:pt idx="1429">
                  <c:v>94.712000000000003</c:v>
                </c:pt>
                <c:pt idx="1430">
                  <c:v>94.551500000000004</c:v>
                </c:pt>
                <c:pt idx="1431">
                  <c:v>94.565899999999999</c:v>
                </c:pt>
                <c:pt idx="1432">
                  <c:v>94.568200000000019</c:v>
                </c:pt>
                <c:pt idx="1433">
                  <c:v>94.544300000000007</c:v>
                </c:pt>
                <c:pt idx="1434">
                  <c:v>94.738500000000002</c:v>
                </c:pt>
                <c:pt idx="1435">
                  <c:v>94.90470000000002</c:v>
                </c:pt>
                <c:pt idx="1436">
                  <c:v>94.762500000000003</c:v>
                </c:pt>
                <c:pt idx="1437">
                  <c:v>94.677400000000006</c:v>
                </c:pt>
                <c:pt idx="1438">
                  <c:v>94.66670000000002</c:v>
                </c:pt>
                <c:pt idx="1439">
                  <c:v>94.857399999999998</c:v>
                </c:pt>
                <c:pt idx="1440">
                  <c:v>94.845500000000001</c:v>
                </c:pt>
                <c:pt idx="1441">
                  <c:v>94.737000000000009</c:v>
                </c:pt>
                <c:pt idx="1442">
                  <c:v>94.715000000000003</c:v>
                </c:pt>
                <c:pt idx="1443">
                  <c:v>94.561999999999998</c:v>
                </c:pt>
                <c:pt idx="1444">
                  <c:v>94.560299999999998</c:v>
                </c:pt>
                <c:pt idx="1445">
                  <c:v>94.492900000000006</c:v>
                </c:pt>
                <c:pt idx="1446">
                  <c:v>94.497900000000001</c:v>
                </c:pt>
                <c:pt idx="1447">
                  <c:v>94.451300000000003</c:v>
                </c:pt>
                <c:pt idx="1448">
                  <c:v>94.439800000000005</c:v>
                </c:pt>
                <c:pt idx="1449">
                  <c:v>94.595399999999998</c:v>
                </c:pt>
                <c:pt idx="1450">
                  <c:v>94.545300000000012</c:v>
                </c:pt>
                <c:pt idx="1451">
                  <c:v>94.453400000000016</c:v>
                </c:pt>
                <c:pt idx="1452">
                  <c:v>94.728700000000003</c:v>
                </c:pt>
                <c:pt idx="1453">
                  <c:v>94.725099999999998</c:v>
                </c:pt>
                <c:pt idx="1454">
                  <c:v>94.660899999999998</c:v>
                </c:pt>
                <c:pt idx="1455">
                  <c:v>94.700900000000004</c:v>
                </c:pt>
                <c:pt idx="1456">
                  <c:v>94.575400000000016</c:v>
                </c:pt>
                <c:pt idx="1457">
                  <c:v>94.787700000000001</c:v>
                </c:pt>
                <c:pt idx="1458">
                  <c:v>94.785799999999995</c:v>
                </c:pt>
                <c:pt idx="1459">
                  <c:v>94.839699999999993</c:v>
                </c:pt>
                <c:pt idx="1460">
                  <c:v>94.839699999999993</c:v>
                </c:pt>
                <c:pt idx="1461">
                  <c:v>95.010199999999998</c:v>
                </c:pt>
                <c:pt idx="1462">
                  <c:v>94.955200000000019</c:v>
                </c:pt>
                <c:pt idx="1463">
                  <c:v>94.976299999999995</c:v>
                </c:pt>
                <c:pt idx="1464">
                  <c:v>95.132500000000007</c:v>
                </c:pt>
                <c:pt idx="1465">
                  <c:v>95.463000000000008</c:v>
                </c:pt>
                <c:pt idx="1466">
                  <c:v>95.562600000000003</c:v>
                </c:pt>
                <c:pt idx="1467">
                  <c:v>95.4953</c:v>
                </c:pt>
                <c:pt idx="1468">
                  <c:v>95.477500000000006</c:v>
                </c:pt>
                <c:pt idx="1469">
                  <c:v>95.482699999999994</c:v>
                </c:pt>
                <c:pt idx="1470">
                  <c:v>95.6233</c:v>
                </c:pt>
                <c:pt idx="1471">
                  <c:v>95.442999999999998</c:v>
                </c:pt>
                <c:pt idx="1472">
                  <c:v>95.5732</c:v>
                </c:pt>
                <c:pt idx="1473">
                  <c:v>95.561600000000013</c:v>
                </c:pt>
                <c:pt idx="1474">
                  <c:v>95.563400000000001</c:v>
                </c:pt>
                <c:pt idx="1475">
                  <c:v>95.578500000000005</c:v>
                </c:pt>
                <c:pt idx="1476">
                  <c:v>95.451000000000008</c:v>
                </c:pt>
                <c:pt idx="1477">
                  <c:v>95.1858</c:v>
                </c:pt>
                <c:pt idx="1478">
                  <c:v>95.461699999999993</c:v>
                </c:pt>
                <c:pt idx="1479">
                  <c:v>95.545400000000001</c:v>
                </c:pt>
                <c:pt idx="1480">
                  <c:v>95.517600000000002</c:v>
                </c:pt>
                <c:pt idx="1481">
                  <c:v>95.565299999999993</c:v>
                </c:pt>
                <c:pt idx="1482">
                  <c:v>95.585499999999996</c:v>
                </c:pt>
                <c:pt idx="1483">
                  <c:v>95.493399999999994</c:v>
                </c:pt>
                <c:pt idx="1484">
                  <c:v>95.640799999999999</c:v>
                </c:pt>
                <c:pt idx="1485">
                  <c:v>95.511300000000006</c:v>
                </c:pt>
                <c:pt idx="1486">
                  <c:v>95.897199999999998</c:v>
                </c:pt>
                <c:pt idx="1487">
                  <c:v>95.805300000000003</c:v>
                </c:pt>
                <c:pt idx="1488">
                  <c:v>95.825000000000003</c:v>
                </c:pt>
                <c:pt idx="1489">
                  <c:v>95.802400000000006</c:v>
                </c:pt>
                <c:pt idx="1490">
                  <c:v>95.877899999999997</c:v>
                </c:pt>
                <c:pt idx="1491">
                  <c:v>95.765799999999999</c:v>
                </c:pt>
                <c:pt idx="1492">
                  <c:v>95.878600000000006</c:v>
                </c:pt>
                <c:pt idx="1493">
                  <c:v>95.689899999999994</c:v>
                </c:pt>
                <c:pt idx="1494">
                  <c:v>95.934600000000003</c:v>
                </c:pt>
                <c:pt idx="1495">
                  <c:v>95.789500000000004</c:v>
                </c:pt>
                <c:pt idx="1496">
                  <c:v>95.906000000000006</c:v>
                </c:pt>
                <c:pt idx="1497">
                  <c:v>96.112000000000009</c:v>
                </c:pt>
                <c:pt idx="1498">
                  <c:v>96.188199999999995</c:v>
                </c:pt>
                <c:pt idx="1499">
                  <c:v>96.036600000000007</c:v>
                </c:pt>
                <c:pt idx="1500">
                  <c:v>95.991200000000021</c:v>
                </c:pt>
                <c:pt idx="1501">
                  <c:v>96.037899999999993</c:v>
                </c:pt>
                <c:pt idx="1502">
                  <c:v>95.938599999999994</c:v>
                </c:pt>
                <c:pt idx="1503">
                  <c:v>95.993799999999993</c:v>
                </c:pt>
                <c:pt idx="1504">
                  <c:v>95.920900000000017</c:v>
                </c:pt>
                <c:pt idx="1505">
                  <c:v>95.983199999999997</c:v>
                </c:pt>
                <c:pt idx="1506">
                  <c:v>95.985600000000005</c:v>
                </c:pt>
                <c:pt idx="1507">
                  <c:v>95.790700000000001</c:v>
                </c:pt>
                <c:pt idx="1508">
                  <c:v>95.919799999999995</c:v>
                </c:pt>
                <c:pt idx="1509">
                  <c:v>95.967100000000002</c:v>
                </c:pt>
                <c:pt idx="1510">
                  <c:v>95.875500000000002</c:v>
                </c:pt>
                <c:pt idx="1511">
                  <c:v>96.170300000000012</c:v>
                </c:pt>
                <c:pt idx="1512">
                  <c:v>96.091499999999996</c:v>
                </c:pt>
                <c:pt idx="1513">
                  <c:v>95.813699999999997</c:v>
                </c:pt>
                <c:pt idx="1514">
                  <c:v>96.005799999999994</c:v>
                </c:pt>
                <c:pt idx="1515">
                  <c:v>95.793700000000001</c:v>
                </c:pt>
                <c:pt idx="1516">
                  <c:v>96.026499999999999</c:v>
                </c:pt>
                <c:pt idx="1517">
                  <c:v>95.916799999999995</c:v>
                </c:pt>
                <c:pt idx="1518">
                  <c:v>95.911100000000005</c:v>
                </c:pt>
                <c:pt idx="1519">
                  <c:v>96.074700000000007</c:v>
                </c:pt>
                <c:pt idx="1520">
                  <c:v>96.378100000000003</c:v>
                </c:pt>
                <c:pt idx="1521">
                  <c:v>96.560500000000005</c:v>
                </c:pt>
                <c:pt idx="1522">
                  <c:v>96.632000000000005</c:v>
                </c:pt>
                <c:pt idx="1523">
                  <c:v>96.665300000000002</c:v>
                </c:pt>
                <c:pt idx="1524">
                  <c:v>96.597300000000004</c:v>
                </c:pt>
                <c:pt idx="1525">
                  <c:v>96.568100000000001</c:v>
                </c:pt>
                <c:pt idx="1526">
                  <c:v>96.585999999999999</c:v>
                </c:pt>
                <c:pt idx="1527">
                  <c:v>96.645899999999997</c:v>
                </c:pt>
                <c:pt idx="1528">
                  <c:v>96.661199999999994</c:v>
                </c:pt>
                <c:pt idx="1529">
                  <c:v>96.781300000000002</c:v>
                </c:pt>
                <c:pt idx="1530">
                  <c:v>96.786900000000017</c:v>
                </c:pt>
                <c:pt idx="1531">
                  <c:v>96.841899999999995</c:v>
                </c:pt>
                <c:pt idx="1532">
                  <c:v>96.954999999999998</c:v>
                </c:pt>
                <c:pt idx="1533">
                  <c:v>97.015300000000011</c:v>
                </c:pt>
                <c:pt idx="1534">
                  <c:v>97.100700000000003</c:v>
                </c:pt>
                <c:pt idx="1535">
                  <c:v>97.401600000000002</c:v>
                </c:pt>
                <c:pt idx="1536">
                  <c:v>97.504000000000005</c:v>
                </c:pt>
                <c:pt idx="1537">
                  <c:v>97.646699999999996</c:v>
                </c:pt>
                <c:pt idx="1538">
                  <c:v>97.494699999999995</c:v>
                </c:pt>
                <c:pt idx="1539">
                  <c:v>97.847000000000008</c:v>
                </c:pt>
                <c:pt idx="1540">
                  <c:v>97.751099999999994</c:v>
                </c:pt>
                <c:pt idx="1541">
                  <c:v>97.946200000000019</c:v>
                </c:pt>
                <c:pt idx="1542">
                  <c:v>97.50930000000001</c:v>
                </c:pt>
                <c:pt idx="1543">
                  <c:v>97.727699999999999</c:v>
                </c:pt>
                <c:pt idx="1544">
                  <c:v>97.563100000000006</c:v>
                </c:pt>
                <c:pt idx="1545">
                  <c:v>97.639600000000002</c:v>
                </c:pt>
                <c:pt idx="1546">
                  <c:v>97.664599999999993</c:v>
                </c:pt>
                <c:pt idx="1547">
                  <c:v>97.614199999999997</c:v>
                </c:pt>
                <c:pt idx="1548">
                  <c:v>97.5167</c:v>
                </c:pt>
                <c:pt idx="1549">
                  <c:v>97.624700000000004</c:v>
                </c:pt>
                <c:pt idx="1550">
                  <c:v>97.44380000000001</c:v>
                </c:pt>
                <c:pt idx="1551">
                  <c:v>97.402500000000003</c:v>
                </c:pt>
                <c:pt idx="1552">
                  <c:v>97.249100000000013</c:v>
                </c:pt>
                <c:pt idx="1553">
                  <c:v>97.119600000000005</c:v>
                </c:pt>
                <c:pt idx="1554">
                  <c:v>97.160499999999999</c:v>
                </c:pt>
                <c:pt idx="1555">
                  <c:v>97.502200000000002</c:v>
                </c:pt>
                <c:pt idx="1556">
                  <c:v>97.679100000000005</c:v>
                </c:pt>
                <c:pt idx="1557">
                  <c:v>97.810100000000006</c:v>
                </c:pt>
                <c:pt idx="1558">
                  <c:v>97.79770000000002</c:v>
                </c:pt>
                <c:pt idx="1559">
                  <c:v>97.706800000000001</c:v>
                </c:pt>
                <c:pt idx="1560">
                  <c:v>97.554599999999994</c:v>
                </c:pt>
                <c:pt idx="1561">
                  <c:v>97.536900000000017</c:v>
                </c:pt>
                <c:pt idx="1562">
                  <c:v>97.290999999999997</c:v>
                </c:pt>
                <c:pt idx="1563">
                  <c:v>96.703299999999999</c:v>
                </c:pt>
                <c:pt idx="1564">
                  <c:v>97.340199999999996</c:v>
                </c:pt>
                <c:pt idx="1565">
                  <c:v>97.308300000000003</c:v>
                </c:pt>
                <c:pt idx="1566">
                  <c:v>97.186700000000002</c:v>
                </c:pt>
                <c:pt idx="1567">
                  <c:v>97.291100000000014</c:v>
                </c:pt>
                <c:pt idx="1568">
                  <c:v>97.308899999999994</c:v>
                </c:pt>
                <c:pt idx="1569">
                  <c:v>97.667000000000002</c:v>
                </c:pt>
                <c:pt idx="1570">
                  <c:v>97.882800000000003</c:v>
                </c:pt>
                <c:pt idx="1571">
                  <c:v>97.833200000000019</c:v>
                </c:pt>
                <c:pt idx="1572">
                  <c:v>97.713800000000006</c:v>
                </c:pt>
                <c:pt idx="1573">
                  <c:v>97.833200000000019</c:v>
                </c:pt>
                <c:pt idx="1574">
                  <c:v>97.838000000000008</c:v>
                </c:pt>
                <c:pt idx="1575">
                  <c:v>97.811000000000007</c:v>
                </c:pt>
                <c:pt idx="1576">
                  <c:v>97.773499999999999</c:v>
                </c:pt>
                <c:pt idx="1577">
                  <c:v>97.686400000000006</c:v>
                </c:pt>
                <c:pt idx="1578">
                  <c:v>97.744600000000005</c:v>
                </c:pt>
                <c:pt idx="1579">
                  <c:v>97.706500000000005</c:v>
                </c:pt>
                <c:pt idx="1580">
                  <c:v>97.742400000000018</c:v>
                </c:pt>
                <c:pt idx="1581">
                  <c:v>97.747500000000002</c:v>
                </c:pt>
                <c:pt idx="1582">
                  <c:v>97.612200000000001</c:v>
                </c:pt>
                <c:pt idx="1583">
                  <c:v>97.674700000000001</c:v>
                </c:pt>
                <c:pt idx="1584">
                  <c:v>97.495800000000003</c:v>
                </c:pt>
                <c:pt idx="1585">
                  <c:v>98.023799999999994</c:v>
                </c:pt>
                <c:pt idx="1586">
                  <c:v>98.073600000000013</c:v>
                </c:pt>
                <c:pt idx="1587">
                  <c:v>97.770300000000006</c:v>
                </c:pt>
                <c:pt idx="1588">
                  <c:v>97.927300000000002</c:v>
                </c:pt>
                <c:pt idx="1589">
                  <c:v>97.725000000000009</c:v>
                </c:pt>
                <c:pt idx="1590">
                  <c:v>97.953199999999995</c:v>
                </c:pt>
                <c:pt idx="1591">
                  <c:v>98.13130000000001</c:v>
                </c:pt>
                <c:pt idx="1592">
                  <c:v>97.909700000000001</c:v>
                </c:pt>
                <c:pt idx="1593">
                  <c:v>98.055800000000005</c:v>
                </c:pt>
                <c:pt idx="1594">
                  <c:v>98.048000000000002</c:v>
                </c:pt>
                <c:pt idx="1595">
                  <c:v>98.088899999999995</c:v>
                </c:pt>
                <c:pt idx="1596">
                  <c:v>98.067300000000003</c:v>
                </c:pt>
                <c:pt idx="1597">
                  <c:v>98.326800000000006</c:v>
                </c:pt>
                <c:pt idx="1598">
                  <c:v>98.078500000000005</c:v>
                </c:pt>
                <c:pt idx="1599">
                  <c:v>98.103999999999999</c:v>
                </c:pt>
                <c:pt idx="1600">
                  <c:v>98.065200000000019</c:v>
                </c:pt>
                <c:pt idx="1601">
                  <c:v>98.144800000000004</c:v>
                </c:pt>
                <c:pt idx="1602">
                  <c:v>98.112899999999996</c:v>
                </c:pt>
                <c:pt idx="1603">
                  <c:v>98.131699999999995</c:v>
                </c:pt>
                <c:pt idx="1604">
                  <c:v>98.409899999999993</c:v>
                </c:pt>
                <c:pt idx="1605">
                  <c:v>98.087500000000006</c:v>
                </c:pt>
                <c:pt idx="1606">
                  <c:v>98.346299999999999</c:v>
                </c:pt>
                <c:pt idx="1607">
                  <c:v>98.1922</c:v>
                </c:pt>
                <c:pt idx="1608">
                  <c:v>98.351600000000005</c:v>
                </c:pt>
                <c:pt idx="1609">
                  <c:v>98.511899999999997</c:v>
                </c:pt>
                <c:pt idx="1610">
                  <c:v>98.215400000000017</c:v>
                </c:pt>
                <c:pt idx="1611">
                  <c:v>98.309600000000003</c:v>
                </c:pt>
                <c:pt idx="1612">
                  <c:v>98.305000000000007</c:v>
                </c:pt>
                <c:pt idx="1613">
                  <c:v>98.171400000000006</c:v>
                </c:pt>
                <c:pt idx="1614">
                  <c:v>98.313500000000005</c:v>
                </c:pt>
                <c:pt idx="1615">
                  <c:v>98.243600000000015</c:v>
                </c:pt>
                <c:pt idx="1616">
                  <c:v>97.925600000000003</c:v>
                </c:pt>
                <c:pt idx="1617">
                  <c:v>98.207099999999997</c:v>
                </c:pt>
                <c:pt idx="1618">
                  <c:v>98.165199999999999</c:v>
                </c:pt>
                <c:pt idx="1619">
                  <c:v>98.108900000000006</c:v>
                </c:pt>
                <c:pt idx="1620">
                  <c:v>97.900999999999996</c:v>
                </c:pt>
                <c:pt idx="1621">
                  <c:v>97.751400000000004</c:v>
                </c:pt>
                <c:pt idx="1622">
                  <c:v>98.145100000000014</c:v>
                </c:pt>
                <c:pt idx="1623">
                  <c:v>97.838000000000008</c:v>
                </c:pt>
                <c:pt idx="1624">
                  <c:v>97.831100000000006</c:v>
                </c:pt>
                <c:pt idx="1625">
                  <c:v>97.921800000000005</c:v>
                </c:pt>
                <c:pt idx="1626">
                  <c:v>97.623599999999996</c:v>
                </c:pt>
                <c:pt idx="1627">
                  <c:v>98.088099999999997</c:v>
                </c:pt>
                <c:pt idx="1628">
                  <c:v>97.919100000000014</c:v>
                </c:pt>
                <c:pt idx="1629">
                  <c:v>98.264300000000006</c:v>
                </c:pt>
                <c:pt idx="1630">
                  <c:v>98.248999999999995</c:v>
                </c:pt>
                <c:pt idx="1631">
                  <c:v>98.246799999999993</c:v>
                </c:pt>
                <c:pt idx="1632">
                  <c:v>98.159300000000002</c:v>
                </c:pt>
                <c:pt idx="1633">
                  <c:v>98.312600000000003</c:v>
                </c:pt>
                <c:pt idx="1634">
                  <c:v>98.232800000000012</c:v>
                </c:pt>
                <c:pt idx="1635">
                  <c:v>98.268900000000016</c:v>
                </c:pt>
                <c:pt idx="1636">
                  <c:v>98.057500000000005</c:v>
                </c:pt>
                <c:pt idx="1637">
                  <c:v>98.547300000000007</c:v>
                </c:pt>
                <c:pt idx="1638">
                  <c:v>98.381600000000006</c:v>
                </c:pt>
                <c:pt idx="1639">
                  <c:v>98.573000000000008</c:v>
                </c:pt>
                <c:pt idx="1640">
                  <c:v>98.345600000000005</c:v>
                </c:pt>
                <c:pt idx="1641">
                  <c:v>98.428899999999999</c:v>
                </c:pt>
                <c:pt idx="1642">
                  <c:v>98.410100000000014</c:v>
                </c:pt>
                <c:pt idx="1643">
                  <c:v>98.38430000000001</c:v>
                </c:pt>
                <c:pt idx="1644">
                  <c:v>98.420199999999994</c:v>
                </c:pt>
                <c:pt idx="1645">
                  <c:v>98.487899999999996</c:v>
                </c:pt>
                <c:pt idx="1646">
                  <c:v>98.350999999999999</c:v>
                </c:pt>
                <c:pt idx="1647">
                  <c:v>98.357699999999994</c:v>
                </c:pt>
                <c:pt idx="1648">
                  <c:v>98.34520000000002</c:v>
                </c:pt>
                <c:pt idx="1649">
                  <c:v>98.420699999999997</c:v>
                </c:pt>
                <c:pt idx="1650">
                  <c:v>98.424099999999996</c:v>
                </c:pt>
                <c:pt idx="1651">
                  <c:v>98.495599999999996</c:v>
                </c:pt>
                <c:pt idx="1652">
                  <c:v>98.317000000000007</c:v>
                </c:pt>
                <c:pt idx="1653">
                  <c:v>98.367099999999994</c:v>
                </c:pt>
                <c:pt idx="1654">
                  <c:v>98.246600000000001</c:v>
                </c:pt>
                <c:pt idx="1655">
                  <c:v>98.241200000000021</c:v>
                </c:pt>
                <c:pt idx="1656">
                  <c:v>98.236099999999993</c:v>
                </c:pt>
                <c:pt idx="1657">
                  <c:v>98.053200000000004</c:v>
                </c:pt>
                <c:pt idx="1658">
                  <c:v>98.268500000000003</c:v>
                </c:pt>
                <c:pt idx="1659">
                  <c:v>98.129099999999994</c:v>
                </c:pt>
                <c:pt idx="1660">
                  <c:v>98.650400000000005</c:v>
                </c:pt>
                <c:pt idx="1661">
                  <c:v>98.438599999999994</c:v>
                </c:pt>
                <c:pt idx="1662">
                  <c:v>98.494100000000003</c:v>
                </c:pt>
                <c:pt idx="1663">
                  <c:v>98.403999999999996</c:v>
                </c:pt>
                <c:pt idx="1664">
                  <c:v>98.440700000000007</c:v>
                </c:pt>
                <c:pt idx="1665">
                  <c:v>98.366500000000002</c:v>
                </c:pt>
                <c:pt idx="1666">
                  <c:v>98.389600000000002</c:v>
                </c:pt>
                <c:pt idx="1667">
                  <c:v>98.379300000000001</c:v>
                </c:pt>
                <c:pt idx="1668">
                  <c:v>98.527600000000007</c:v>
                </c:pt>
                <c:pt idx="1669">
                  <c:v>98.424400000000006</c:v>
                </c:pt>
                <c:pt idx="1670">
                  <c:v>98.479600000000005</c:v>
                </c:pt>
                <c:pt idx="1671">
                  <c:v>98.263000000000005</c:v>
                </c:pt>
                <c:pt idx="1672">
                  <c:v>98.443299999999994</c:v>
                </c:pt>
                <c:pt idx="1673">
                  <c:v>98.240399999999994</c:v>
                </c:pt>
                <c:pt idx="1674">
                  <c:v>98.417599999999993</c:v>
                </c:pt>
                <c:pt idx="1675">
                  <c:v>98.295199999999994</c:v>
                </c:pt>
                <c:pt idx="1676">
                  <c:v>98.258899999999997</c:v>
                </c:pt>
                <c:pt idx="1677">
                  <c:v>98.36020000000002</c:v>
                </c:pt>
                <c:pt idx="1678">
                  <c:v>98.351900000000001</c:v>
                </c:pt>
                <c:pt idx="1679">
                  <c:v>98.432900000000018</c:v>
                </c:pt>
                <c:pt idx="1680">
                  <c:v>98.507999999999996</c:v>
                </c:pt>
                <c:pt idx="1681">
                  <c:v>98.305000000000007</c:v>
                </c:pt>
                <c:pt idx="1682">
                  <c:v>98.620999999999995</c:v>
                </c:pt>
                <c:pt idx="1683">
                  <c:v>98.415899999999993</c:v>
                </c:pt>
                <c:pt idx="1684">
                  <c:v>98.386499999999998</c:v>
                </c:pt>
                <c:pt idx="1685">
                  <c:v>98.440200000000019</c:v>
                </c:pt>
                <c:pt idx="1686">
                  <c:v>98.623199999999997</c:v>
                </c:pt>
                <c:pt idx="1687">
                  <c:v>98.748199999999997</c:v>
                </c:pt>
                <c:pt idx="1688">
                  <c:v>98.506100000000004</c:v>
                </c:pt>
                <c:pt idx="1689">
                  <c:v>98.558899999999994</c:v>
                </c:pt>
                <c:pt idx="1690">
                  <c:v>98.510199999999998</c:v>
                </c:pt>
                <c:pt idx="1691">
                  <c:v>98.551900000000018</c:v>
                </c:pt>
                <c:pt idx="1692">
                  <c:v>98.619100000000003</c:v>
                </c:pt>
                <c:pt idx="1693">
                  <c:v>98.171199999999999</c:v>
                </c:pt>
                <c:pt idx="1694">
                  <c:v>98.333600000000004</c:v>
                </c:pt>
                <c:pt idx="1695">
                  <c:v>98.847600000000014</c:v>
                </c:pt>
                <c:pt idx="1696">
                  <c:v>98.293999999999997</c:v>
                </c:pt>
                <c:pt idx="1697">
                  <c:v>98.432000000000002</c:v>
                </c:pt>
                <c:pt idx="1698">
                  <c:v>98.354600000000005</c:v>
                </c:pt>
                <c:pt idx="1699">
                  <c:v>98.412199999999999</c:v>
                </c:pt>
                <c:pt idx="1700">
                  <c:v>98.530900000000017</c:v>
                </c:pt>
                <c:pt idx="1701">
                  <c:v>98.741299999999995</c:v>
                </c:pt>
                <c:pt idx="1702">
                  <c:v>98.368499999999997</c:v>
                </c:pt>
                <c:pt idx="1703">
                  <c:v>98.435500000000005</c:v>
                </c:pt>
                <c:pt idx="1704">
                  <c:v>98.525300000000001</c:v>
                </c:pt>
                <c:pt idx="1705">
                  <c:v>98.473699999999994</c:v>
                </c:pt>
                <c:pt idx="1706">
                  <c:v>98.472099999999998</c:v>
                </c:pt>
                <c:pt idx="1707">
                  <c:v>97.906899999999993</c:v>
                </c:pt>
                <c:pt idx="1708">
                  <c:v>97.694800000000001</c:v>
                </c:pt>
                <c:pt idx="1709">
                  <c:v>98.242000000000004</c:v>
                </c:pt>
                <c:pt idx="1710">
                  <c:v>98.053200000000004</c:v>
                </c:pt>
                <c:pt idx="1711">
                  <c:v>98.498400000000004</c:v>
                </c:pt>
                <c:pt idx="1712">
                  <c:v>98.3352</c:v>
                </c:pt>
                <c:pt idx="1713">
                  <c:v>98.725200000000001</c:v>
                </c:pt>
                <c:pt idx="1714">
                  <c:v>98.524799999999999</c:v>
                </c:pt>
                <c:pt idx="1715">
                  <c:v>98.370400000000018</c:v>
                </c:pt>
                <c:pt idx="1716">
                  <c:v>98.402199999999993</c:v>
                </c:pt>
                <c:pt idx="1717">
                  <c:v>98.289900000000017</c:v>
                </c:pt>
                <c:pt idx="1718">
                  <c:v>98.333100000000002</c:v>
                </c:pt>
                <c:pt idx="1719">
                  <c:v>98.479500000000002</c:v>
                </c:pt>
                <c:pt idx="1720">
                  <c:v>98.378699999999995</c:v>
                </c:pt>
                <c:pt idx="1721">
                  <c:v>98.480099999999993</c:v>
                </c:pt>
                <c:pt idx="1722">
                  <c:v>98.633399999999995</c:v>
                </c:pt>
                <c:pt idx="1723">
                  <c:v>98.819599999999994</c:v>
                </c:pt>
                <c:pt idx="1724">
                  <c:v>98.63730000000001</c:v>
                </c:pt>
                <c:pt idx="1725">
                  <c:v>99.057299999999998</c:v>
                </c:pt>
                <c:pt idx="1726">
                  <c:v>98.952299999999994</c:v>
                </c:pt>
                <c:pt idx="1727">
                  <c:v>99.267899999999997</c:v>
                </c:pt>
                <c:pt idx="1728">
                  <c:v>98.938400000000001</c:v>
                </c:pt>
                <c:pt idx="1729">
                  <c:v>99.169899999999998</c:v>
                </c:pt>
                <c:pt idx="1730">
                  <c:v>98.951999999999998</c:v>
                </c:pt>
                <c:pt idx="1731">
                  <c:v>99.000600000000006</c:v>
                </c:pt>
                <c:pt idx="1732">
                  <c:v>99.379300000000001</c:v>
                </c:pt>
                <c:pt idx="1733">
                  <c:v>99.428600000000003</c:v>
                </c:pt>
                <c:pt idx="1734">
                  <c:v>99.610699999999994</c:v>
                </c:pt>
                <c:pt idx="1735">
                  <c:v>99.628</c:v>
                </c:pt>
                <c:pt idx="1736">
                  <c:v>99.853200000000001</c:v>
                </c:pt>
                <c:pt idx="1737">
                  <c:v>99.925399999999996</c:v>
                </c:pt>
                <c:pt idx="1738">
                  <c:v>100.7978</c:v>
                </c:pt>
                <c:pt idx="1739">
                  <c:v>100.1443</c:v>
                </c:pt>
                <c:pt idx="1740">
                  <c:v>100.07780000000001</c:v>
                </c:pt>
                <c:pt idx="1741">
                  <c:v>100.20340000000002</c:v>
                </c:pt>
                <c:pt idx="1742">
                  <c:v>99.917199999999994</c:v>
                </c:pt>
                <c:pt idx="1743">
                  <c:v>100.25700000000001</c:v>
                </c:pt>
                <c:pt idx="1744">
                  <c:v>98.427800000000005</c:v>
                </c:pt>
                <c:pt idx="1745">
                  <c:v>99.933499999999995</c:v>
                </c:pt>
                <c:pt idx="1746">
                  <c:v>99.994</c:v>
                </c:pt>
                <c:pt idx="1747">
                  <c:v>100.07470000000001</c:v>
                </c:pt>
                <c:pt idx="1748">
                  <c:v>100.05970000000002</c:v>
                </c:pt>
                <c:pt idx="1749">
                  <c:v>100.0913</c:v>
                </c:pt>
                <c:pt idx="1750">
                  <c:v>100.145</c:v>
                </c:pt>
                <c:pt idx="1751">
                  <c:v>100.1512</c:v>
                </c:pt>
                <c:pt idx="1752">
                  <c:v>100.34520000000002</c:v>
                </c:pt>
                <c:pt idx="1753">
                  <c:v>100.3036</c:v>
                </c:pt>
                <c:pt idx="1754">
                  <c:v>100.6652</c:v>
                </c:pt>
                <c:pt idx="1755">
                  <c:v>100.52970000000002</c:v>
                </c:pt>
                <c:pt idx="1756">
                  <c:v>100.4973</c:v>
                </c:pt>
                <c:pt idx="1757">
                  <c:v>100.4406</c:v>
                </c:pt>
                <c:pt idx="1758">
                  <c:v>100.62770000000002</c:v>
                </c:pt>
                <c:pt idx="1759">
                  <c:v>100.7024</c:v>
                </c:pt>
                <c:pt idx="1760">
                  <c:v>101.2269</c:v>
                </c:pt>
                <c:pt idx="1761">
                  <c:v>101.27850000000001</c:v>
                </c:pt>
                <c:pt idx="1762">
                  <c:v>101.357</c:v>
                </c:pt>
                <c:pt idx="1763">
                  <c:v>101.8199</c:v>
                </c:pt>
                <c:pt idx="1764">
                  <c:v>101.8729</c:v>
                </c:pt>
                <c:pt idx="1765">
                  <c:v>101.86969999999999</c:v>
                </c:pt>
                <c:pt idx="1766">
                  <c:v>101.9884</c:v>
                </c:pt>
                <c:pt idx="1767">
                  <c:v>101.8749</c:v>
                </c:pt>
                <c:pt idx="1768">
                  <c:v>102.12909999999999</c:v>
                </c:pt>
                <c:pt idx="1769">
                  <c:v>101.8155</c:v>
                </c:pt>
                <c:pt idx="1770">
                  <c:v>101.8871</c:v>
                </c:pt>
                <c:pt idx="1771">
                  <c:v>102.14100000000001</c:v>
                </c:pt>
                <c:pt idx="1772">
                  <c:v>102.2135</c:v>
                </c:pt>
                <c:pt idx="1773">
                  <c:v>102.2398</c:v>
                </c:pt>
                <c:pt idx="1774">
                  <c:v>102.23280000000001</c:v>
                </c:pt>
                <c:pt idx="1775">
                  <c:v>102.1978</c:v>
                </c:pt>
                <c:pt idx="1776">
                  <c:v>102.1688</c:v>
                </c:pt>
                <c:pt idx="1777">
                  <c:v>102.65860000000001</c:v>
                </c:pt>
                <c:pt idx="1778">
                  <c:v>102.6429</c:v>
                </c:pt>
                <c:pt idx="1779">
                  <c:v>102.4845</c:v>
                </c:pt>
                <c:pt idx="1780">
                  <c:v>102.5194</c:v>
                </c:pt>
                <c:pt idx="1781">
                  <c:v>102.8387</c:v>
                </c:pt>
                <c:pt idx="1782">
                  <c:v>102.81189999999999</c:v>
                </c:pt>
                <c:pt idx="1783">
                  <c:v>102.9088</c:v>
                </c:pt>
                <c:pt idx="1784">
                  <c:v>103.10639999999999</c:v>
                </c:pt>
                <c:pt idx="1785">
                  <c:v>103.15170000000002</c:v>
                </c:pt>
                <c:pt idx="1786">
                  <c:v>103.669</c:v>
                </c:pt>
                <c:pt idx="1787">
                  <c:v>103.41160000000001</c:v>
                </c:pt>
                <c:pt idx="1788">
                  <c:v>103.6217</c:v>
                </c:pt>
                <c:pt idx="1789">
                  <c:v>103.5184</c:v>
                </c:pt>
                <c:pt idx="1790">
                  <c:v>103.52209999999999</c:v>
                </c:pt>
                <c:pt idx="1791">
                  <c:v>103.5968</c:v>
                </c:pt>
                <c:pt idx="1792">
                  <c:v>103.5825</c:v>
                </c:pt>
                <c:pt idx="1793">
                  <c:v>103.8651</c:v>
                </c:pt>
                <c:pt idx="1794">
                  <c:v>104.28</c:v>
                </c:pt>
                <c:pt idx="1795">
                  <c:v>104.38790000000002</c:v>
                </c:pt>
                <c:pt idx="1796">
                  <c:v>104.452</c:v>
                </c:pt>
                <c:pt idx="1797">
                  <c:v>104.4513</c:v>
                </c:pt>
                <c:pt idx="1798">
                  <c:v>104.7734</c:v>
                </c:pt>
                <c:pt idx="1799">
                  <c:v>104.8357</c:v>
                </c:pt>
                <c:pt idx="1800">
                  <c:v>104.69140000000002</c:v>
                </c:pt>
                <c:pt idx="1801">
                  <c:v>105.0395</c:v>
                </c:pt>
                <c:pt idx="1802">
                  <c:v>104.6317</c:v>
                </c:pt>
                <c:pt idx="1803">
                  <c:v>104.71810000000001</c:v>
                </c:pt>
                <c:pt idx="1804">
                  <c:v>104.518</c:v>
                </c:pt>
                <c:pt idx="1805">
                  <c:v>104.49469999999999</c:v>
                </c:pt>
                <c:pt idx="1806">
                  <c:v>104.5217</c:v>
                </c:pt>
                <c:pt idx="1807">
                  <c:v>104.42810000000001</c:v>
                </c:pt>
                <c:pt idx="1808">
                  <c:v>104.58580000000001</c:v>
                </c:pt>
                <c:pt idx="1809">
                  <c:v>104.625</c:v>
                </c:pt>
                <c:pt idx="1810">
                  <c:v>104.77430000000001</c:v>
                </c:pt>
                <c:pt idx="1811">
                  <c:v>104.57840000000002</c:v>
                </c:pt>
                <c:pt idx="1812">
                  <c:v>104.7709</c:v>
                </c:pt>
                <c:pt idx="1813">
                  <c:v>104.6568</c:v>
                </c:pt>
                <c:pt idx="1814">
                  <c:v>104.6999</c:v>
                </c:pt>
                <c:pt idx="1815">
                  <c:v>105.1412</c:v>
                </c:pt>
                <c:pt idx="1816">
                  <c:v>104.908</c:v>
                </c:pt>
                <c:pt idx="1817">
                  <c:v>104.9974</c:v>
                </c:pt>
                <c:pt idx="1818">
                  <c:v>104.9551</c:v>
                </c:pt>
                <c:pt idx="1819">
                  <c:v>105.83150000000001</c:v>
                </c:pt>
                <c:pt idx="1820">
                  <c:v>105.99660000000002</c:v>
                </c:pt>
                <c:pt idx="1821">
                  <c:v>106.2642</c:v>
                </c:pt>
                <c:pt idx="1822">
                  <c:v>105.9121</c:v>
                </c:pt>
                <c:pt idx="1823">
                  <c:v>105.8232</c:v>
                </c:pt>
                <c:pt idx="1824">
                  <c:v>105.7323</c:v>
                </c:pt>
                <c:pt idx="1825">
                  <c:v>105.64630000000001</c:v>
                </c:pt>
                <c:pt idx="1826">
                  <c:v>105.82900000000001</c:v>
                </c:pt>
                <c:pt idx="1827">
                  <c:v>105.8197</c:v>
                </c:pt>
                <c:pt idx="1828">
                  <c:v>105.7323</c:v>
                </c:pt>
                <c:pt idx="1829">
                  <c:v>105.86920000000002</c:v>
                </c:pt>
                <c:pt idx="1830">
                  <c:v>106.20229999999999</c:v>
                </c:pt>
                <c:pt idx="1831">
                  <c:v>106.14190000000001</c:v>
                </c:pt>
                <c:pt idx="1832">
                  <c:v>106.184</c:v>
                </c:pt>
                <c:pt idx="1833">
                  <c:v>106.24469999999999</c:v>
                </c:pt>
                <c:pt idx="1834">
                  <c:v>105.9551</c:v>
                </c:pt>
                <c:pt idx="1835">
                  <c:v>106.0368</c:v>
                </c:pt>
                <c:pt idx="1836">
                  <c:v>106.0954</c:v>
                </c:pt>
                <c:pt idx="1837">
                  <c:v>106.20280000000001</c:v>
                </c:pt>
                <c:pt idx="1838">
                  <c:v>106.1985</c:v>
                </c:pt>
                <c:pt idx="1839">
                  <c:v>106.1455</c:v>
                </c:pt>
                <c:pt idx="1840">
                  <c:v>106.25700000000001</c:v>
                </c:pt>
                <c:pt idx="1841">
                  <c:v>106.1061</c:v>
                </c:pt>
                <c:pt idx="1842">
                  <c:v>106.3113</c:v>
                </c:pt>
                <c:pt idx="1843">
                  <c:v>105.96840000000002</c:v>
                </c:pt>
                <c:pt idx="1844">
                  <c:v>105.9958</c:v>
                </c:pt>
                <c:pt idx="1845">
                  <c:v>105.9007</c:v>
                </c:pt>
                <c:pt idx="1846">
                  <c:v>106.069</c:v>
                </c:pt>
                <c:pt idx="1847">
                  <c:v>106.40530000000001</c:v>
                </c:pt>
                <c:pt idx="1848">
                  <c:v>106.19119999999999</c:v>
                </c:pt>
                <c:pt idx="1849">
                  <c:v>106.461</c:v>
                </c:pt>
                <c:pt idx="1850">
                  <c:v>106.4028</c:v>
                </c:pt>
                <c:pt idx="1851">
                  <c:v>106.3121</c:v>
                </c:pt>
                <c:pt idx="1852">
                  <c:v>106.2604</c:v>
                </c:pt>
                <c:pt idx="1853">
                  <c:v>106.34</c:v>
                </c:pt>
                <c:pt idx="1854">
                  <c:v>106.509</c:v>
                </c:pt>
                <c:pt idx="1855">
                  <c:v>106.6738</c:v>
                </c:pt>
                <c:pt idx="1856">
                  <c:v>106.7225</c:v>
                </c:pt>
                <c:pt idx="1857">
                  <c:v>106.86539999999999</c:v>
                </c:pt>
                <c:pt idx="1858">
                  <c:v>107.0132</c:v>
                </c:pt>
                <c:pt idx="1859">
                  <c:v>106.9294</c:v>
                </c:pt>
                <c:pt idx="1860">
                  <c:v>107.17189999999999</c:v>
                </c:pt>
                <c:pt idx="1861">
                  <c:v>107.1041</c:v>
                </c:pt>
                <c:pt idx="1862">
                  <c:v>107.32429999999999</c:v>
                </c:pt>
                <c:pt idx="1863">
                  <c:v>107.25190000000001</c:v>
                </c:pt>
                <c:pt idx="1864">
                  <c:v>107.36190000000001</c:v>
                </c:pt>
                <c:pt idx="1865">
                  <c:v>107.35360000000001</c:v>
                </c:pt>
                <c:pt idx="1866">
                  <c:v>107.443</c:v>
                </c:pt>
                <c:pt idx="1867">
                  <c:v>107.57470000000001</c:v>
                </c:pt>
                <c:pt idx="1868">
                  <c:v>107.4218</c:v>
                </c:pt>
                <c:pt idx="1869">
                  <c:v>107.52419999999999</c:v>
                </c:pt>
                <c:pt idx="1870">
                  <c:v>107.38079999999999</c:v>
                </c:pt>
                <c:pt idx="1871">
                  <c:v>107.51479999999999</c:v>
                </c:pt>
                <c:pt idx="1872">
                  <c:v>107.1768</c:v>
                </c:pt>
                <c:pt idx="1873">
                  <c:v>107.15819999999999</c:v>
                </c:pt>
                <c:pt idx="1874">
                  <c:v>107.2414</c:v>
                </c:pt>
                <c:pt idx="1875">
                  <c:v>107.3597</c:v>
                </c:pt>
                <c:pt idx="1876">
                  <c:v>107.51609999999999</c:v>
                </c:pt>
                <c:pt idx="1877">
                  <c:v>107.68429999999999</c:v>
                </c:pt>
                <c:pt idx="1878">
                  <c:v>107.7508</c:v>
                </c:pt>
                <c:pt idx="1879">
                  <c:v>107.625</c:v>
                </c:pt>
                <c:pt idx="1880">
                  <c:v>107.5932</c:v>
                </c:pt>
                <c:pt idx="1881">
                  <c:v>107.51390000000001</c:v>
                </c:pt>
                <c:pt idx="1882">
                  <c:v>107.8137</c:v>
                </c:pt>
                <c:pt idx="1883">
                  <c:v>108.24469999999999</c:v>
                </c:pt>
                <c:pt idx="1884">
                  <c:v>108.28630000000001</c:v>
                </c:pt>
                <c:pt idx="1885">
                  <c:v>108.3706</c:v>
                </c:pt>
                <c:pt idx="1886">
                  <c:v>108.473</c:v>
                </c:pt>
                <c:pt idx="1887">
                  <c:v>108.4653</c:v>
                </c:pt>
                <c:pt idx="1888">
                  <c:v>108.53919999999999</c:v>
                </c:pt>
                <c:pt idx="1889">
                  <c:v>108.51309999999999</c:v>
                </c:pt>
                <c:pt idx="1890">
                  <c:v>108.5827</c:v>
                </c:pt>
                <c:pt idx="1891">
                  <c:v>108.56659999999999</c:v>
                </c:pt>
                <c:pt idx="1892">
                  <c:v>108.55929999999999</c:v>
                </c:pt>
                <c:pt idx="1893">
                  <c:v>108.4063</c:v>
                </c:pt>
                <c:pt idx="1894">
                  <c:v>108.3171</c:v>
                </c:pt>
                <c:pt idx="1895">
                  <c:v>108.32550000000001</c:v>
                </c:pt>
                <c:pt idx="1896">
                  <c:v>108.1707</c:v>
                </c:pt>
                <c:pt idx="1897">
                  <c:v>107.9243</c:v>
                </c:pt>
                <c:pt idx="1898">
                  <c:v>107.3509</c:v>
                </c:pt>
                <c:pt idx="1899">
                  <c:v>107.35360000000001</c:v>
                </c:pt>
                <c:pt idx="1900">
                  <c:v>107.1972</c:v>
                </c:pt>
                <c:pt idx="1901">
                  <c:v>107.2499</c:v>
                </c:pt>
                <c:pt idx="1902">
                  <c:v>107.15430000000001</c:v>
                </c:pt>
                <c:pt idx="1903">
                  <c:v>107.05110000000001</c:v>
                </c:pt>
                <c:pt idx="1904">
                  <c:v>106.82660000000001</c:v>
                </c:pt>
                <c:pt idx="1905">
                  <c:v>106.69920000000002</c:v>
                </c:pt>
                <c:pt idx="1906">
                  <c:v>106.3865</c:v>
                </c:pt>
                <c:pt idx="1907">
                  <c:v>106.3293</c:v>
                </c:pt>
                <c:pt idx="1908">
                  <c:v>106.27460000000001</c:v>
                </c:pt>
                <c:pt idx="1909">
                  <c:v>106.0919</c:v>
                </c:pt>
                <c:pt idx="1910">
                  <c:v>106.09059999999999</c:v>
                </c:pt>
                <c:pt idx="1911">
                  <c:v>105.68989999999999</c:v>
                </c:pt>
                <c:pt idx="1912">
                  <c:v>105.6593</c:v>
                </c:pt>
                <c:pt idx="1913">
                  <c:v>105.6794</c:v>
                </c:pt>
                <c:pt idx="1914">
                  <c:v>105.6545</c:v>
                </c:pt>
                <c:pt idx="1915">
                  <c:v>105.49550000000001</c:v>
                </c:pt>
                <c:pt idx="1916">
                  <c:v>105.94710000000001</c:v>
                </c:pt>
                <c:pt idx="1917">
                  <c:v>105.85760000000001</c:v>
                </c:pt>
                <c:pt idx="1918">
                  <c:v>105.47750000000001</c:v>
                </c:pt>
                <c:pt idx="1919">
                  <c:v>105.47080000000001</c:v>
                </c:pt>
                <c:pt idx="1920">
                  <c:v>105.4983</c:v>
                </c:pt>
                <c:pt idx="1921">
                  <c:v>105.29989999999999</c:v>
                </c:pt>
                <c:pt idx="1922">
                  <c:v>105.31610000000001</c:v>
                </c:pt>
                <c:pt idx="1923">
                  <c:v>105.49180000000001</c:v>
                </c:pt>
                <c:pt idx="1924">
                  <c:v>105.4817</c:v>
                </c:pt>
                <c:pt idx="1925">
                  <c:v>105.61579999999999</c:v>
                </c:pt>
                <c:pt idx="1926">
                  <c:v>105.4569</c:v>
                </c:pt>
                <c:pt idx="1927">
                  <c:v>105.5341</c:v>
                </c:pt>
                <c:pt idx="1928">
                  <c:v>105.51819999999999</c:v>
                </c:pt>
                <c:pt idx="1929">
                  <c:v>105.51650000000001</c:v>
                </c:pt>
                <c:pt idx="1930">
                  <c:v>105.2236</c:v>
                </c:pt>
                <c:pt idx="1931">
                  <c:v>105.45340000000002</c:v>
                </c:pt>
                <c:pt idx="1932">
                  <c:v>105.6972</c:v>
                </c:pt>
                <c:pt idx="1933">
                  <c:v>105.47860000000001</c:v>
                </c:pt>
                <c:pt idx="1934">
                  <c:v>105.5009</c:v>
                </c:pt>
                <c:pt idx="1935">
                  <c:v>105.38070000000002</c:v>
                </c:pt>
                <c:pt idx="1936">
                  <c:v>105.345</c:v>
                </c:pt>
                <c:pt idx="1937">
                  <c:v>105.5527</c:v>
                </c:pt>
                <c:pt idx="1938">
                  <c:v>105.41930000000001</c:v>
                </c:pt>
                <c:pt idx="1939">
                  <c:v>105.5497</c:v>
                </c:pt>
                <c:pt idx="1940">
                  <c:v>105.4794</c:v>
                </c:pt>
                <c:pt idx="1941">
                  <c:v>105.35550000000001</c:v>
                </c:pt>
                <c:pt idx="1942">
                  <c:v>105.4662</c:v>
                </c:pt>
                <c:pt idx="1943">
                  <c:v>105.4165</c:v>
                </c:pt>
                <c:pt idx="1944">
                  <c:v>105.53100000000001</c:v>
                </c:pt>
                <c:pt idx="1945">
                  <c:v>105.542</c:v>
                </c:pt>
                <c:pt idx="1946">
                  <c:v>105.4889</c:v>
                </c:pt>
                <c:pt idx="1947">
                  <c:v>105.38720000000001</c:v>
                </c:pt>
                <c:pt idx="1948">
                  <c:v>105.42150000000001</c:v>
                </c:pt>
                <c:pt idx="1949">
                  <c:v>105.5012</c:v>
                </c:pt>
                <c:pt idx="1950">
                  <c:v>105.5518</c:v>
                </c:pt>
                <c:pt idx="1951">
                  <c:v>105.6922</c:v>
                </c:pt>
                <c:pt idx="1952">
                  <c:v>105.6187</c:v>
                </c:pt>
                <c:pt idx="1953">
                  <c:v>105.4601</c:v>
                </c:pt>
                <c:pt idx="1954">
                  <c:v>105.4152</c:v>
                </c:pt>
                <c:pt idx="1955">
                  <c:v>105.44440000000002</c:v>
                </c:pt>
                <c:pt idx="1956">
                  <c:v>105.4136</c:v>
                </c:pt>
                <c:pt idx="1957">
                  <c:v>105.369</c:v>
                </c:pt>
                <c:pt idx="1958">
                  <c:v>105.2129</c:v>
                </c:pt>
                <c:pt idx="1959">
                  <c:v>105.3972</c:v>
                </c:pt>
                <c:pt idx="1960">
                  <c:v>105.38850000000001</c:v>
                </c:pt>
                <c:pt idx="1961">
                  <c:v>105.251</c:v>
                </c:pt>
                <c:pt idx="1962">
                  <c:v>105.1507</c:v>
                </c:pt>
                <c:pt idx="1963">
                  <c:v>104.87560000000001</c:v>
                </c:pt>
                <c:pt idx="1964">
                  <c:v>104.8498</c:v>
                </c:pt>
                <c:pt idx="1965">
                  <c:v>104.83369999999999</c:v>
                </c:pt>
                <c:pt idx="1966">
                  <c:v>104.8725</c:v>
                </c:pt>
                <c:pt idx="1967">
                  <c:v>104.8817</c:v>
                </c:pt>
                <c:pt idx="1968">
                  <c:v>104.9641</c:v>
                </c:pt>
                <c:pt idx="1969">
                  <c:v>104.8323</c:v>
                </c:pt>
                <c:pt idx="1970">
                  <c:v>104.8751</c:v>
                </c:pt>
                <c:pt idx="1971">
                  <c:v>104.8445</c:v>
                </c:pt>
                <c:pt idx="1972">
                  <c:v>104.80410000000001</c:v>
                </c:pt>
                <c:pt idx="1973">
                  <c:v>104.9038</c:v>
                </c:pt>
                <c:pt idx="1974">
                  <c:v>105.0361</c:v>
                </c:pt>
                <c:pt idx="1975">
                  <c:v>104.9633</c:v>
                </c:pt>
                <c:pt idx="1976">
                  <c:v>104.93510000000001</c:v>
                </c:pt>
                <c:pt idx="1977">
                  <c:v>104.9782</c:v>
                </c:pt>
                <c:pt idx="1978">
                  <c:v>104.88639999999999</c:v>
                </c:pt>
                <c:pt idx="1979">
                  <c:v>104.9157</c:v>
                </c:pt>
                <c:pt idx="1980">
                  <c:v>104.9165</c:v>
                </c:pt>
                <c:pt idx="1981">
                  <c:v>104.89409999999999</c:v>
                </c:pt>
                <c:pt idx="1982">
                  <c:v>104.49160000000001</c:v>
                </c:pt>
                <c:pt idx="1983">
                  <c:v>104.334</c:v>
                </c:pt>
                <c:pt idx="1984">
                  <c:v>103.1895</c:v>
                </c:pt>
                <c:pt idx="1985">
                  <c:v>102.9812</c:v>
                </c:pt>
                <c:pt idx="1986">
                  <c:v>102.97320000000002</c:v>
                </c:pt>
                <c:pt idx="1987">
                  <c:v>101.381</c:v>
                </c:pt>
                <c:pt idx="1988">
                  <c:v>100.3519</c:v>
                </c:pt>
                <c:pt idx="1989">
                  <c:v>98.495400000000018</c:v>
                </c:pt>
                <c:pt idx="1990">
                  <c:v>98.959000000000003</c:v>
                </c:pt>
                <c:pt idx="1991">
                  <c:v>99.011399999999995</c:v>
                </c:pt>
                <c:pt idx="1992">
                  <c:v>99.282300000000006</c:v>
                </c:pt>
                <c:pt idx="1993">
                  <c:v>99.205600000000004</c:v>
                </c:pt>
                <c:pt idx="1994">
                  <c:v>99.129500000000007</c:v>
                </c:pt>
                <c:pt idx="1995">
                  <c:v>99.040300000000002</c:v>
                </c:pt>
                <c:pt idx="1996">
                  <c:v>98.798699999999997</c:v>
                </c:pt>
                <c:pt idx="1997">
                  <c:v>98.270700000000019</c:v>
                </c:pt>
                <c:pt idx="1998">
                  <c:v>98.197199999999995</c:v>
                </c:pt>
                <c:pt idx="1999">
                  <c:v>98.076499999999996</c:v>
                </c:pt>
                <c:pt idx="2000">
                  <c:v>97.944900000000004</c:v>
                </c:pt>
                <c:pt idx="2001">
                  <c:v>97.891900000000007</c:v>
                </c:pt>
                <c:pt idx="2002">
                  <c:v>97.608599999999996</c:v>
                </c:pt>
                <c:pt idx="2003">
                  <c:v>97.865799999999993</c:v>
                </c:pt>
                <c:pt idx="2004">
                  <c:v>97.868499999999997</c:v>
                </c:pt>
                <c:pt idx="2005">
                  <c:v>98.030500000000004</c:v>
                </c:pt>
                <c:pt idx="2006">
                  <c:v>98.04770000000002</c:v>
                </c:pt>
                <c:pt idx="2007">
                  <c:v>97.985299999999995</c:v>
                </c:pt>
                <c:pt idx="2008">
                  <c:v>98.1267</c:v>
                </c:pt>
                <c:pt idx="2009">
                  <c:v>98.186000000000007</c:v>
                </c:pt>
                <c:pt idx="2010">
                  <c:v>98.182299999999998</c:v>
                </c:pt>
                <c:pt idx="2011">
                  <c:v>98.160100000000014</c:v>
                </c:pt>
                <c:pt idx="2012">
                  <c:v>98.143199999999993</c:v>
                </c:pt>
                <c:pt idx="2013">
                  <c:v>98.127499999999998</c:v>
                </c:pt>
                <c:pt idx="2014">
                  <c:v>98.119200000000021</c:v>
                </c:pt>
                <c:pt idx="2015">
                  <c:v>98.142300000000006</c:v>
                </c:pt>
                <c:pt idx="2016">
                  <c:v>97.746499999999997</c:v>
                </c:pt>
                <c:pt idx="2017">
                  <c:v>97.525000000000006</c:v>
                </c:pt>
                <c:pt idx="2018">
                  <c:v>97.285899999999998</c:v>
                </c:pt>
                <c:pt idx="2019">
                  <c:v>97.104100000000003</c:v>
                </c:pt>
                <c:pt idx="2020">
                  <c:v>96.978000000000009</c:v>
                </c:pt>
                <c:pt idx="2021">
                  <c:v>96.641599999999997</c:v>
                </c:pt>
                <c:pt idx="2022">
                  <c:v>96.197900000000004</c:v>
                </c:pt>
                <c:pt idx="2023">
                  <c:v>96.188699999999997</c:v>
                </c:pt>
                <c:pt idx="2024">
                  <c:v>96.390300000000011</c:v>
                </c:pt>
                <c:pt idx="2025">
                  <c:v>96.623000000000005</c:v>
                </c:pt>
                <c:pt idx="2026">
                  <c:v>97.172600000000003</c:v>
                </c:pt>
                <c:pt idx="2027">
                  <c:v>97.138300000000001</c:v>
                </c:pt>
                <c:pt idx="2028">
                  <c:v>97.199700000000007</c:v>
                </c:pt>
                <c:pt idx="2029">
                  <c:v>97.434899999999999</c:v>
                </c:pt>
                <c:pt idx="2030">
                  <c:v>97.635400000000004</c:v>
                </c:pt>
                <c:pt idx="2031">
                  <c:v>97.616900000000001</c:v>
                </c:pt>
                <c:pt idx="2032">
                  <c:v>97.949600000000004</c:v>
                </c:pt>
                <c:pt idx="2033">
                  <c:v>98.090400000000017</c:v>
                </c:pt>
                <c:pt idx="2034">
                  <c:v>98.084199999999996</c:v>
                </c:pt>
                <c:pt idx="2035">
                  <c:v>98.135999999999996</c:v>
                </c:pt>
                <c:pt idx="2036">
                  <c:v>98.148100000000014</c:v>
                </c:pt>
                <c:pt idx="2037">
                  <c:v>98.334199999999996</c:v>
                </c:pt>
                <c:pt idx="2038">
                  <c:v>98.544899999999998</c:v>
                </c:pt>
                <c:pt idx="2039">
                  <c:v>98.633600000000001</c:v>
                </c:pt>
                <c:pt idx="2040">
                  <c:v>98.702800000000011</c:v>
                </c:pt>
                <c:pt idx="2041">
                  <c:v>98.73220000000002</c:v>
                </c:pt>
                <c:pt idx="2042">
                  <c:v>98.809700000000021</c:v>
                </c:pt>
                <c:pt idx="2043">
                  <c:v>98.826499999999996</c:v>
                </c:pt>
                <c:pt idx="2044">
                  <c:v>98.707999999999998</c:v>
                </c:pt>
                <c:pt idx="2045">
                  <c:v>98.359899999999996</c:v>
                </c:pt>
                <c:pt idx="2046">
                  <c:v>98.593400000000017</c:v>
                </c:pt>
                <c:pt idx="2047">
                  <c:v>98.527600000000007</c:v>
                </c:pt>
                <c:pt idx="2048">
                  <c:v>98.631699999999995</c:v>
                </c:pt>
                <c:pt idx="2049">
                  <c:v>98.589500000000001</c:v>
                </c:pt>
                <c:pt idx="2050">
                  <c:v>98.538600000000002</c:v>
                </c:pt>
                <c:pt idx="2051">
                  <c:v>98.674099999999996</c:v>
                </c:pt>
                <c:pt idx="2052">
                  <c:v>98.677199999999999</c:v>
                </c:pt>
                <c:pt idx="2053">
                  <c:v>98.65470000000002</c:v>
                </c:pt>
                <c:pt idx="2054">
                  <c:v>98.359899999999996</c:v>
                </c:pt>
                <c:pt idx="2055">
                  <c:v>98.336200000000019</c:v>
                </c:pt>
                <c:pt idx="2056">
                  <c:v>98.350600000000014</c:v>
                </c:pt>
                <c:pt idx="2057">
                  <c:v>98.613900000000001</c:v>
                </c:pt>
                <c:pt idx="2058">
                  <c:v>98.753600000000006</c:v>
                </c:pt>
                <c:pt idx="2059">
                  <c:v>98.7834</c:v>
                </c:pt>
                <c:pt idx="2060">
                  <c:v>98.811800000000005</c:v>
                </c:pt>
                <c:pt idx="2061">
                  <c:v>98.835899999999995</c:v>
                </c:pt>
                <c:pt idx="2062">
                  <c:v>98.8489</c:v>
                </c:pt>
                <c:pt idx="2063">
                  <c:v>98.90470000000002</c:v>
                </c:pt>
                <c:pt idx="2064">
                  <c:v>98.852599999999995</c:v>
                </c:pt>
                <c:pt idx="2065">
                  <c:v>98.725600000000014</c:v>
                </c:pt>
                <c:pt idx="2066">
                  <c:v>98.724100000000007</c:v>
                </c:pt>
                <c:pt idx="2067">
                  <c:v>98.701600000000013</c:v>
                </c:pt>
                <c:pt idx="2068">
                  <c:v>98.724500000000006</c:v>
                </c:pt>
                <c:pt idx="2069">
                  <c:v>98.719700000000003</c:v>
                </c:pt>
                <c:pt idx="2070">
                  <c:v>98.728000000000009</c:v>
                </c:pt>
                <c:pt idx="2071">
                  <c:v>98.597800000000007</c:v>
                </c:pt>
                <c:pt idx="2072">
                  <c:v>98.657600000000002</c:v>
                </c:pt>
                <c:pt idx="2073">
                  <c:v>98.503900000000016</c:v>
                </c:pt>
                <c:pt idx="2074">
                  <c:v>98.528400000000005</c:v>
                </c:pt>
                <c:pt idx="2075">
                  <c:v>98.469600000000014</c:v>
                </c:pt>
                <c:pt idx="2076">
                  <c:v>98.422899999999998</c:v>
                </c:pt>
                <c:pt idx="2077">
                  <c:v>98.492500000000007</c:v>
                </c:pt>
                <c:pt idx="2078">
                  <c:v>98.571100000000001</c:v>
                </c:pt>
                <c:pt idx="2079">
                  <c:v>98.571399999999997</c:v>
                </c:pt>
                <c:pt idx="2080">
                  <c:v>98.584500000000006</c:v>
                </c:pt>
                <c:pt idx="2081">
                  <c:v>98.447199999999995</c:v>
                </c:pt>
                <c:pt idx="2082">
                  <c:v>98.425799999999995</c:v>
                </c:pt>
                <c:pt idx="2083">
                  <c:v>98.406400000000005</c:v>
                </c:pt>
                <c:pt idx="2084">
                  <c:v>98.4392</c:v>
                </c:pt>
                <c:pt idx="2085">
                  <c:v>98.653199999999998</c:v>
                </c:pt>
                <c:pt idx="2086">
                  <c:v>98.470399999999998</c:v>
                </c:pt>
                <c:pt idx="2087">
                  <c:v>98.303700000000021</c:v>
                </c:pt>
                <c:pt idx="2088">
                  <c:v>98.355800000000002</c:v>
                </c:pt>
                <c:pt idx="2089">
                  <c:v>98.323099999999997</c:v>
                </c:pt>
                <c:pt idx="2090">
                  <c:v>98.354900000000001</c:v>
                </c:pt>
                <c:pt idx="2091">
                  <c:v>98.383499999999998</c:v>
                </c:pt>
                <c:pt idx="2092">
                  <c:v>98.531899999999993</c:v>
                </c:pt>
                <c:pt idx="2093">
                  <c:v>98.57480000000001</c:v>
                </c:pt>
                <c:pt idx="2094">
                  <c:v>98.680400000000006</c:v>
                </c:pt>
                <c:pt idx="2095">
                  <c:v>98.679400000000001</c:v>
                </c:pt>
                <c:pt idx="2096">
                  <c:v>98.635900000000007</c:v>
                </c:pt>
                <c:pt idx="2097">
                  <c:v>98.670300000000012</c:v>
                </c:pt>
                <c:pt idx="2098">
                  <c:v>98.706400000000016</c:v>
                </c:pt>
                <c:pt idx="2099">
                  <c:v>98.784999999999997</c:v>
                </c:pt>
                <c:pt idx="2100">
                  <c:v>98.627700000000019</c:v>
                </c:pt>
                <c:pt idx="2101">
                  <c:v>98.612099999999998</c:v>
                </c:pt>
                <c:pt idx="2102">
                  <c:v>98.589299999999994</c:v>
                </c:pt>
                <c:pt idx="2103">
                  <c:v>98.650300000000001</c:v>
                </c:pt>
                <c:pt idx="2104">
                  <c:v>98.685400000000001</c:v>
                </c:pt>
                <c:pt idx="2105">
                  <c:v>98.683700000000002</c:v>
                </c:pt>
                <c:pt idx="2106">
                  <c:v>98.772999999999996</c:v>
                </c:pt>
                <c:pt idx="2107">
                  <c:v>98.806299999999993</c:v>
                </c:pt>
                <c:pt idx="2108">
                  <c:v>98.753100000000003</c:v>
                </c:pt>
                <c:pt idx="2109">
                  <c:v>98.674899999999994</c:v>
                </c:pt>
                <c:pt idx="2110">
                  <c:v>98.724900000000005</c:v>
                </c:pt>
                <c:pt idx="2111">
                  <c:v>98.749100000000013</c:v>
                </c:pt>
                <c:pt idx="2112">
                  <c:v>98.701099999999997</c:v>
                </c:pt>
                <c:pt idx="2113">
                  <c:v>98.741600000000005</c:v>
                </c:pt>
                <c:pt idx="2114">
                  <c:v>98.775899999999993</c:v>
                </c:pt>
                <c:pt idx="2115">
                  <c:v>98.770899999999997</c:v>
                </c:pt>
                <c:pt idx="2116">
                  <c:v>98.768600000000006</c:v>
                </c:pt>
                <c:pt idx="2117">
                  <c:v>98.791300000000007</c:v>
                </c:pt>
                <c:pt idx="2118">
                  <c:v>98.014399999999995</c:v>
                </c:pt>
                <c:pt idx="2119">
                  <c:v>97.975000000000009</c:v>
                </c:pt>
                <c:pt idx="2120">
                  <c:v>98.795599999999993</c:v>
                </c:pt>
                <c:pt idx="2121">
                  <c:v>98.780100000000004</c:v>
                </c:pt>
                <c:pt idx="2122">
                  <c:v>98.784300000000002</c:v>
                </c:pt>
                <c:pt idx="2123">
                  <c:v>98.731899999999996</c:v>
                </c:pt>
                <c:pt idx="2124">
                  <c:v>98.719899999999996</c:v>
                </c:pt>
                <c:pt idx="2125">
                  <c:v>98.734099999999998</c:v>
                </c:pt>
                <c:pt idx="2126">
                  <c:v>98.681299999999993</c:v>
                </c:pt>
                <c:pt idx="2127">
                  <c:v>98.772599999999997</c:v>
                </c:pt>
                <c:pt idx="2128">
                  <c:v>98.804000000000002</c:v>
                </c:pt>
                <c:pt idx="2129">
                  <c:v>98.762799999999999</c:v>
                </c:pt>
                <c:pt idx="2130">
                  <c:v>98.75330000000001</c:v>
                </c:pt>
                <c:pt idx="2131">
                  <c:v>98.742999999999995</c:v>
                </c:pt>
                <c:pt idx="2132">
                  <c:v>98.749600000000001</c:v>
                </c:pt>
                <c:pt idx="2133">
                  <c:v>98.762600000000006</c:v>
                </c:pt>
                <c:pt idx="2134">
                  <c:v>98.799199999999999</c:v>
                </c:pt>
                <c:pt idx="2135">
                  <c:v>98.835899999999995</c:v>
                </c:pt>
                <c:pt idx="2136">
                  <c:v>98.824100000000001</c:v>
                </c:pt>
                <c:pt idx="2137">
                  <c:v>98.863900000000001</c:v>
                </c:pt>
                <c:pt idx="2138">
                  <c:v>98.803799999999995</c:v>
                </c:pt>
                <c:pt idx="2139">
                  <c:v>98.848800000000011</c:v>
                </c:pt>
                <c:pt idx="2140">
                  <c:v>98.820999999999998</c:v>
                </c:pt>
                <c:pt idx="2141">
                  <c:v>98.967800000000011</c:v>
                </c:pt>
                <c:pt idx="2142">
                  <c:v>99.016400000000004</c:v>
                </c:pt>
                <c:pt idx="2143">
                  <c:v>99.294200000000004</c:v>
                </c:pt>
                <c:pt idx="2144">
                  <c:v>99.4422</c:v>
                </c:pt>
                <c:pt idx="2145">
                  <c:v>99.823600000000013</c:v>
                </c:pt>
                <c:pt idx="2146">
                  <c:v>99.874799999999993</c:v>
                </c:pt>
                <c:pt idx="2147">
                  <c:v>99.883100000000013</c:v>
                </c:pt>
                <c:pt idx="2148">
                  <c:v>99.964800000000011</c:v>
                </c:pt>
                <c:pt idx="2149">
                  <c:v>100.29819999999999</c:v>
                </c:pt>
                <c:pt idx="2150">
                  <c:v>100.8764</c:v>
                </c:pt>
                <c:pt idx="2151">
                  <c:v>100.9181</c:v>
                </c:pt>
                <c:pt idx="2152">
                  <c:v>101.2449</c:v>
                </c:pt>
                <c:pt idx="2153">
                  <c:v>101.217</c:v>
                </c:pt>
                <c:pt idx="2154">
                  <c:v>101.3265</c:v>
                </c:pt>
                <c:pt idx="2155">
                  <c:v>101.1862</c:v>
                </c:pt>
                <c:pt idx="2156">
                  <c:v>101.7681</c:v>
                </c:pt>
                <c:pt idx="2157">
                  <c:v>101.3683</c:v>
                </c:pt>
                <c:pt idx="2158">
                  <c:v>101.86190000000001</c:v>
                </c:pt>
                <c:pt idx="2159">
                  <c:v>101.687</c:v>
                </c:pt>
                <c:pt idx="2160">
                  <c:v>101.77200000000001</c:v>
                </c:pt>
                <c:pt idx="2161">
                  <c:v>101.8052</c:v>
                </c:pt>
                <c:pt idx="2162">
                  <c:v>102.20820000000002</c:v>
                </c:pt>
                <c:pt idx="2163">
                  <c:v>102.16370000000002</c:v>
                </c:pt>
                <c:pt idx="2164">
                  <c:v>102.1915</c:v>
                </c:pt>
                <c:pt idx="2165">
                  <c:v>102.7032</c:v>
                </c:pt>
                <c:pt idx="2166">
                  <c:v>102.12479999999999</c:v>
                </c:pt>
                <c:pt idx="2167">
                  <c:v>102.29410000000001</c:v>
                </c:pt>
                <c:pt idx="2168">
                  <c:v>102.06880000000001</c:v>
                </c:pt>
                <c:pt idx="2169">
                  <c:v>102.0744</c:v>
                </c:pt>
                <c:pt idx="2170">
                  <c:v>101.8635</c:v>
                </c:pt>
                <c:pt idx="2171">
                  <c:v>102.1093</c:v>
                </c:pt>
                <c:pt idx="2172">
                  <c:v>102.2055</c:v>
                </c:pt>
                <c:pt idx="2173">
                  <c:v>102.27130000000001</c:v>
                </c:pt>
                <c:pt idx="2174">
                  <c:v>102.28210000000001</c:v>
                </c:pt>
                <c:pt idx="2175">
                  <c:v>102.31659999999999</c:v>
                </c:pt>
                <c:pt idx="2176">
                  <c:v>102.78930000000001</c:v>
                </c:pt>
                <c:pt idx="2177">
                  <c:v>102.735</c:v>
                </c:pt>
                <c:pt idx="2178">
                  <c:v>103.1247</c:v>
                </c:pt>
                <c:pt idx="2179">
                  <c:v>102.57680000000001</c:v>
                </c:pt>
                <c:pt idx="2180">
                  <c:v>102.7409</c:v>
                </c:pt>
                <c:pt idx="2181">
                  <c:v>102.6095</c:v>
                </c:pt>
                <c:pt idx="2182">
                  <c:v>102.78690000000002</c:v>
                </c:pt>
                <c:pt idx="2183">
                  <c:v>102.76139999999999</c:v>
                </c:pt>
                <c:pt idx="2184">
                  <c:v>102.801</c:v>
                </c:pt>
                <c:pt idx="2185">
                  <c:v>102.953</c:v>
                </c:pt>
                <c:pt idx="2186">
                  <c:v>102.62950000000001</c:v>
                </c:pt>
                <c:pt idx="2187">
                  <c:v>102.9002</c:v>
                </c:pt>
                <c:pt idx="2188">
                  <c:v>102.80970000000002</c:v>
                </c:pt>
                <c:pt idx="2189">
                  <c:v>103.1035</c:v>
                </c:pt>
                <c:pt idx="2190">
                  <c:v>102.78830000000001</c:v>
                </c:pt>
                <c:pt idx="2191">
                  <c:v>102.55410000000001</c:v>
                </c:pt>
                <c:pt idx="2192">
                  <c:v>102.4969</c:v>
                </c:pt>
                <c:pt idx="2193">
                  <c:v>102.57940000000001</c:v>
                </c:pt>
                <c:pt idx="2194">
                  <c:v>102.4838</c:v>
                </c:pt>
                <c:pt idx="2195">
                  <c:v>102.503</c:v>
                </c:pt>
                <c:pt idx="2196">
                  <c:v>103.0484</c:v>
                </c:pt>
                <c:pt idx="2197">
                  <c:v>102.3018</c:v>
                </c:pt>
                <c:pt idx="2198">
                  <c:v>102.35600000000001</c:v>
                </c:pt>
                <c:pt idx="2199">
                  <c:v>102.3207</c:v>
                </c:pt>
                <c:pt idx="2200">
                  <c:v>102.77970000000002</c:v>
                </c:pt>
                <c:pt idx="2201">
                  <c:v>102.7739</c:v>
                </c:pt>
                <c:pt idx="2202">
                  <c:v>102.90710000000001</c:v>
                </c:pt>
                <c:pt idx="2203">
                  <c:v>102.96429999999999</c:v>
                </c:pt>
                <c:pt idx="2204">
                  <c:v>102.6927</c:v>
                </c:pt>
                <c:pt idx="2205">
                  <c:v>102.902</c:v>
                </c:pt>
                <c:pt idx="2206">
                  <c:v>102.2847</c:v>
                </c:pt>
                <c:pt idx="2207">
                  <c:v>102.61669999999999</c:v>
                </c:pt>
                <c:pt idx="2208">
                  <c:v>102.6891</c:v>
                </c:pt>
                <c:pt idx="2209">
                  <c:v>102.79950000000001</c:v>
                </c:pt>
                <c:pt idx="2210">
                  <c:v>102.8732</c:v>
                </c:pt>
                <c:pt idx="2211">
                  <c:v>102.877</c:v>
                </c:pt>
                <c:pt idx="2212">
                  <c:v>103.07559999999999</c:v>
                </c:pt>
                <c:pt idx="2213">
                  <c:v>102.8922</c:v>
                </c:pt>
                <c:pt idx="2214">
                  <c:v>102.98700000000001</c:v>
                </c:pt>
                <c:pt idx="2215">
                  <c:v>103.0184</c:v>
                </c:pt>
                <c:pt idx="2216">
                  <c:v>102.9932</c:v>
                </c:pt>
                <c:pt idx="2217">
                  <c:v>102.8647</c:v>
                </c:pt>
                <c:pt idx="2218">
                  <c:v>102.8124</c:v>
                </c:pt>
                <c:pt idx="2219">
                  <c:v>102.85000000000001</c:v>
                </c:pt>
                <c:pt idx="2220">
                  <c:v>103.37869999999999</c:v>
                </c:pt>
                <c:pt idx="2221">
                  <c:v>102.94020000000002</c:v>
                </c:pt>
                <c:pt idx="2222">
                  <c:v>103.10429999999999</c:v>
                </c:pt>
                <c:pt idx="2223">
                  <c:v>102.8907</c:v>
                </c:pt>
                <c:pt idx="2224">
                  <c:v>103.03400000000001</c:v>
                </c:pt>
                <c:pt idx="2225">
                  <c:v>103.05540000000001</c:v>
                </c:pt>
                <c:pt idx="2226">
                  <c:v>102.7366</c:v>
                </c:pt>
                <c:pt idx="2227">
                  <c:v>102.7273</c:v>
                </c:pt>
                <c:pt idx="2228">
                  <c:v>102.9139</c:v>
                </c:pt>
                <c:pt idx="2229">
                  <c:v>102.31619999999999</c:v>
                </c:pt>
                <c:pt idx="2230">
                  <c:v>102.352</c:v>
                </c:pt>
                <c:pt idx="2231">
                  <c:v>101.7538</c:v>
                </c:pt>
                <c:pt idx="2232">
                  <c:v>101.6606</c:v>
                </c:pt>
                <c:pt idx="2233">
                  <c:v>101.48909999999999</c:v>
                </c:pt>
                <c:pt idx="2234">
                  <c:v>101.80500000000001</c:v>
                </c:pt>
                <c:pt idx="2235">
                  <c:v>101.60250000000001</c:v>
                </c:pt>
                <c:pt idx="2236">
                  <c:v>101.697</c:v>
                </c:pt>
                <c:pt idx="2237">
                  <c:v>101.66</c:v>
                </c:pt>
                <c:pt idx="2238">
                  <c:v>101.41289999999999</c:v>
                </c:pt>
                <c:pt idx="2239">
                  <c:v>101.92910000000001</c:v>
                </c:pt>
                <c:pt idx="2240">
                  <c:v>101.6164</c:v>
                </c:pt>
                <c:pt idx="2241">
                  <c:v>101.7362</c:v>
                </c:pt>
                <c:pt idx="2242">
                  <c:v>101.5334</c:v>
                </c:pt>
                <c:pt idx="2243">
                  <c:v>101.6309</c:v>
                </c:pt>
                <c:pt idx="2244">
                  <c:v>101.60720000000002</c:v>
                </c:pt>
                <c:pt idx="2245">
                  <c:v>101.63890000000001</c:v>
                </c:pt>
                <c:pt idx="2246">
                  <c:v>101.54040000000001</c:v>
                </c:pt>
                <c:pt idx="2247">
                  <c:v>101.6275</c:v>
                </c:pt>
                <c:pt idx="2248">
                  <c:v>101.5667</c:v>
                </c:pt>
                <c:pt idx="2249">
                  <c:v>101.6973</c:v>
                </c:pt>
                <c:pt idx="2250">
                  <c:v>101.7624</c:v>
                </c:pt>
                <c:pt idx="2251">
                  <c:v>101.82470000000001</c:v>
                </c:pt>
                <c:pt idx="2252">
                  <c:v>102.02500000000001</c:v>
                </c:pt>
                <c:pt idx="2253">
                  <c:v>101.91840000000001</c:v>
                </c:pt>
                <c:pt idx="2254">
                  <c:v>101.77200000000001</c:v>
                </c:pt>
                <c:pt idx="2255">
                  <c:v>101.60129999999999</c:v>
                </c:pt>
                <c:pt idx="2256">
                  <c:v>101.52679999999999</c:v>
                </c:pt>
                <c:pt idx="2257">
                  <c:v>101.58369999999999</c:v>
                </c:pt>
                <c:pt idx="2258">
                  <c:v>101.48040000000002</c:v>
                </c:pt>
                <c:pt idx="2259">
                  <c:v>101.62779999999999</c:v>
                </c:pt>
                <c:pt idx="2260">
                  <c:v>101.3156</c:v>
                </c:pt>
                <c:pt idx="2261">
                  <c:v>101.11360000000001</c:v>
                </c:pt>
                <c:pt idx="2262">
                  <c:v>100.5455</c:v>
                </c:pt>
                <c:pt idx="2263">
                  <c:v>100.79170000000002</c:v>
                </c:pt>
                <c:pt idx="2264">
                  <c:v>100.46850000000001</c:v>
                </c:pt>
                <c:pt idx="2265">
                  <c:v>100.59180000000001</c:v>
                </c:pt>
                <c:pt idx="2266">
                  <c:v>100.6088</c:v>
                </c:pt>
                <c:pt idx="2267">
                  <c:v>100.3818</c:v>
                </c:pt>
                <c:pt idx="2268">
                  <c:v>100.47669999999999</c:v>
                </c:pt>
                <c:pt idx="2269">
                  <c:v>100.69020000000002</c:v>
                </c:pt>
                <c:pt idx="2270">
                  <c:v>100.489</c:v>
                </c:pt>
                <c:pt idx="2271">
                  <c:v>100.44240000000001</c:v>
                </c:pt>
                <c:pt idx="2272">
                  <c:v>100.3186</c:v>
                </c:pt>
                <c:pt idx="2273">
                  <c:v>99.899199999999993</c:v>
                </c:pt>
                <c:pt idx="2274">
                  <c:v>100.3317</c:v>
                </c:pt>
                <c:pt idx="2275">
                  <c:v>100.65050000000001</c:v>
                </c:pt>
                <c:pt idx="2276">
                  <c:v>100.5895</c:v>
                </c:pt>
                <c:pt idx="2277">
                  <c:v>100.55240000000001</c:v>
                </c:pt>
                <c:pt idx="2278">
                  <c:v>100.70869999999999</c:v>
                </c:pt>
                <c:pt idx="2279">
                  <c:v>100.7787</c:v>
                </c:pt>
                <c:pt idx="2280">
                  <c:v>100.78579999999999</c:v>
                </c:pt>
                <c:pt idx="2281">
                  <c:v>101.01179999999999</c:v>
                </c:pt>
                <c:pt idx="2282">
                  <c:v>100.69880000000001</c:v>
                </c:pt>
                <c:pt idx="2283">
                  <c:v>100.66190000000002</c:v>
                </c:pt>
                <c:pt idx="2284">
                  <c:v>100.81619999999999</c:v>
                </c:pt>
                <c:pt idx="2285">
                  <c:v>100.86020000000002</c:v>
                </c:pt>
                <c:pt idx="2286">
                  <c:v>100.8712</c:v>
                </c:pt>
                <c:pt idx="2287">
                  <c:v>100.9213</c:v>
                </c:pt>
                <c:pt idx="2288">
                  <c:v>100.8544</c:v>
                </c:pt>
                <c:pt idx="2289">
                  <c:v>101.005</c:v>
                </c:pt>
                <c:pt idx="2290">
                  <c:v>100.8563</c:v>
                </c:pt>
                <c:pt idx="2291">
                  <c:v>100.78</c:v>
                </c:pt>
                <c:pt idx="2292">
                  <c:v>100.7355</c:v>
                </c:pt>
                <c:pt idx="2293">
                  <c:v>100.7231</c:v>
                </c:pt>
                <c:pt idx="2294">
                  <c:v>100.6465</c:v>
                </c:pt>
                <c:pt idx="2295">
                  <c:v>100.6049</c:v>
                </c:pt>
                <c:pt idx="2296">
                  <c:v>100.57769999999999</c:v>
                </c:pt>
                <c:pt idx="2297">
                  <c:v>100.5849</c:v>
                </c:pt>
                <c:pt idx="2298">
                  <c:v>100.64019999999999</c:v>
                </c:pt>
                <c:pt idx="2299">
                  <c:v>100.7248</c:v>
                </c:pt>
                <c:pt idx="2300">
                  <c:v>100.8017</c:v>
                </c:pt>
                <c:pt idx="2301">
                  <c:v>100.71120000000002</c:v>
                </c:pt>
                <c:pt idx="2302">
                  <c:v>100.75230000000001</c:v>
                </c:pt>
                <c:pt idx="2303">
                  <c:v>100.7294</c:v>
                </c:pt>
                <c:pt idx="2304">
                  <c:v>100.69</c:v>
                </c:pt>
                <c:pt idx="2305">
                  <c:v>100.86500000000001</c:v>
                </c:pt>
                <c:pt idx="2306">
                  <c:v>100.8145</c:v>
                </c:pt>
                <c:pt idx="2307">
                  <c:v>101.10339999999999</c:v>
                </c:pt>
                <c:pt idx="2308">
                  <c:v>100.7307</c:v>
                </c:pt>
                <c:pt idx="2309">
                  <c:v>100.88</c:v>
                </c:pt>
                <c:pt idx="2310">
                  <c:v>100.81789999999999</c:v>
                </c:pt>
                <c:pt idx="2311">
                  <c:v>100.90290000000002</c:v>
                </c:pt>
                <c:pt idx="2312">
                  <c:v>100.9102</c:v>
                </c:pt>
                <c:pt idx="2313">
                  <c:v>101.0749</c:v>
                </c:pt>
                <c:pt idx="2314">
                  <c:v>101.0265</c:v>
                </c:pt>
                <c:pt idx="2315">
                  <c:v>101.02290000000001</c:v>
                </c:pt>
                <c:pt idx="2316">
                  <c:v>101.39709999999999</c:v>
                </c:pt>
                <c:pt idx="2317">
                  <c:v>101.2465</c:v>
                </c:pt>
                <c:pt idx="2318">
                  <c:v>101.3022</c:v>
                </c:pt>
                <c:pt idx="2319">
                  <c:v>101.03919999999999</c:v>
                </c:pt>
                <c:pt idx="2320">
                  <c:v>101.2645</c:v>
                </c:pt>
                <c:pt idx="2321">
                  <c:v>101.1019</c:v>
                </c:pt>
                <c:pt idx="2322">
                  <c:v>101.2239</c:v>
                </c:pt>
                <c:pt idx="2323">
                  <c:v>101.1568</c:v>
                </c:pt>
                <c:pt idx="2324">
                  <c:v>101.32729999999999</c:v>
                </c:pt>
                <c:pt idx="2325">
                  <c:v>101.29350000000001</c:v>
                </c:pt>
                <c:pt idx="2326">
                  <c:v>101.2585</c:v>
                </c:pt>
                <c:pt idx="2327">
                  <c:v>101.40860000000001</c:v>
                </c:pt>
                <c:pt idx="2328">
                  <c:v>101.42019999999999</c:v>
                </c:pt>
                <c:pt idx="2329">
                  <c:v>101.3839</c:v>
                </c:pt>
                <c:pt idx="2330">
                  <c:v>101.59400000000001</c:v>
                </c:pt>
                <c:pt idx="2331">
                  <c:v>101.5347</c:v>
                </c:pt>
                <c:pt idx="2332">
                  <c:v>101.5753</c:v>
                </c:pt>
                <c:pt idx="2333">
                  <c:v>101.63030000000001</c:v>
                </c:pt>
                <c:pt idx="2334">
                  <c:v>101.6743</c:v>
                </c:pt>
                <c:pt idx="2335">
                  <c:v>101.74660000000002</c:v>
                </c:pt>
                <c:pt idx="2336">
                  <c:v>101.75920000000001</c:v>
                </c:pt>
                <c:pt idx="2337">
                  <c:v>101.72740000000002</c:v>
                </c:pt>
                <c:pt idx="2338">
                  <c:v>101.6936</c:v>
                </c:pt>
                <c:pt idx="2339">
                  <c:v>101.7868</c:v>
                </c:pt>
                <c:pt idx="2340">
                  <c:v>101.8653</c:v>
                </c:pt>
                <c:pt idx="2341">
                  <c:v>101.8232</c:v>
                </c:pt>
                <c:pt idx="2342">
                  <c:v>101.967</c:v>
                </c:pt>
                <c:pt idx="2343">
                  <c:v>101.95700000000001</c:v>
                </c:pt>
                <c:pt idx="2344">
                  <c:v>101.89919999999999</c:v>
                </c:pt>
                <c:pt idx="2345">
                  <c:v>101.93510000000001</c:v>
                </c:pt>
                <c:pt idx="2346">
                  <c:v>101.95350000000001</c:v>
                </c:pt>
                <c:pt idx="2347">
                  <c:v>101.8347</c:v>
                </c:pt>
                <c:pt idx="2348">
                  <c:v>101.8695</c:v>
                </c:pt>
                <c:pt idx="2349">
                  <c:v>101.8417</c:v>
                </c:pt>
                <c:pt idx="2350">
                  <c:v>101.8603</c:v>
                </c:pt>
                <c:pt idx="2351">
                  <c:v>101.96240000000002</c:v>
                </c:pt>
                <c:pt idx="2352">
                  <c:v>101.8946</c:v>
                </c:pt>
                <c:pt idx="2353">
                  <c:v>101.8424</c:v>
                </c:pt>
                <c:pt idx="2354">
                  <c:v>101.8171</c:v>
                </c:pt>
                <c:pt idx="2355">
                  <c:v>101.78789999999999</c:v>
                </c:pt>
                <c:pt idx="2356">
                  <c:v>101.76590000000002</c:v>
                </c:pt>
                <c:pt idx="2357">
                  <c:v>101.75990000000002</c:v>
                </c:pt>
                <c:pt idx="2358">
                  <c:v>101.8181</c:v>
                </c:pt>
                <c:pt idx="2359">
                  <c:v>101.85420000000002</c:v>
                </c:pt>
                <c:pt idx="2360">
                  <c:v>101.52310000000001</c:v>
                </c:pt>
                <c:pt idx="2361">
                  <c:v>101.89019999999999</c:v>
                </c:pt>
                <c:pt idx="2362">
                  <c:v>101.7457</c:v>
                </c:pt>
                <c:pt idx="2363">
                  <c:v>102.10209999999999</c:v>
                </c:pt>
                <c:pt idx="2364">
                  <c:v>102.00230000000001</c:v>
                </c:pt>
                <c:pt idx="2365">
                  <c:v>101.97239999999999</c:v>
                </c:pt>
                <c:pt idx="2366">
                  <c:v>101.9217</c:v>
                </c:pt>
                <c:pt idx="2367">
                  <c:v>101.9851</c:v>
                </c:pt>
                <c:pt idx="2368">
                  <c:v>101.9589</c:v>
                </c:pt>
                <c:pt idx="2369">
                  <c:v>101.8411</c:v>
                </c:pt>
                <c:pt idx="2370">
                  <c:v>101.9224</c:v>
                </c:pt>
                <c:pt idx="2371">
                  <c:v>101.81619999999999</c:v>
                </c:pt>
                <c:pt idx="2372">
                  <c:v>101.8438</c:v>
                </c:pt>
                <c:pt idx="2373">
                  <c:v>101.92019999999999</c:v>
                </c:pt>
                <c:pt idx="2374">
                  <c:v>101.9045</c:v>
                </c:pt>
                <c:pt idx="2375">
                  <c:v>101.89930000000001</c:v>
                </c:pt>
                <c:pt idx="2376">
                  <c:v>101.8779</c:v>
                </c:pt>
                <c:pt idx="2377">
                  <c:v>101.79110000000001</c:v>
                </c:pt>
                <c:pt idx="2378">
                  <c:v>101.8172</c:v>
                </c:pt>
                <c:pt idx="2379">
                  <c:v>101.94159999999999</c:v>
                </c:pt>
                <c:pt idx="2380">
                  <c:v>101.6824</c:v>
                </c:pt>
                <c:pt idx="2381">
                  <c:v>101.77589999999999</c:v>
                </c:pt>
                <c:pt idx="2382">
                  <c:v>101.9657</c:v>
                </c:pt>
                <c:pt idx="2383">
                  <c:v>101.9837</c:v>
                </c:pt>
                <c:pt idx="2384">
                  <c:v>101.99420000000002</c:v>
                </c:pt>
                <c:pt idx="2385">
                  <c:v>101.8056</c:v>
                </c:pt>
                <c:pt idx="2386">
                  <c:v>101.858</c:v>
                </c:pt>
                <c:pt idx="2387">
                  <c:v>101.69450000000001</c:v>
                </c:pt>
                <c:pt idx="2388">
                  <c:v>101.66840000000001</c:v>
                </c:pt>
                <c:pt idx="2389">
                  <c:v>101.57060000000001</c:v>
                </c:pt>
                <c:pt idx="2390">
                  <c:v>101.52370000000002</c:v>
                </c:pt>
                <c:pt idx="2391">
                  <c:v>101.5378</c:v>
                </c:pt>
                <c:pt idx="2392">
                  <c:v>101.6683</c:v>
                </c:pt>
                <c:pt idx="2393">
                  <c:v>101.6865</c:v>
                </c:pt>
                <c:pt idx="2394">
                  <c:v>101.6178</c:v>
                </c:pt>
                <c:pt idx="2395">
                  <c:v>101.5792</c:v>
                </c:pt>
                <c:pt idx="2396">
                  <c:v>101.59</c:v>
                </c:pt>
                <c:pt idx="2397">
                  <c:v>101.65309999999999</c:v>
                </c:pt>
                <c:pt idx="2398">
                  <c:v>101.6495</c:v>
                </c:pt>
                <c:pt idx="2399">
                  <c:v>101.65560000000001</c:v>
                </c:pt>
                <c:pt idx="2400">
                  <c:v>101.69750000000001</c:v>
                </c:pt>
                <c:pt idx="2401">
                  <c:v>101.73779999999999</c:v>
                </c:pt>
                <c:pt idx="2402">
                  <c:v>101.81820000000002</c:v>
                </c:pt>
                <c:pt idx="2403">
                  <c:v>101.80410000000001</c:v>
                </c:pt>
                <c:pt idx="2404">
                  <c:v>101.6317</c:v>
                </c:pt>
                <c:pt idx="2405">
                  <c:v>101.7128</c:v>
                </c:pt>
                <c:pt idx="2406">
                  <c:v>101.7685</c:v>
                </c:pt>
                <c:pt idx="2407">
                  <c:v>101.8125</c:v>
                </c:pt>
                <c:pt idx="2408">
                  <c:v>101.83740000000002</c:v>
                </c:pt>
                <c:pt idx="2409">
                  <c:v>101.768</c:v>
                </c:pt>
                <c:pt idx="2410">
                  <c:v>101.91840000000001</c:v>
                </c:pt>
                <c:pt idx="2411">
                  <c:v>101.6808</c:v>
                </c:pt>
                <c:pt idx="2412">
                  <c:v>101.87350000000001</c:v>
                </c:pt>
                <c:pt idx="2413">
                  <c:v>101.7932</c:v>
                </c:pt>
                <c:pt idx="2414">
                  <c:v>101.8366</c:v>
                </c:pt>
                <c:pt idx="2415">
                  <c:v>101.8085</c:v>
                </c:pt>
                <c:pt idx="2416">
                  <c:v>101.80119999999999</c:v>
                </c:pt>
                <c:pt idx="2417">
                  <c:v>101.8616</c:v>
                </c:pt>
                <c:pt idx="2418">
                  <c:v>101.9139</c:v>
                </c:pt>
                <c:pt idx="2419">
                  <c:v>102.05310000000001</c:v>
                </c:pt>
                <c:pt idx="2420">
                  <c:v>102.01300000000001</c:v>
                </c:pt>
                <c:pt idx="2421">
                  <c:v>101.92740000000001</c:v>
                </c:pt>
                <c:pt idx="2422">
                  <c:v>101.8172</c:v>
                </c:pt>
                <c:pt idx="2423">
                  <c:v>101.9581</c:v>
                </c:pt>
                <c:pt idx="2424">
                  <c:v>101.98340000000002</c:v>
                </c:pt>
                <c:pt idx="2425">
                  <c:v>101.9264</c:v>
                </c:pt>
                <c:pt idx="2426">
                  <c:v>102.0001</c:v>
                </c:pt>
                <c:pt idx="2427">
                  <c:v>101.9318</c:v>
                </c:pt>
                <c:pt idx="2428">
                  <c:v>101.95659999999999</c:v>
                </c:pt>
                <c:pt idx="2429">
                  <c:v>102.1232</c:v>
                </c:pt>
                <c:pt idx="2430">
                  <c:v>101.96420000000002</c:v>
                </c:pt>
                <c:pt idx="2431">
                  <c:v>101.95220000000002</c:v>
                </c:pt>
                <c:pt idx="2432">
                  <c:v>101.9734</c:v>
                </c:pt>
                <c:pt idx="2433">
                  <c:v>101.95640000000002</c:v>
                </c:pt>
                <c:pt idx="2434">
                  <c:v>101.9659</c:v>
                </c:pt>
                <c:pt idx="2435">
                  <c:v>101.91430000000001</c:v>
                </c:pt>
                <c:pt idx="2436">
                  <c:v>101.8854</c:v>
                </c:pt>
                <c:pt idx="2437">
                  <c:v>101.90009999999999</c:v>
                </c:pt>
                <c:pt idx="2438">
                  <c:v>101.7702</c:v>
                </c:pt>
                <c:pt idx="2439">
                  <c:v>101.73180000000001</c:v>
                </c:pt>
                <c:pt idx="2440">
                  <c:v>102.0025</c:v>
                </c:pt>
                <c:pt idx="2441">
                  <c:v>101.8986</c:v>
                </c:pt>
                <c:pt idx="2442">
                  <c:v>102.0149</c:v>
                </c:pt>
                <c:pt idx="2443">
                  <c:v>102.00210000000001</c:v>
                </c:pt>
                <c:pt idx="2444">
                  <c:v>101.80710000000001</c:v>
                </c:pt>
                <c:pt idx="2445">
                  <c:v>101.85980000000001</c:v>
                </c:pt>
                <c:pt idx="2446">
                  <c:v>101.82600000000001</c:v>
                </c:pt>
                <c:pt idx="2447">
                  <c:v>101.82960000000001</c:v>
                </c:pt>
                <c:pt idx="2448">
                  <c:v>101.8004</c:v>
                </c:pt>
                <c:pt idx="2449">
                  <c:v>101.77370000000002</c:v>
                </c:pt>
                <c:pt idx="2450">
                  <c:v>101.742</c:v>
                </c:pt>
                <c:pt idx="2451">
                  <c:v>101.7841</c:v>
                </c:pt>
                <c:pt idx="2452">
                  <c:v>101.8871</c:v>
                </c:pt>
                <c:pt idx="2453">
                  <c:v>101.568</c:v>
                </c:pt>
                <c:pt idx="2454">
                  <c:v>101.69620000000002</c:v>
                </c:pt>
                <c:pt idx="2455">
                  <c:v>101.6113</c:v>
                </c:pt>
                <c:pt idx="2456">
                  <c:v>101.7884</c:v>
                </c:pt>
                <c:pt idx="2457">
                  <c:v>101.7145</c:v>
                </c:pt>
                <c:pt idx="2458">
                  <c:v>101.77630000000001</c:v>
                </c:pt>
                <c:pt idx="2459">
                  <c:v>101.73260000000001</c:v>
                </c:pt>
                <c:pt idx="2460">
                  <c:v>101.7961</c:v>
                </c:pt>
                <c:pt idx="2461">
                  <c:v>101.8086</c:v>
                </c:pt>
                <c:pt idx="2462">
                  <c:v>101.8776</c:v>
                </c:pt>
                <c:pt idx="2463">
                  <c:v>101.848</c:v>
                </c:pt>
                <c:pt idx="2464">
                  <c:v>102.1516</c:v>
                </c:pt>
                <c:pt idx="2465">
                  <c:v>101.83150000000001</c:v>
                </c:pt>
                <c:pt idx="2466">
                  <c:v>101.82089999999999</c:v>
                </c:pt>
                <c:pt idx="2467">
                  <c:v>101.8967</c:v>
                </c:pt>
                <c:pt idx="2468">
                  <c:v>101.80459999999999</c:v>
                </c:pt>
                <c:pt idx="2469">
                  <c:v>101.80010000000001</c:v>
                </c:pt>
                <c:pt idx="2470">
                  <c:v>101.7974</c:v>
                </c:pt>
                <c:pt idx="2471">
                  <c:v>101.8865</c:v>
                </c:pt>
                <c:pt idx="2472">
                  <c:v>101.7212</c:v>
                </c:pt>
                <c:pt idx="2473">
                  <c:v>101.733</c:v>
                </c:pt>
                <c:pt idx="2474">
                  <c:v>101.7282</c:v>
                </c:pt>
                <c:pt idx="2475">
                  <c:v>101.69020000000002</c:v>
                </c:pt>
                <c:pt idx="2476">
                  <c:v>101.7496</c:v>
                </c:pt>
                <c:pt idx="2477">
                  <c:v>101.8075</c:v>
                </c:pt>
                <c:pt idx="2478">
                  <c:v>101.8442</c:v>
                </c:pt>
                <c:pt idx="2479">
                  <c:v>101.93230000000001</c:v>
                </c:pt>
                <c:pt idx="2480">
                  <c:v>101.8394</c:v>
                </c:pt>
                <c:pt idx="2481">
                  <c:v>101.90940000000001</c:v>
                </c:pt>
                <c:pt idx="2482">
                  <c:v>101.8477</c:v>
                </c:pt>
                <c:pt idx="2483">
                  <c:v>101.82559999999999</c:v>
                </c:pt>
                <c:pt idx="2484">
                  <c:v>101.8471</c:v>
                </c:pt>
                <c:pt idx="2485">
                  <c:v>101.9093</c:v>
                </c:pt>
                <c:pt idx="2486">
                  <c:v>101.8154</c:v>
                </c:pt>
                <c:pt idx="2487">
                  <c:v>101.78830000000001</c:v>
                </c:pt>
                <c:pt idx="2488">
                  <c:v>101.84690000000001</c:v>
                </c:pt>
                <c:pt idx="2489">
                  <c:v>101.8415</c:v>
                </c:pt>
                <c:pt idx="2490">
                  <c:v>101.83450000000001</c:v>
                </c:pt>
                <c:pt idx="2491">
                  <c:v>101.8257</c:v>
                </c:pt>
                <c:pt idx="2492">
                  <c:v>101.7723</c:v>
                </c:pt>
                <c:pt idx="2493">
                  <c:v>101.7694</c:v>
                </c:pt>
                <c:pt idx="2494">
                  <c:v>101.7942</c:v>
                </c:pt>
                <c:pt idx="2495">
                  <c:v>101.812</c:v>
                </c:pt>
                <c:pt idx="2496">
                  <c:v>101.81489999999999</c:v>
                </c:pt>
                <c:pt idx="2497">
                  <c:v>101.7664</c:v>
                </c:pt>
                <c:pt idx="2498">
                  <c:v>101.8313</c:v>
                </c:pt>
                <c:pt idx="2499">
                  <c:v>101.8027</c:v>
                </c:pt>
                <c:pt idx="2500">
                  <c:v>101.8189</c:v>
                </c:pt>
                <c:pt idx="2501">
                  <c:v>101.9164</c:v>
                </c:pt>
                <c:pt idx="2502">
                  <c:v>101.8165</c:v>
                </c:pt>
                <c:pt idx="2503">
                  <c:v>101.8353</c:v>
                </c:pt>
                <c:pt idx="2504">
                  <c:v>101.81</c:v>
                </c:pt>
                <c:pt idx="2505">
                  <c:v>101.8412</c:v>
                </c:pt>
                <c:pt idx="2506">
                  <c:v>101.7718</c:v>
                </c:pt>
                <c:pt idx="2507">
                  <c:v>101.77679999999999</c:v>
                </c:pt>
                <c:pt idx="2508">
                  <c:v>101.83680000000001</c:v>
                </c:pt>
                <c:pt idx="2509">
                  <c:v>101.7997</c:v>
                </c:pt>
                <c:pt idx="2510">
                  <c:v>101.7724</c:v>
                </c:pt>
                <c:pt idx="2511">
                  <c:v>101.75930000000001</c:v>
                </c:pt>
                <c:pt idx="2512">
                  <c:v>101.9166</c:v>
                </c:pt>
                <c:pt idx="2513">
                  <c:v>102.00790000000001</c:v>
                </c:pt>
                <c:pt idx="2514">
                  <c:v>101.9076</c:v>
                </c:pt>
                <c:pt idx="2515">
                  <c:v>101.9589</c:v>
                </c:pt>
                <c:pt idx="2516">
                  <c:v>101.75069999999999</c:v>
                </c:pt>
                <c:pt idx="2517">
                  <c:v>101.78230000000001</c:v>
                </c:pt>
                <c:pt idx="2518">
                  <c:v>102.0963</c:v>
                </c:pt>
                <c:pt idx="2519">
                  <c:v>103.473</c:v>
                </c:pt>
                <c:pt idx="2520">
                  <c:v>103.625</c:v>
                </c:pt>
                <c:pt idx="2521">
                  <c:v>103.7496</c:v>
                </c:pt>
                <c:pt idx="2522">
                  <c:v>103.8514</c:v>
                </c:pt>
                <c:pt idx="2523">
                  <c:v>104.2026</c:v>
                </c:pt>
                <c:pt idx="2524">
                  <c:v>104.1503</c:v>
                </c:pt>
                <c:pt idx="2525">
                  <c:v>103.9272</c:v>
                </c:pt>
                <c:pt idx="2526">
                  <c:v>104.0865</c:v>
                </c:pt>
                <c:pt idx="2527">
                  <c:v>104.21639999999999</c:v>
                </c:pt>
                <c:pt idx="2528">
                  <c:v>104.15009999999999</c:v>
                </c:pt>
                <c:pt idx="2529">
                  <c:v>104.161</c:v>
                </c:pt>
                <c:pt idx="2530">
                  <c:v>104.2281</c:v>
                </c:pt>
                <c:pt idx="2531">
                  <c:v>104.277</c:v>
                </c:pt>
                <c:pt idx="2532">
                  <c:v>104.2</c:v>
                </c:pt>
                <c:pt idx="2533">
                  <c:v>104.22029999999999</c:v>
                </c:pt>
                <c:pt idx="2534">
                  <c:v>103.97680000000001</c:v>
                </c:pt>
                <c:pt idx="2535">
                  <c:v>104.3496</c:v>
                </c:pt>
                <c:pt idx="2536">
                  <c:v>104.3323</c:v>
                </c:pt>
                <c:pt idx="2537">
                  <c:v>104.3848</c:v>
                </c:pt>
                <c:pt idx="2538">
                  <c:v>104.4592</c:v>
                </c:pt>
                <c:pt idx="2539">
                  <c:v>104.4367</c:v>
                </c:pt>
                <c:pt idx="2540">
                  <c:v>104.39790000000001</c:v>
                </c:pt>
                <c:pt idx="2541">
                  <c:v>104.2736</c:v>
                </c:pt>
                <c:pt idx="2542">
                  <c:v>104.33620000000002</c:v>
                </c:pt>
                <c:pt idx="2543">
                  <c:v>104.41160000000001</c:v>
                </c:pt>
                <c:pt idx="2544">
                  <c:v>104.3497</c:v>
                </c:pt>
                <c:pt idx="2545">
                  <c:v>104.32859999999999</c:v>
                </c:pt>
                <c:pt idx="2546">
                  <c:v>104.45010000000001</c:v>
                </c:pt>
                <c:pt idx="2547">
                  <c:v>104.3532</c:v>
                </c:pt>
                <c:pt idx="2548">
                  <c:v>104.50270000000002</c:v>
                </c:pt>
                <c:pt idx="2549">
                  <c:v>104.3918</c:v>
                </c:pt>
                <c:pt idx="2550">
                  <c:v>104.4307</c:v>
                </c:pt>
                <c:pt idx="2551">
                  <c:v>104.4015</c:v>
                </c:pt>
                <c:pt idx="2552">
                  <c:v>104.48739999999999</c:v>
                </c:pt>
                <c:pt idx="2553">
                  <c:v>104.4015</c:v>
                </c:pt>
                <c:pt idx="2554">
                  <c:v>104.4676</c:v>
                </c:pt>
                <c:pt idx="2555">
                  <c:v>104.4371</c:v>
                </c:pt>
                <c:pt idx="2556">
                  <c:v>104.42690000000002</c:v>
                </c:pt>
                <c:pt idx="2557">
                  <c:v>104.4772</c:v>
                </c:pt>
                <c:pt idx="2558">
                  <c:v>104.4973</c:v>
                </c:pt>
                <c:pt idx="2559">
                  <c:v>104.41250000000001</c:v>
                </c:pt>
                <c:pt idx="2560">
                  <c:v>104.4541</c:v>
                </c:pt>
                <c:pt idx="2561">
                  <c:v>104.48820000000002</c:v>
                </c:pt>
                <c:pt idx="2562">
                  <c:v>104.4264</c:v>
                </c:pt>
                <c:pt idx="2563">
                  <c:v>104.5168</c:v>
                </c:pt>
                <c:pt idx="2564">
                  <c:v>104.4764</c:v>
                </c:pt>
                <c:pt idx="2565">
                  <c:v>104.4461</c:v>
                </c:pt>
                <c:pt idx="2566">
                  <c:v>104.4404</c:v>
                </c:pt>
                <c:pt idx="2567">
                  <c:v>104.4336</c:v>
                </c:pt>
                <c:pt idx="2568">
                  <c:v>104.4102</c:v>
                </c:pt>
                <c:pt idx="2569">
                  <c:v>104.41840000000001</c:v>
                </c:pt>
                <c:pt idx="2570">
                  <c:v>104.47539999999999</c:v>
                </c:pt>
                <c:pt idx="2571">
                  <c:v>104.337</c:v>
                </c:pt>
                <c:pt idx="2572">
                  <c:v>104.4393</c:v>
                </c:pt>
                <c:pt idx="2573">
                  <c:v>104.43340000000001</c:v>
                </c:pt>
                <c:pt idx="2574">
                  <c:v>104.3738</c:v>
                </c:pt>
                <c:pt idx="2575">
                  <c:v>104.41970000000002</c:v>
                </c:pt>
                <c:pt idx="2576">
                  <c:v>104.3913</c:v>
                </c:pt>
                <c:pt idx="2577">
                  <c:v>104.416</c:v>
                </c:pt>
                <c:pt idx="2578">
                  <c:v>104.4391</c:v>
                </c:pt>
                <c:pt idx="2579">
                  <c:v>104.4465</c:v>
                </c:pt>
                <c:pt idx="2580">
                  <c:v>104.461</c:v>
                </c:pt>
                <c:pt idx="2581">
                  <c:v>104.44110000000001</c:v>
                </c:pt>
                <c:pt idx="2582">
                  <c:v>104.4742</c:v>
                </c:pt>
                <c:pt idx="2583">
                  <c:v>104.8173</c:v>
                </c:pt>
                <c:pt idx="2584">
                  <c:v>104.98009999999999</c:v>
                </c:pt>
                <c:pt idx="2585">
                  <c:v>105.34829999999999</c:v>
                </c:pt>
                <c:pt idx="2586">
                  <c:v>105.55929999999999</c:v>
                </c:pt>
                <c:pt idx="2587">
                  <c:v>105.55929999999999</c:v>
                </c:pt>
                <c:pt idx="2588">
                  <c:v>105.3442</c:v>
                </c:pt>
                <c:pt idx="2589">
                  <c:v>105.41490000000002</c:v>
                </c:pt>
                <c:pt idx="2590">
                  <c:v>105.43900000000001</c:v>
                </c:pt>
                <c:pt idx="2591">
                  <c:v>105.0307</c:v>
                </c:pt>
                <c:pt idx="2592">
                  <c:v>105.48439999999999</c:v>
                </c:pt>
                <c:pt idx="2593">
                  <c:v>105.47920000000002</c:v>
                </c:pt>
                <c:pt idx="2594">
                  <c:v>105.42529999999999</c:v>
                </c:pt>
                <c:pt idx="2595">
                  <c:v>105.4599</c:v>
                </c:pt>
                <c:pt idx="2596">
                  <c:v>105.5367</c:v>
                </c:pt>
                <c:pt idx="2597">
                  <c:v>105.54389999999999</c:v>
                </c:pt>
                <c:pt idx="2598">
                  <c:v>105.4324</c:v>
                </c:pt>
                <c:pt idx="2599">
                  <c:v>105.14</c:v>
                </c:pt>
                <c:pt idx="2600">
                  <c:v>105.15</c:v>
                </c:pt>
                <c:pt idx="2601">
                  <c:v>105.2085</c:v>
                </c:pt>
                <c:pt idx="2602">
                  <c:v>105.40350000000001</c:v>
                </c:pt>
                <c:pt idx="2603">
                  <c:v>105.4616</c:v>
                </c:pt>
                <c:pt idx="2604">
                  <c:v>105.4802</c:v>
                </c:pt>
                <c:pt idx="2605">
                  <c:v>105.44580000000001</c:v>
                </c:pt>
                <c:pt idx="2606">
                  <c:v>105.4885</c:v>
                </c:pt>
                <c:pt idx="2607">
                  <c:v>105.52250000000001</c:v>
                </c:pt>
                <c:pt idx="2608">
                  <c:v>105.54640000000001</c:v>
                </c:pt>
                <c:pt idx="2609">
                  <c:v>105.5873</c:v>
                </c:pt>
                <c:pt idx="2610">
                  <c:v>105.42910000000001</c:v>
                </c:pt>
                <c:pt idx="2611">
                  <c:v>105.5278</c:v>
                </c:pt>
                <c:pt idx="2612">
                  <c:v>105.369</c:v>
                </c:pt>
                <c:pt idx="2613">
                  <c:v>105.4593</c:v>
                </c:pt>
                <c:pt idx="2614">
                  <c:v>105.47560000000001</c:v>
                </c:pt>
                <c:pt idx="2615">
                  <c:v>105.4905</c:v>
                </c:pt>
                <c:pt idx="2616">
                  <c:v>105.4508</c:v>
                </c:pt>
                <c:pt idx="2617">
                  <c:v>105.5018</c:v>
                </c:pt>
                <c:pt idx="2618">
                  <c:v>105.43410000000002</c:v>
                </c:pt>
                <c:pt idx="2619">
                  <c:v>105.4345</c:v>
                </c:pt>
                <c:pt idx="2620">
                  <c:v>105.4849</c:v>
                </c:pt>
                <c:pt idx="2621">
                  <c:v>105.38</c:v>
                </c:pt>
                <c:pt idx="2622">
                  <c:v>104.99079999999999</c:v>
                </c:pt>
                <c:pt idx="2623">
                  <c:v>105.3676</c:v>
                </c:pt>
                <c:pt idx="2624">
                  <c:v>104.9063</c:v>
                </c:pt>
                <c:pt idx="2625">
                  <c:v>104.3383</c:v>
                </c:pt>
                <c:pt idx="2626">
                  <c:v>103.68660000000001</c:v>
                </c:pt>
                <c:pt idx="2627">
                  <c:v>104.1365</c:v>
                </c:pt>
                <c:pt idx="2628">
                  <c:v>104.038</c:v>
                </c:pt>
                <c:pt idx="2629">
                  <c:v>103.8497</c:v>
                </c:pt>
                <c:pt idx="2630">
                  <c:v>104.1388</c:v>
                </c:pt>
                <c:pt idx="2631">
                  <c:v>104.49639999999999</c:v>
                </c:pt>
                <c:pt idx="2632">
                  <c:v>104.85480000000001</c:v>
                </c:pt>
                <c:pt idx="2633">
                  <c:v>104.87869999999999</c:v>
                </c:pt>
                <c:pt idx="2634">
                  <c:v>104.7149</c:v>
                </c:pt>
                <c:pt idx="2635">
                  <c:v>104.7538</c:v>
                </c:pt>
                <c:pt idx="2636">
                  <c:v>104.6957</c:v>
                </c:pt>
                <c:pt idx="2637">
                  <c:v>104.7367</c:v>
                </c:pt>
                <c:pt idx="2638">
                  <c:v>104.7043</c:v>
                </c:pt>
                <c:pt idx="2639">
                  <c:v>104.79040000000001</c:v>
                </c:pt>
                <c:pt idx="2640">
                  <c:v>104.74039999999999</c:v>
                </c:pt>
                <c:pt idx="2641">
                  <c:v>104.7377</c:v>
                </c:pt>
                <c:pt idx="2642">
                  <c:v>104.3841</c:v>
                </c:pt>
                <c:pt idx="2643">
                  <c:v>104.3394</c:v>
                </c:pt>
                <c:pt idx="2644">
                  <c:v>104.732</c:v>
                </c:pt>
                <c:pt idx="2645">
                  <c:v>104.80029999999999</c:v>
                </c:pt>
                <c:pt idx="2646">
                  <c:v>104.87730000000001</c:v>
                </c:pt>
                <c:pt idx="2647">
                  <c:v>104.8235</c:v>
                </c:pt>
                <c:pt idx="2648">
                  <c:v>104.76300000000001</c:v>
                </c:pt>
                <c:pt idx="2649">
                  <c:v>104.91930000000001</c:v>
                </c:pt>
                <c:pt idx="2650">
                  <c:v>104.9712</c:v>
                </c:pt>
                <c:pt idx="2651">
                  <c:v>104.85660000000001</c:v>
                </c:pt>
                <c:pt idx="2652">
                  <c:v>105.04110000000001</c:v>
                </c:pt>
                <c:pt idx="2653">
                  <c:v>104.95010000000001</c:v>
                </c:pt>
                <c:pt idx="2654">
                  <c:v>104.92450000000001</c:v>
                </c:pt>
                <c:pt idx="2655">
                  <c:v>104.8553</c:v>
                </c:pt>
                <c:pt idx="2656">
                  <c:v>104.73909999999999</c:v>
                </c:pt>
                <c:pt idx="2657">
                  <c:v>104.72740000000002</c:v>
                </c:pt>
                <c:pt idx="2658">
                  <c:v>104.7158</c:v>
                </c:pt>
                <c:pt idx="2659">
                  <c:v>104.8411</c:v>
                </c:pt>
                <c:pt idx="2660">
                  <c:v>104.88939999999999</c:v>
                </c:pt>
                <c:pt idx="2661">
                  <c:v>104.7753</c:v>
                </c:pt>
                <c:pt idx="2662">
                  <c:v>104.9314</c:v>
                </c:pt>
                <c:pt idx="2663">
                  <c:v>104.8047</c:v>
                </c:pt>
                <c:pt idx="2664">
                  <c:v>104.93810000000001</c:v>
                </c:pt>
                <c:pt idx="2665">
                  <c:v>104.8075</c:v>
                </c:pt>
                <c:pt idx="2666">
                  <c:v>104.97029999999999</c:v>
                </c:pt>
                <c:pt idx="2667">
                  <c:v>104.8074</c:v>
                </c:pt>
                <c:pt idx="2668">
                  <c:v>104.7903</c:v>
                </c:pt>
                <c:pt idx="2669">
                  <c:v>104.89510000000001</c:v>
                </c:pt>
                <c:pt idx="2670">
                  <c:v>104.9605</c:v>
                </c:pt>
                <c:pt idx="2671">
                  <c:v>104.9877</c:v>
                </c:pt>
                <c:pt idx="2672">
                  <c:v>105.093</c:v>
                </c:pt>
                <c:pt idx="2673">
                  <c:v>104.96600000000001</c:v>
                </c:pt>
                <c:pt idx="2674">
                  <c:v>104.96900000000001</c:v>
                </c:pt>
                <c:pt idx="2675">
                  <c:v>104.93960000000001</c:v>
                </c:pt>
                <c:pt idx="2676">
                  <c:v>104.80419999999999</c:v>
                </c:pt>
                <c:pt idx="2677">
                  <c:v>104.8681</c:v>
                </c:pt>
                <c:pt idx="2678">
                  <c:v>104.86839999999999</c:v>
                </c:pt>
                <c:pt idx="2679">
                  <c:v>105.16240000000001</c:v>
                </c:pt>
                <c:pt idx="2680">
                  <c:v>104.90110000000001</c:v>
                </c:pt>
                <c:pt idx="2681">
                  <c:v>105.0017</c:v>
                </c:pt>
                <c:pt idx="2682">
                  <c:v>104.5034</c:v>
                </c:pt>
                <c:pt idx="2683">
                  <c:v>104.36839999999999</c:v>
                </c:pt>
                <c:pt idx="2684">
                  <c:v>104.39390000000002</c:v>
                </c:pt>
                <c:pt idx="2685">
                  <c:v>104.5615</c:v>
                </c:pt>
                <c:pt idx="2686">
                  <c:v>104.56270000000002</c:v>
                </c:pt>
                <c:pt idx="2687">
                  <c:v>104.39810000000001</c:v>
                </c:pt>
                <c:pt idx="2688">
                  <c:v>104.51309999999999</c:v>
                </c:pt>
                <c:pt idx="2689">
                  <c:v>104.6245</c:v>
                </c:pt>
                <c:pt idx="2690">
                  <c:v>104.6172</c:v>
                </c:pt>
                <c:pt idx="2691">
                  <c:v>104.4686</c:v>
                </c:pt>
                <c:pt idx="2692">
                  <c:v>104.539</c:v>
                </c:pt>
                <c:pt idx="2693">
                  <c:v>104.5372</c:v>
                </c:pt>
                <c:pt idx="2694">
                  <c:v>104.6952</c:v>
                </c:pt>
                <c:pt idx="2695">
                  <c:v>104.7556</c:v>
                </c:pt>
                <c:pt idx="2696">
                  <c:v>104.68519999999999</c:v>
                </c:pt>
                <c:pt idx="2697">
                  <c:v>104.81270000000002</c:v>
                </c:pt>
                <c:pt idx="2698">
                  <c:v>104.7497</c:v>
                </c:pt>
                <c:pt idx="2699">
                  <c:v>104.7153</c:v>
                </c:pt>
                <c:pt idx="2700">
                  <c:v>104.85760000000001</c:v>
                </c:pt>
                <c:pt idx="2701">
                  <c:v>104.7895</c:v>
                </c:pt>
                <c:pt idx="2702">
                  <c:v>104.88939999999999</c:v>
                </c:pt>
                <c:pt idx="2703">
                  <c:v>104.44629999999999</c:v>
                </c:pt>
                <c:pt idx="2704">
                  <c:v>104.56700000000001</c:v>
                </c:pt>
                <c:pt idx="2705">
                  <c:v>104.68600000000001</c:v>
                </c:pt>
                <c:pt idx="2706">
                  <c:v>105.27310000000001</c:v>
                </c:pt>
                <c:pt idx="2707">
                  <c:v>104.9645</c:v>
                </c:pt>
                <c:pt idx="2708">
                  <c:v>104.71360000000001</c:v>
                </c:pt>
                <c:pt idx="2709">
                  <c:v>104.7985</c:v>
                </c:pt>
                <c:pt idx="2710">
                  <c:v>104.7685</c:v>
                </c:pt>
                <c:pt idx="2711">
                  <c:v>104.48280000000001</c:v>
                </c:pt>
                <c:pt idx="2712">
                  <c:v>104.75360000000001</c:v>
                </c:pt>
                <c:pt idx="2713">
                  <c:v>104.69020000000002</c:v>
                </c:pt>
                <c:pt idx="2714">
                  <c:v>104.80289999999999</c:v>
                </c:pt>
                <c:pt idx="2715">
                  <c:v>104.70180000000001</c:v>
                </c:pt>
                <c:pt idx="2716">
                  <c:v>104.7323</c:v>
                </c:pt>
                <c:pt idx="2717">
                  <c:v>104.7085</c:v>
                </c:pt>
                <c:pt idx="2718">
                  <c:v>104.7063</c:v>
                </c:pt>
                <c:pt idx="2719">
                  <c:v>104.16889999999999</c:v>
                </c:pt>
                <c:pt idx="2720">
                  <c:v>103.9572</c:v>
                </c:pt>
                <c:pt idx="2721">
                  <c:v>104.4723</c:v>
                </c:pt>
                <c:pt idx="2722">
                  <c:v>104.66250000000001</c:v>
                </c:pt>
                <c:pt idx="2723">
                  <c:v>104.6002</c:v>
                </c:pt>
                <c:pt idx="2724">
                  <c:v>104.4389</c:v>
                </c:pt>
                <c:pt idx="2725">
                  <c:v>104.5812</c:v>
                </c:pt>
                <c:pt idx="2726">
                  <c:v>104.45460000000001</c:v>
                </c:pt>
                <c:pt idx="2727">
                  <c:v>104.6399</c:v>
                </c:pt>
                <c:pt idx="2728">
                  <c:v>104.6942</c:v>
                </c:pt>
                <c:pt idx="2729">
                  <c:v>104.81440000000001</c:v>
                </c:pt>
                <c:pt idx="2730">
                  <c:v>104.7008</c:v>
                </c:pt>
                <c:pt idx="2731">
                  <c:v>104.7577</c:v>
                </c:pt>
                <c:pt idx="2732">
                  <c:v>104.84829999999999</c:v>
                </c:pt>
                <c:pt idx="2733">
                  <c:v>104.74809999999999</c:v>
                </c:pt>
                <c:pt idx="2734">
                  <c:v>104.7068</c:v>
                </c:pt>
                <c:pt idx="2735">
                  <c:v>104.7007</c:v>
                </c:pt>
                <c:pt idx="2736">
                  <c:v>104.75</c:v>
                </c:pt>
                <c:pt idx="2737">
                  <c:v>104.69540000000001</c:v>
                </c:pt>
                <c:pt idx="2738">
                  <c:v>104.7038</c:v>
                </c:pt>
                <c:pt idx="2739">
                  <c:v>104.7602</c:v>
                </c:pt>
                <c:pt idx="2740">
                  <c:v>104.7608</c:v>
                </c:pt>
                <c:pt idx="2741">
                  <c:v>104.7784</c:v>
                </c:pt>
                <c:pt idx="2742">
                  <c:v>104.7676</c:v>
                </c:pt>
                <c:pt idx="2743">
                  <c:v>104.1688</c:v>
                </c:pt>
                <c:pt idx="2744">
                  <c:v>104.70350000000001</c:v>
                </c:pt>
                <c:pt idx="2745">
                  <c:v>104.62569999999999</c:v>
                </c:pt>
                <c:pt idx="2746">
                  <c:v>104.6555</c:v>
                </c:pt>
                <c:pt idx="2747">
                  <c:v>104.67</c:v>
                </c:pt>
                <c:pt idx="2748">
                  <c:v>104.7218</c:v>
                </c:pt>
                <c:pt idx="2749">
                  <c:v>104.70640000000002</c:v>
                </c:pt>
                <c:pt idx="2750">
                  <c:v>104.69920000000002</c:v>
                </c:pt>
                <c:pt idx="2751">
                  <c:v>104.67610000000001</c:v>
                </c:pt>
                <c:pt idx="2752">
                  <c:v>104.732</c:v>
                </c:pt>
                <c:pt idx="2753">
                  <c:v>104.71210000000001</c:v>
                </c:pt>
                <c:pt idx="2754">
                  <c:v>104.7333</c:v>
                </c:pt>
                <c:pt idx="2755">
                  <c:v>104.7276</c:v>
                </c:pt>
                <c:pt idx="2756">
                  <c:v>104.7504</c:v>
                </c:pt>
                <c:pt idx="2757">
                  <c:v>104.76110000000001</c:v>
                </c:pt>
                <c:pt idx="2758">
                  <c:v>104.7698</c:v>
                </c:pt>
                <c:pt idx="2759">
                  <c:v>104.69500000000001</c:v>
                </c:pt>
                <c:pt idx="2760">
                  <c:v>104.71360000000001</c:v>
                </c:pt>
                <c:pt idx="2761">
                  <c:v>104.81760000000001</c:v>
                </c:pt>
                <c:pt idx="2762">
                  <c:v>104.7747</c:v>
                </c:pt>
                <c:pt idx="2763">
                  <c:v>104.6901</c:v>
                </c:pt>
                <c:pt idx="2764">
                  <c:v>104.7559</c:v>
                </c:pt>
                <c:pt idx="2765">
                  <c:v>104.78489999999999</c:v>
                </c:pt>
                <c:pt idx="2766">
                  <c:v>104.7295</c:v>
                </c:pt>
                <c:pt idx="2767">
                  <c:v>104.79600000000001</c:v>
                </c:pt>
                <c:pt idx="2768">
                  <c:v>104.82480000000001</c:v>
                </c:pt>
                <c:pt idx="2769">
                  <c:v>104.8339</c:v>
                </c:pt>
                <c:pt idx="2770">
                  <c:v>104.6901</c:v>
                </c:pt>
                <c:pt idx="2771">
                  <c:v>104.7901</c:v>
                </c:pt>
                <c:pt idx="2772">
                  <c:v>104.6922</c:v>
                </c:pt>
                <c:pt idx="2773">
                  <c:v>104.6819</c:v>
                </c:pt>
                <c:pt idx="2774">
                  <c:v>104.76179999999999</c:v>
                </c:pt>
                <c:pt idx="2775">
                  <c:v>104.77119999999999</c:v>
                </c:pt>
                <c:pt idx="2776">
                  <c:v>104.7855</c:v>
                </c:pt>
                <c:pt idx="2777">
                  <c:v>104.6665</c:v>
                </c:pt>
                <c:pt idx="2778">
                  <c:v>104.6985</c:v>
                </c:pt>
                <c:pt idx="2779">
                  <c:v>104.71339999999999</c:v>
                </c:pt>
                <c:pt idx="2780">
                  <c:v>104.741</c:v>
                </c:pt>
                <c:pt idx="2781">
                  <c:v>104.648</c:v>
                </c:pt>
                <c:pt idx="2782">
                  <c:v>104.6217</c:v>
                </c:pt>
                <c:pt idx="2783">
                  <c:v>104.6758</c:v>
                </c:pt>
                <c:pt idx="2784">
                  <c:v>104.70740000000001</c:v>
                </c:pt>
                <c:pt idx="2785">
                  <c:v>104.5885</c:v>
                </c:pt>
                <c:pt idx="2786">
                  <c:v>104.53489999999999</c:v>
                </c:pt>
                <c:pt idx="2787">
                  <c:v>104.2735</c:v>
                </c:pt>
                <c:pt idx="2788">
                  <c:v>104.2681</c:v>
                </c:pt>
                <c:pt idx="2789">
                  <c:v>104.82120000000002</c:v>
                </c:pt>
                <c:pt idx="2790">
                  <c:v>104.7732</c:v>
                </c:pt>
                <c:pt idx="2791">
                  <c:v>104.75210000000001</c:v>
                </c:pt>
                <c:pt idx="2792">
                  <c:v>105.1681</c:v>
                </c:pt>
                <c:pt idx="2793">
                  <c:v>104.84439999999999</c:v>
                </c:pt>
                <c:pt idx="2794">
                  <c:v>104.7597</c:v>
                </c:pt>
                <c:pt idx="2795">
                  <c:v>104.8045</c:v>
                </c:pt>
                <c:pt idx="2796">
                  <c:v>104.5852</c:v>
                </c:pt>
                <c:pt idx="2797">
                  <c:v>104.57769999999999</c:v>
                </c:pt>
                <c:pt idx="2798">
                  <c:v>104.6835</c:v>
                </c:pt>
                <c:pt idx="2799">
                  <c:v>104.7859</c:v>
                </c:pt>
                <c:pt idx="2800">
                  <c:v>104.8497</c:v>
                </c:pt>
                <c:pt idx="2801">
                  <c:v>104.7529</c:v>
                </c:pt>
                <c:pt idx="2802">
                  <c:v>104.7397</c:v>
                </c:pt>
                <c:pt idx="2803">
                  <c:v>104.6386</c:v>
                </c:pt>
                <c:pt idx="2804">
                  <c:v>104.7063</c:v>
                </c:pt>
                <c:pt idx="2805">
                  <c:v>104.73609999999999</c:v>
                </c:pt>
                <c:pt idx="2806">
                  <c:v>104.6206</c:v>
                </c:pt>
                <c:pt idx="2807">
                  <c:v>104.42019999999999</c:v>
                </c:pt>
                <c:pt idx="2808">
                  <c:v>104.5341</c:v>
                </c:pt>
                <c:pt idx="2809">
                  <c:v>104.34640000000002</c:v>
                </c:pt>
                <c:pt idx="2810">
                  <c:v>104.26860000000001</c:v>
                </c:pt>
                <c:pt idx="2811">
                  <c:v>104.29170000000002</c:v>
                </c:pt>
                <c:pt idx="2812">
                  <c:v>104.1151</c:v>
                </c:pt>
                <c:pt idx="2813">
                  <c:v>104.52070000000002</c:v>
                </c:pt>
                <c:pt idx="2814">
                  <c:v>104.6233</c:v>
                </c:pt>
                <c:pt idx="2815">
                  <c:v>104.4922</c:v>
                </c:pt>
                <c:pt idx="2816">
                  <c:v>104.54640000000001</c:v>
                </c:pt>
                <c:pt idx="2817">
                  <c:v>104.55240000000001</c:v>
                </c:pt>
                <c:pt idx="2818">
                  <c:v>104.658</c:v>
                </c:pt>
                <c:pt idx="2819">
                  <c:v>104.3964</c:v>
                </c:pt>
                <c:pt idx="2820">
                  <c:v>104.7878</c:v>
                </c:pt>
                <c:pt idx="2821">
                  <c:v>104.7381</c:v>
                </c:pt>
                <c:pt idx="2822">
                  <c:v>104.5372</c:v>
                </c:pt>
                <c:pt idx="2823">
                  <c:v>105.38670000000002</c:v>
                </c:pt>
                <c:pt idx="2824">
                  <c:v>104.5419</c:v>
                </c:pt>
                <c:pt idx="2825">
                  <c:v>104.5882</c:v>
                </c:pt>
                <c:pt idx="2826">
                  <c:v>104.5134</c:v>
                </c:pt>
                <c:pt idx="2827">
                  <c:v>104.62909999999999</c:v>
                </c:pt>
                <c:pt idx="2828">
                  <c:v>104.7285</c:v>
                </c:pt>
                <c:pt idx="2829">
                  <c:v>104.7295</c:v>
                </c:pt>
                <c:pt idx="2830">
                  <c:v>104.5445</c:v>
                </c:pt>
                <c:pt idx="2831">
                  <c:v>104.67210000000001</c:v>
                </c:pt>
                <c:pt idx="2832">
                  <c:v>104.76739999999999</c:v>
                </c:pt>
                <c:pt idx="2833">
                  <c:v>104.667</c:v>
                </c:pt>
                <c:pt idx="2834">
                  <c:v>104.59400000000001</c:v>
                </c:pt>
                <c:pt idx="2835">
                  <c:v>105.09690000000001</c:v>
                </c:pt>
                <c:pt idx="2836">
                  <c:v>104.85240000000002</c:v>
                </c:pt>
                <c:pt idx="2837">
                  <c:v>104.98390000000001</c:v>
                </c:pt>
                <c:pt idx="2838">
                  <c:v>104.669</c:v>
                </c:pt>
                <c:pt idx="2839">
                  <c:v>104.70580000000001</c:v>
                </c:pt>
                <c:pt idx="2840">
                  <c:v>104.79130000000001</c:v>
                </c:pt>
                <c:pt idx="2841">
                  <c:v>104.79290000000002</c:v>
                </c:pt>
                <c:pt idx="2842">
                  <c:v>104.8336</c:v>
                </c:pt>
                <c:pt idx="2843">
                  <c:v>104.9802</c:v>
                </c:pt>
                <c:pt idx="2844">
                  <c:v>104.74379999999999</c:v>
                </c:pt>
                <c:pt idx="2845">
                  <c:v>104.7578</c:v>
                </c:pt>
                <c:pt idx="2846">
                  <c:v>104.7841</c:v>
                </c:pt>
                <c:pt idx="2847">
                  <c:v>105.24760000000001</c:v>
                </c:pt>
                <c:pt idx="2848">
                  <c:v>104.9794</c:v>
                </c:pt>
                <c:pt idx="2849">
                  <c:v>104.953</c:v>
                </c:pt>
                <c:pt idx="2850">
                  <c:v>104.7807</c:v>
                </c:pt>
                <c:pt idx="2851">
                  <c:v>104.78440000000001</c:v>
                </c:pt>
                <c:pt idx="2852">
                  <c:v>105.0179</c:v>
                </c:pt>
                <c:pt idx="2853">
                  <c:v>105.00750000000001</c:v>
                </c:pt>
                <c:pt idx="2854">
                  <c:v>104.93429999999999</c:v>
                </c:pt>
                <c:pt idx="2855">
                  <c:v>105.1567</c:v>
                </c:pt>
                <c:pt idx="2856">
                  <c:v>104.7071</c:v>
                </c:pt>
                <c:pt idx="2857">
                  <c:v>104.67829999999999</c:v>
                </c:pt>
                <c:pt idx="2858">
                  <c:v>104.81400000000001</c:v>
                </c:pt>
                <c:pt idx="2859">
                  <c:v>104.74420000000002</c:v>
                </c:pt>
                <c:pt idx="2860">
                  <c:v>104.84520000000002</c:v>
                </c:pt>
                <c:pt idx="2861">
                  <c:v>104.7612</c:v>
                </c:pt>
                <c:pt idx="2862">
                  <c:v>104.7967</c:v>
                </c:pt>
                <c:pt idx="2863">
                  <c:v>104.70189999999999</c:v>
                </c:pt>
                <c:pt idx="2864">
                  <c:v>104.6489</c:v>
                </c:pt>
                <c:pt idx="2865">
                  <c:v>104.499</c:v>
                </c:pt>
                <c:pt idx="2866">
                  <c:v>104.59340000000002</c:v>
                </c:pt>
                <c:pt idx="2867">
                  <c:v>104.5155</c:v>
                </c:pt>
                <c:pt idx="2868">
                  <c:v>104.54989999999999</c:v>
                </c:pt>
                <c:pt idx="2869">
                  <c:v>104.56059999999999</c:v>
                </c:pt>
                <c:pt idx="2870">
                  <c:v>104.65</c:v>
                </c:pt>
                <c:pt idx="2871">
                  <c:v>104.5607</c:v>
                </c:pt>
                <c:pt idx="2872">
                  <c:v>104.4687</c:v>
                </c:pt>
                <c:pt idx="2873">
                  <c:v>104.6088</c:v>
                </c:pt>
                <c:pt idx="2874">
                  <c:v>104.6347</c:v>
                </c:pt>
                <c:pt idx="2875">
                  <c:v>104.6199</c:v>
                </c:pt>
                <c:pt idx="2876">
                  <c:v>104.61790000000001</c:v>
                </c:pt>
                <c:pt idx="2877">
                  <c:v>104.6375</c:v>
                </c:pt>
                <c:pt idx="2878">
                  <c:v>104.63190000000002</c:v>
                </c:pt>
                <c:pt idx="2879">
                  <c:v>104.72029999999999</c:v>
                </c:pt>
                <c:pt idx="2880">
                  <c:v>104.66850000000001</c:v>
                </c:pt>
                <c:pt idx="2881">
                  <c:v>104.6454</c:v>
                </c:pt>
                <c:pt idx="2882">
                  <c:v>104.7457</c:v>
                </c:pt>
                <c:pt idx="2883">
                  <c:v>104.803</c:v>
                </c:pt>
                <c:pt idx="2884">
                  <c:v>104.8505</c:v>
                </c:pt>
                <c:pt idx="2885">
                  <c:v>104.78510000000001</c:v>
                </c:pt>
                <c:pt idx="2886">
                  <c:v>104.8561</c:v>
                </c:pt>
                <c:pt idx="2887">
                  <c:v>104.7978</c:v>
                </c:pt>
                <c:pt idx="2888">
                  <c:v>104.7826</c:v>
                </c:pt>
                <c:pt idx="2889">
                  <c:v>104.9748</c:v>
                </c:pt>
                <c:pt idx="2890">
                  <c:v>104.9256</c:v>
                </c:pt>
                <c:pt idx="2891">
                  <c:v>104.8887</c:v>
                </c:pt>
                <c:pt idx="2892">
                  <c:v>104.67659999999999</c:v>
                </c:pt>
                <c:pt idx="2893">
                  <c:v>104.59780000000001</c:v>
                </c:pt>
                <c:pt idx="2894">
                  <c:v>104.42700000000001</c:v>
                </c:pt>
                <c:pt idx="2895">
                  <c:v>104.357</c:v>
                </c:pt>
                <c:pt idx="2896">
                  <c:v>104.60600000000001</c:v>
                </c:pt>
                <c:pt idx="2897">
                  <c:v>104.5697</c:v>
                </c:pt>
                <c:pt idx="2898">
                  <c:v>104.41079999999999</c:v>
                </c:pt>
                <c:pt idx="2899">
                  <c:v>104.45</c:v>
                </c:pt>
                <c:pt idx="2900">
                  <c:v>104.35300000000001</c:v>
                </c:pt>
                <c:pt idx="2901">
                  <c:v>104.3526</c:v>
                </c:pt>
                <c:pt idx="2902">
                  <c:v>104.3556</c:v>
                </c:pt>
                <c:pt idx="2903">
                  <c:v>104.3599</c:v>
                </c:pt>
                <c:pt idx="2904">
                  <c:v>104.2694</c:v>
                </c:pt>
                <c:pt idx="2905">
                  <c:v>104.3438</c:v>
                </c:pt>
                <c:pt idx="2906">
                  <c:v>104.28330000000001</c:v>
                </c:pt>
                <c:pt idx="2907">
                  <c:v>104.50630000000001</c:v>
                </c:pt>
                <c:pt idx="2908">
                  <c:v>104.4572</c:v>
                </c:pt>
                <c:pt idx="2909">
                  <c:v>104.4983</c:v>
                </c:pt>
                <c:pt idx="2910">
                  <c:v>104.6862</c:v>
                </c:pt>
                <c:pt idx="2911">
                  <c:v>104.6007</c:v>
                </c:pt>
                <c:pt idx="2912">
                  <c:v>104.60250000000001</c:v>
                </c:pt>
                <c:pt idx="2913">
                  <c:v>104.6211</c:v>
                </c:pt>
                <c:pt idx="2914">
                  <c:v>104.80629999999999</c:v>
                </c:pt>
                <c:pt idx="2915">
                  <c:v>104.7458</c:v>
                </c:pt>
                <c:pt idx="2916">
                  <c:v>104.7814</c:v>
                </c:pt>
                <c:pt idx="2917">
                  <c:v>104.69929999999999</c:v>
                </c:pt>
                <c:pt idx="2918">
                  <c:v>104.7657</c:v>
                </c:pt>
                <c:pt idx="2919">
                  <c:v>104.8053</c:v>
                </c:pt>
                <c:pt idx="2920">
                  <c:v>104.73220000000002</c:v>
                </c:pt>
                <c:pt idx="2921">
                  <c:v>104.6225</c:v>
                </c:pt>
                <c:pt idx="2922">
                  <c:v>104.4889</c:v>
                </c:pt>
                <c:pt idx="2923">
                  <c:v>104.49540000000002</c:v>
                </c:pt>
                <c:pt idx="2924">
                  <c:v>104.2663</c:v>
                </c:pt>
                <c:pt idx="2925">
                  <c:v>104.40050000000001</c:v>
                </c:pt>
                <c:pt idx="2926">
                  <c:v>104.30540000000001</c:v>
                </c:pt>
                <c:pt idx="2927">
                  <c:v>104.53510000000001</c:v>
                </c:pt>
                <c:pt idx="2928">
                  <c:v>104.53919999999999</c:v>
                </c:pt>
                <c:pt idx="2929">
                  <c:v>104.6551</c:v>
                </c:pt>
                <c:pt idx="2930">
                  <c:v>104.6981</c:v>
                </c:pt>
                <c:pt idx="2931">
                  <c:v>104.42059999999999</c:v>
                </c:pt>
                <c:pt idx="2932">
                  <c:v>104.53619999999999</c:v>
                </c:pt>
                <c:pt idx="2933">
                  <c:v>103.7754</c:v>
                </c:pt>
                <c:pt idx="2934">
                  <c:v>104.6212</c:v>
                </c:pt>
                <c:pt idx="2935">
                  <c:v>104.6238</c:v>
                </c:pt>
                <c:pt idx="2936">
                  <c:v>104.5915</c:v>
                </c:pt>
                <c:pt idx="2937">
                  <c:v>104.5842</c:v>
                </c:pt>
                <c:pt idx="2938">
                  <c:v>104.8719</c:v>
                </c:pt>
                <c:pt idx="2939">
                  <c:v>104.7651</c:v>
                </c:pt>
                <c:pt idx="2940">
                  <c:v>104.77809999999999</c:v>
                </c:pt>
                <c:pt idx="2941">
                  <c:v>104.68340000000001</c:v>
                </c:pt>
                <c:pt idx="2942">
                  <c:v>104.79230000000001</c:v>
                </c:pt>
                <c:pt idx="2943">
                  <c:v>104.67930000000001</c:v>
                </c:pt>
                <c:pt idx="2944">
                  <c:v>104.73569999999999</c:v>
                </c:pt>
                <c:pt idx="2945">
                  <c:v>104.8413</c:v>
                </c:pt>
                <c:pt idx="2946">
                  <c:v>104.7688</c:v>
                </c:pt>
                <c:pt idx="2947">
                  <c:v>104.81310000000001</c:v>
                </c:pt>
                <c:pt idx="2948">
                  <c:v>104.7834</c:v>
                </c:pt>
                <c:pt idx="2949">
                  <c:v>104.8451</c:v>
                </c:pt>
                <c:pt idx="2950">
                  <c:v>104.82559999999999</c:v>
                </c:pt>
                <c:pt idx="2951">
                  <c:v>104.83929999999999</c:v>
                </c:pt>
                <c:pt idx="2952">
                  <c:v>104.40260000000001</c:v>
                </c:pt>
                <c:pt idx="2953">
                  <c:v>104.72369999999999</c:v>
                </c:pt>
                <c:pt idx="2954">
                  <c:v>104.7915</c:v>
                </c:pt>
                <c:pt idx="2955">
                  <c:v>104.80929999999999</c:v>
                </c:pt>
                <c:pt idx="2956">
                  <c:v>104.7837</c:v>
                </c:pt>
                <c:pt idx="2957">
                  <c:v>104.6776</c:v>
                </c:pt>
                <c:pt idx="2958">
                  <c:v>104.64660000000001</c:v>
                </c:pt>
                <c:pt idx="2959">
                  <c:v>104.5029</c:v>
                </c:pt>
                <c:pt idx="2960">
                  <c:v>104.8163</c:v>
                </c:pt>
                <c:pt idx="2961">
                  <c:v>104.7217</c:v>
                </c:pt>
                <c:pt idx="2962">
                  <c:v>104.7728</c:v>
                </c:pt>
                <c:pt idx="2963">
                  <c:v>104.6627</c:v>
                </c:pt>
                <c:pt idx="2964">
                  <c:v>104.9434</c:v>
                </c:pt>
                <c:pt idx="2965">
                  <c:v>104.7871</c:v>
                </c:pt>
                <c:pt idx="2966">
                  <c:v>104.7735</c:v>
                </c:pt>
                <c:pt idx="2967">
                  <c:v>104.97440000000002</c:v>
                </c:pt>
                <c:pt idx="2968">
                  <c:v>104.8473</c:v>
                </c:pt>
                <c:pt idx="2969">
                  <c:v>104.8854</c:v>
                </c:pt>
                <c:pt idx="2970">
                  <c:v>105.0491</c:v>
                </c:pt>
                <c:pt idx="2971">
                  <c:v>104.9234</c:v>
                </c:pt>
                <c:pt idx="2972">
                  <c:v>105.0668</c:v>
                </c:pt>
                <c:pt idx="2973">
                  <c:v>105.06100000000001</c:v>
                </c:pt>
                <c:pt idx="2974">
                  <c:v>104.9413</c:v>
                </c:pt>
                <c:pt idx="2975">
                  <c:v>104.8117</c:v>
                </c:pt>
                <c:pt idx="2976">
                  <c:v>104.77</c:v>
                </c:pt>
                <c:pt idx="2977">
                  <c:v>104.9062</c:v>
                </c:pt>
                <c:pt idx="2978">
                  <c:v>105.0215</c:v>
                </c:pt>
                <c:pt idx="2979">
                  <c:v>104.8635</c:v>
                </c:pt>
                <c:pt idx="2980">
                  <c:v>104.68590000000002</c:v>
                </c:pt>
                <c:pt idx="2981">
                  <c:v>104.7997</c:v>
                </c:pt>
                <c:pt idx="2982">
                  <c:v>104.6815</c:v>
                </c:pt>
                <c:pt idx="2983">
                  <c:v>104.79940000000001</c:v>
                </c:pt>
                <c:pt idx="2984">
                  <c:v>104.66610000000001</c:v>
                </c:pt>
                <c:pt idx="2985">
                  <c:v>104.8877</c:v>
                </c:pt>
                <c:pt idx="2986">
                  <c:v>104.77200000000001</c:v>
                </c:pt>
                <c:pt idx="2987">
                  <c:v>104.6225</c:v>
                </c:pt>
                <c:pt idx="2988">
                  <c:v>104.56</c:v>
                </c:pt>
                <c:pt idx="2989">
                  <c:v>104.91630000000001</c:v>
                </c:pt>
                <c:pt idx="2990">
                  <c:v>104.6592</c:v>
                </c:pt>
                <c:pt idx="2991">
                  <c:v>105.06019999999999</c:v>
                </c:pt>
                <c:pt idx="2992">
                  <c:v>104.905</c:v>
                </c:pt>
                <c:pt idx="2993">
                  <c:v>105.13310000000001</c:v>
                </c:pt>
                <c:pt idx="2994">
                  <c:v>104.8415</c:v>
                </c:pt>
                <c:pt idx="2995">
                  <c:v>104.75570000000002</c:v>
                </c:pt>
                <c:pt idx="2996">
                  <c:v>104.75930000000001</c:v>
                </c:pt>
                <c:pt idx="2997">
                  <c:v>104.86440000000002</c:v>
                </c:pt>
                <c:pt idx="2998">
                  <c:v>104.72450000000001</c:v>
                </c:pt>
                <c:pt idx="2999">
                  <c:v>104.73439999999999</c:v>
                </c:pt>
                <c:pt idx="3000">
                  <c:v>104.73439999999999</c:v>
                </c:pt>
                <c:pt idx="3001">
                  <c:v>104.81229999999999</c:v>
                </c:pt>
                <c:pt idx="3002">
                  <c:v>104.82240000000002</c:v>
                </c:pt>
                <c:pt idx="3003">
                  <c:v>104.7221</c:v>
                </c:pt>
                <c:pt idx="3004">
                  <c:v>104.68940000000001</c:v>
                </c:pt>
                <c:pt idx="3005">
                  <c:v>104.96980000000001</c:v>
                </c:pt>
                <c:pt idx="3006">
                  <c:v>104.8569</c:v>
                </c:pt>
                <c:pt idx="3007">
                  <c:v>104.8669</c:v>
                </c:pt>
                <c:pt idx="3008">
                  <c:v>104.8154</c:v>
                </c:pt>
                <c:pt idx="3009">
                  <c:v>104.7197</c:v>
                </c:pt>
                <c:pt idx="3010">
                  <c:v>104.72750000000001</c:v>
                </c:pt>
                <c:pt idx="3011">
                  <c:v>104.85480000000001</c:v>
                </c:pt>
                <c:pt idx="3012">
                  <c:v>104.4996</c:v>
                </c:pt>
                <c:pt idx="3013">
                  <c:v>104.66379999999999</c:v>
                </c:pt>
                <c:pt idx="3014">
                  <c:v>104.7135</c:v>
                </c:pt>
                <c:pt idx="3015">
                  <c:v>104.7085</c:v>
                </c:pt>
                <c:pt idx="3016">
                  <c:v>104.49540000000002</c:v>
                </c:pt>
                <c:pt idx="3017">
                  <c:v>104.69200000000001</c:v>
                </c:pt>
                <c:pt idx="3018">
                  <c:v>104.19800000000001</c:v>
                </c:pt>
                <c:pt idx="3019">
                  <c:v>103.6969</c:v>
                </c:pt>
                <c:pt idx="3020">
                  <c:v>104.82559999999999</c:v>
                </c:pt>
                <c:pt idx="3021">
                  <c:v>104.7997</c:v>
                </c:pt>
                <c:pt idx="3022">
                  <c:v>105.17750000000001</c:v>
                </c:pt>
                <c:pt idx="3023">
                  <c:v>104.14360000000001</c:v>
                </c:pt>
                <c:pt idx="3024">
                  <c:v>104.77730000000001</c:v>
                </c:pt>
                <c:pt idx="3025">
                  <c:v>104.21550000000001</c:v>
                </c:pt>
                <c:pt idx="3026">
                  <c:v>105.06489999999999</c:v>
                </c:pt>
                <c:pt idx="3027">
                  <c:v>104.779</c:v>
                </c:pt>
                <c:pt idx="3028">
                  <c:v>104.8643</c:v>
                </c:pt>
                <c:pt idx="3029">
                  <c:v>104.8</c:v>
                </c:pt>
                <c:pt idx="3030">
                  <c:v>104.6889</c:v>
                </c:pt>
                <c:pt idx="3031">
                  <c:v>104.8357</c:v>
                </c:pt>
                <c:pt idx="3032">
                  <c:v>104.7814</c:v>
                </c:pt>
                <c:pt idx="3033">
                  <c:v>104.79470000000002</c:v>
                </c:pt>
                <c:pt idx="3034">
                  <c:v>104.2128</c:v>
                </c:pt>
                <c:pt idx="3035">
                  <c:v>104.30589999999999</c:v>
                </c:pt>
                <c:pt idx="3036">
                  <c:v>104.295</c:v>
                </c:pt>
                <c:pt idx="3037">
                  <c:v>104.4889</c:v>
                </c:pt>
                <c:pt idx="3038">
                  <c:v>104.8122</c:v>
                </c:pt>
                <c:pt idx="3039">
                  <c:v>104.8113</c:v>
                </c:pt>
                <c:pt idx="3040">
                  <c:v>105.2658</c:v>
                </c:pt>
                <c:pt idx="3041">
                  <c:v>104.7996</c:v>
                </c:pt>
                <c:pt idx="3042">
                  <c:v>104.7814</c:v>
                </c:pt>
                <c:pt idx="3043">
                  <c:v>104.8103</c:v>
                </c:pt>
                <c:pt idx="3044">
                  <c:v>104.4435</c:v>
                </c:pt>
                <c:pt idx="3045">
                  <c:v>104.39579999999999</c:v>
                </c:pt>
                <c:pt idx="3046">
                  <c:v>104.8309</c:v>
                </c:pt>
                <c:pt idx="3047">
                  <c:v>104.8205</c:v>
                </c:pt>
                <c:pt idx="3048">
                  <c:v>104.6816</c:v>
                </c:pt>
                <c:pt idx="3049">
                  <c:v>104.682</c:v>
                </c:pt>
                <c:pt idx="3050">
                  <c:v>104.31440000000001</c:v>
                </c:pt>
                <c:pt idx="3051">
                  <c:v>104.7517</c:v>
                </c:pt>
                <c:pt idx="3052">
                  <c:v>104.8599</c:v>
                </c:pt>
                <c:pt idx="3053">
                  <c:v>104.4049</c:v>
                </c:pt>
                <c:pt idx="3054">
                  <c:v>104.95640000000002</c:v>
                </c:pt>
                <c:pt idx="3055">
                  <c:v>104.7697</c:v>
                </c:pt>
                <c:pt idx="3056">
                  <c:v>104.77379999999999</c:v>
                </c:pt>
                <c:pt idx="3057">
                  <c:v>104.77419999999999</c:v>
                </c:pt>
                <c:pt idx="3058">
                  <c:v>105.3353</c:v>
                </c:pt>
                <c:pt idx="3059">
                  <c:v>105.2872</c:v>
                </c:pt>
                <c:pt idx="3060">
                  <c:v>104.3522</c:v>
                </c:pt>
                <c:pt idx="3061">
                  <c:v>104.39360000000001</c:v>
                </c:pt>
                <c:pt idx="3062">
                  <c:v>104.78740000000001</c:v>
                </c:pt>
                <c:pt idx="3063">
                  <c:v>105.08150000000001</c:v>
                </c:pt>
                <c:pt idx="3064">
                  <c:v>105.1074</c:v>
                </c:pt>
                <c:pt idx="3065">
                  <c:v>104.895</c:v>
                </c:pt>
                <c:pt idx="3066">
                  <c:v>104.8437</c:v>
                </c:pt>
                <c:pt idx="3067">
                  <c:v>104.3</c:v>
                </c:pt>
                <c:pt idx="3068">
                  <c:v>104.79219999999999</c:v>
                </c:pt>
                <c:pt idx="3069">
                  <c:v>104.8925</c:v>
                </c:pt>
                <c:pt idx="3070">
                  <c:v>105.32850000000001</c:v>
                </c:pt>
                <c:pt idx="3071">
                  <c:v>105.2246</c:v>
                </c:pt>
                <c:pt idx="3072">
                  <c:v>104.7889</c:v>
                </c:pt>
                <c:pt idx="3073">
                  <c:v>104.7974</c:v>
                </c:pt>
                <c:pt idx="3074">
                  <c:v>104.75709999999999</c:v>
                </c:pt>
                <c:pt idx="3075">
                  <c:v>104.9374</c:v>
                </c:pt>
                <c:pt idx="3076">
                  <c:v>104.8172</c:v>
                </c:pt>
                <c:pt idx="3077">
                  <c:v>104.80310000000001</c:v>
                </c:pt>
                <c:pt idx="3078">
                  <c:v>104.21550000000001</c:v>
                </c:pt>
                <c:pt idx="3079">
                  <c:v>104.7795</c:v>
                </c:pt>
                <c:pt idx="3080">
                  <c:v>104.8913</c:v>
                </c:pt>
                <c:pt idx="3081">
                  <c:v>104.7324</c:v>
                </c:pt>
                <c:pt idx="3082">
                  <c:v>104.679</c:v>
                </c:pt>
                <c:pt idx="3083">
                  <c:v>104.1486</c:v>
                </c:pt>
                <c:pt idx="3084">
                  <c:v>104.1538</c:v>
                </c:pt>
                <c:pt idx="3085">
                  <c:v>104.34880000000001</c:v>
                </c:pt>
                <c:pt idx="3086">
                  <c:v>104.79389999999999</c:v>
                </c:pt>
                <c:pt idx="3087">
                  <c:v>104.8086</c:v>
                </c:pt>
                <c:pt idx="3088">
                  <c:v>103.7373</c:v>
                </c:pt>
                <c:pt idx="3089">
                  <c:v>104.36150000000001</c:v>
                </c:pt>
                <c:pt idx="3090">
                  <c:v>104.80419999999999</c:v>
                </c:pt>
                <c:pt idx="3091">
                  <c:v>104.7483</c:v>
                </c:pt>
                <c:pt idx="3092">
                  <c:v>104.79710000000001</c:v>
                </c:pt>
                <c:pt idx="3093">
                  <c:v>104.9222</c:v>
                </c:pt>
                <c:pt idx="3094">
                  <c:v>104.79950000000001</c:v>
                </c:pt>
                <c:pt idx="3095">
                  <c:v>104.7835</c:v>
                </c:pt>
                <c:pt idx="3096">
                  <c:v>104.77850000000001</c:v>
                </c:pt>
                <c:pt idx="3097">
                  <c:v>104.8758</c:v>
                </c:pt>
                <c:pt idx="3098">
                  <c:v>104.8926</c:v>
                </c:pt>
                <c:pt idx="3099">
                  <c:v>104.80459999999999</c:v>
                </c:pt>
                <c:pt idx="3100">
                  <c:v>104.81760000000001</c:v>
                </c:pt>
                <c:pt idx="3101">
                  <c:v>104.82600000000001</c:v>
                </c:pt>
                <c:pt idx="3102">
                  <c:v>104.7976</c:v>
                </c:pt>
                <c:pt idx="3103">
                  <c:v>105.3259</c:v>
                </c:pt>
                <c:pt idx="3104">
                  <c:v>104.8165</c:v>
                </c:pt>
                <c:pt idx="3105">
                  <c:v>104.8165</c:v>
                </c:pt>
                <c:pt idx="3106">
                  <c:v>104.8359</c:v>
                </c:pt>
                <c:pt idx="3107">
                  <c:v>104.82900000000001</c:v>
                </c:pt>
                <c:pt idx="3108">
                  <c:v>104.7679</c:v>
                </c:pt>
                <c:pt idx="3109">
                  <c:v>104.76430000000001</c:v>
                </c:pt>
                <c:pt idx="3110">
                  <c:v>105.027</c:v>
                </c:pt>
                <c:pt idx="3111">
                  <c:v>104.7163</c:v>
                </c:pt>
                <c:pt idx="3112">
                  <c:v>105.1833</c:v>
                </c:pt>
                <c:pt idx="3113">
                  <c:v>105.1118</c:v>
                </c:pt>
                <c:pt idx="3114">
                  <c:v>104.866</c:v>
                </c:pt>
                <c:pt idx="3115">
                  <c:v>104.7684</c:v>
                </c:pt>
                <c:pt idx="3116">
                  <c:v>104.8335</c:v>
                </c:pt>
                <c:pt idx="3117">
                  <c:v>104.80459999999999</c:v>
                </c:pt>
                <c:pt idx="3118">
                  <c:v>105.07559999999999</c:v>
                </c:pt>
                <c:pt idx="3119">
                  <c:v>105.11800000000001</c:v>
                </c:pt>
                <c:pt idx="3120">
                  <c:v>105.047</c:v>
                </c:pt>
                <c:pt idx="3121">
                  <c:v>104.79519999999999</c:v>
                </c:pt>
                <c:pt idx="3122">
                  <c:v>104.2281</c:v>
                </c:pt>
                <c:pt idx="3123">
                  <c:v>104.99769999999999</c:v>
                </c:pt>
                <c:pt idx="3124">
                  <c:v>105.1401</c:v>
                </c:pt>
                <c:pt idx="3125">
                  <c:v>104.53330000000001</c:v>
                </c:pt>
                <c:pt idx="3126">
                  <c:v>104.53330000000001</c:v>
                </c:pt>
                <c:pt idx="3127">
                  <c:v>104.54300000000001</c:v>
                </c:pt>
                <c:pt idx="3128">
                  <c:v>104.75660000000001</c:v>
                </c:pt>
                <c:pt idx="3129">
                  <c:v>104.3389</c:v>
                </c:pt>
                <c:pt idx="3130">
                  <c:v>104.5522</c:v>
                </c:pt>
                <c:pt idx="3131">
                  <c:v>105.0108</c:v>
                </c:pt>
                <c:pt idx="3132">
                  <c:v>105.17789999999999</c:v>
                </c:pt>
                <c:pt idx="3133">
                  <c:v>105.15389999999999</c:v>
                </c:pt>
                <c:pt idx="3134">
                  <c:v>105.0883</c:v>
                </c:pt>
                <c:pt idx="3135">
                  <c:v>105.08140000000002</c:v>
                </c:pt>
                <c:pt idx="3136">
                  <c:v>104.76900000000001</c:v>
                </c:pt>
                <c:pt idx="3137">
                  <c:v>105.01309999999999</c:v>
                </c:pt>
                <c:pt idx="3138">
                  <c:v>104.3373</c:v>
                </c:pt>
                <c:pt idx="3139">
                  <c:v>104.754</c:v>
                </c:pt>
                <c:pt idx="3140">
                  <c:v>104.754</c:v>
                </c:pt>
                <c:pt idx="3141">
                  <c:v>104.7577</c:v>
                </c:pt>
                <c:pt idx="3142">
                  <c:v>105.0998</c:v>
                </c:pt>
                <c:pt idx="3143">
                  <c:v>105.0607</c:v>
                </c:pt>
                <c:pt idx="3144">
                  <c:v>104.79470000000002</c:v>
                </c:pt>
                <c:pt idx="3145">
                  <c:v>104.7974</c:v>
                </c:pt>
                <c:pt idx="3146">
                  <c:v>104.21339999999999</c:v>
                </c:pt>
                <c:pt idx="3147">
                  <c:v>104.21339999999999</c:v>
                </c:pt>
                <c:pt idx="3148">
                  <c:v>104.5262</c:v>
                </c:pt>
                <c:pt idx="3149">
                  <c:v>104.81520000000002</c:v>
                </c:pt>
                <c:pt idx="3150">
                  <c:v>104.50750000000001</c:v>
                </c:pt>
                <c:pt idx="3151">
                  <c:v>104.3319</c:v>
                </c:pt>
                <c:pt idx="3152">
                  <c:v>105.16550000000001</c:v>
                </c:pt>
                <c:pt idx="3153">
                  <c:v>104.3954</c:v>
                </c:pt>
                <c:pt idx="3154">
                  <c:v>104.4195</c:v>
                </c:pt>
                <c:pt idx="3155">
                  <c:v>104.5257</c:v>
                </c:pt>
                <c:pt idx="3156">
                  <c:v>104.66630000000001</c:v>
                </c:pt>
                <c:pt idx="3157">
                  <c:v>105.3844</c:v>
                </c:pt>
                <c:pt idx="3158">
                  <c:v>104.5992</c:v>
                </c:pt>
                <c:pt idx="3159">
                  <c:v>104.8826</c:v>
                </c:pt>
                <c:pt idx="3160">
                  <c:v>105.21729999999999</c:v>
                </c:pt>
                <c:pt idx="3161">
                  <c:v>105.23340000000002</c:v>
                </c:pt>
                <c:pt idx="3162">
                  <c:v>104.93590000000002</c:v>
                </c:pt>
                <c:pt idx="3163">
                  <c:v>104.99840000000002</c:v>
                </c:pt>
                <c:pt idx="3164">
                  <c:v>104.8533</c:v>
                </c:pt>
                <c:pt idx="3165">
                  <c:v>104.5091</c:v>
                </c:pt>
                <c:pt idx="3166">
                  <c:v>104.94840000000001</c:v>
                </c:pt>
                <c:pt idx="3167">
                  <c:v>104.2081</c:v>
                </c:pt>
                <c:pt idx="3168">
                  <c:v>104.2273</c:v>
                </c:pt>
                <c:pt idx="3169">
                  <c:v>104.30629999999999</c:v>
                </c:pt>
                <c:pt idx="3170">
                  <c:v>104.61069999999999</c:v>
                </c:pt>
                <c:pt idx="3171">
                  <c:v>104.61069999999999</c:v>
                </c:pt>
                <c:pt idx="3172">
                  <c:v>104.4328</c:v>
                </c:pt>
                <c:pt idx="3173">
                  <c:v>105.2137</c:v>
                </c:pt>
                <c:pt idx="3174">
                  <c:v>104.7645</c:v>
                </c:pt>
                <c:pt idx="3175">
                  <c:v>104.7573</c:v>
                </c:pt>
                <c:pt idx="3176">
                  <c:v>104.7251</c:v>
                </c:pt>
                <c:pt idx="3177">
                  <c:v>104.77130000000001</c:v>
                </c:pt>
                <c:pt idx="3178">
                  <c:v>104.8473</c:v>
                </c:pt>
                <c:pt idx="3179">
                  <c:v>104.809</c:v>
                </c:pt>
                <c:pt idx="3180">
                  <c:v>104.8425</c:v>
                </c:pt>
                <c:pt idx="3181">
                  <c:v>104.7415</c:v>
                </c:pt>
                <c:pt idx="3182">
                  <c:v>104.7093</c:v>
                </c:pt>
                <c:pt idx="3183">
                  <c:v>104.77889999999999</c:v>
                </c:pt>
                <c:pt idx="3184">
                  <c:v>105.37950000000001</c:v>
                </c:pt>
                <c:pt idx="3185">
                  <c:v>105.0218</c:v>
                </c:pt>
                <c:pt idx="3186">
                  <c:v>104.83260000000001</c:v>
                </c:pt>
                <c:pt idx="3187">
                  <c:v>104.9301</c:v>
                </c:pt>
                <c:pt idx="3188">
                  <c:v>104.5107</c:v>
                </c:pt>
                <c:pt idx="3189">
                  <c:v>104.54290000000002</c:v>
                </c:pt>
                <c:pt idx="3190">
                  <c:v>104.5326</c:v>
                </c:pt>
                <c:pt idx="3191">
                  <c:v>104.8276</c:v>
                </c:pt>
                <c:pt idx="3192">
                  <c:v>104.17189999999999</c:v>
                </c:pt>
                <c:pt idx="3193">
                  <c:v>104.6229</c:v>
                </c:pt>
                <c:pt idx="3194">
                  <c:v>104.53489999999999</c:v>
                </c:pt>
                <c:pt idx="3195">
                  <c:v>104.6485</c:v>
                </c:pt>
                <c:pt idx="3196">
                  <c:v>104.65009999999999</c:v>
                </c:pt>
                <c:pt idx="3197">
                  <c:v>104.6332</c:v>
                </c:pt>
                <c:pt idx="3198">
                  <c:v>104.971</c:v>
                </c:pt>
                <c:pt idx="3199">
                  <c:v>104.84529999999999</c:v>
                </c:pt>
                <c:pt idx="3200">
                  <c:v>104.73779999999999</c:v>
                </c:pt>
                <c:pt idx="3201">
                  <c:v>106.08459999999999</c:v>
                </c:pt>
                <c:pt idx="3202">
                  <c:v>105.79890000000002</c:v>
                </c:pt>
                <c:pt idx="3203">
                  <c:v>105.9134</c:v>
                </c:pt>
                <c:pt idx="3204">
                  <c:v>105.95880000000001</c:v>
                </c:pt>
                <c:pt idx="3205">
                  <c:v>105.22669999999999</c:v>
                </c:pt>
                <c:pt idx="3206">
                  <c:v>105.2589</c:v>
                </c:pt>
                <c:pt idx="3207">
                  <c:v>105.54770000000002</c:v>
                </c:pt>
                <c:pt idx="3208">
                  <c:v>105.14810000000001</c:v>
                </c:pt>
                <c:pt idx="3209">
                  <c:v>104.6977</c:v>
                </c:pt>
                <c:pt idx="3210">
                  <c:v>104.6977</c:v>
                </c:pt>
                <c:pt idx="3211">
                  <c:v>104.82480000000001</c:v>
                </c:pt>
                <c:pt idx="3212">
                  <c:v>105.16550000000001</c:v>
                </c:pt>
                <c:pt idx="3213">
                  <c:v>105.2826</c:v>
                </c:pt>
                <c:pt idx="3214">
                  <c:v>105.26050000000001</c:v>
                </c:pt>
                <c:pt idx="3215">
                  <c:v>104.1476</c:v>
                </c:pt>
                <c:pt idx="3216">
                  <c:v>105.1849</c:v>
                </c:pt>
                <c:pt idx="3217">
                  <c:v>105.14530000000001</c:v>
                </c:pt>
                <c:pt idx="3218">
                  <c:v>105.1472</c:v>
                </c:pt>
                <c:pt idx="3219">
                  <c:v>105.3232</c:v>
                </c:pt>
                <c:pt idx="3220">
                  <c:v>105.3336</c:v>
                </c:pt>
                <c:pt idx="3221">
                  <c:v>104.4405</c:v>
                </c:pt>
                <c:pt idx="3222">
                  <c:v>105.5699</c:v>
                </c:pt>
                <c:pt idx="3223">
                  <c:v>104.973</c:v>
                </c:pt>
                <c:pt idx="3224">
                  <c:v>104.968</c:v>
                </c:pt>
                <c:pt idx="3225">
                  <c:v>104.9284</c:v>
                </c:pt>
                <c:pt idx="3226">
                  <c:v>104.4659</c:v>
                </c:pt>
                <c:pt idx="3227">
                  <c:v>105.4824</c:v>
                </c:pt>
                <c:pt idx="3228">
                  <c:v>105.352</c:v>
                </c:pt>
                <c:pt idx="3229">
                  <c:v>105.0436</c:v>
                </c:pt>
                <c:pt idx="3230">
                  <c:v>105.3459</c:v>
                </c:pt>
                <c:pt idx="3231">
                  <c:v>105.3459</c:v>
                </c:pt>
                <c:pt idx="3232">
                  <c:v>106.245</c:v>
                </c:pt>
                <c:pt idx="3233">
                  <c:v>105.3976</c:v>
                </c:pt>
                <c:pt idx="3234">
                  <c:v>105.8976</c:v>
                </c:pt>
                <c:pt idx="3235">
                  <c:v>105.172</c:v>
                </c:pt>
                <c:pt idx="3236">
                  <c:v>104.9547</c:v>
                </c:pt>
                <c:pt idx="3237">
                  <c:v>104.6474</c:v>
                </c:pt>
                <c:pt idx="3238">
                  <c:v>104.64919999999999</c:v>
                </c:pt>
                <c:pt idx="3239">
                  <c:v>104.66970000000002</c:v>
                </c:pt>
                <c:pt idx="3240">
                  <c:v>105.3998</c:v>
                </c:pt>
                <c:pt idx="3241">
                  <c:v>105.4941</c:v>
                </c:pt>
                <c:pt idx="3242">
                  <c:v>104.75920000000001</c:v>
                </c:pt>
                <c:pt idx="3243">
                  <c:v>105.11860000000001</c:v>
                </c:pt>
                <c:pt idx="3244">
                  <c:v>105.3104</c:v>
                </c:pt>
                <c:pt idx="3245">
                  <c:v>105.32900000000001</c:v>
                </c:pt>
                <c:pt idx="3246">
                  <c:v>105.25620000000001</c:v>
                </c:pt>
                <c:pt idx="3247">
                  <c:v>104.89810000000001</c:v>
                </c:pt>
                <c:pt idx="3248">
                  <c:v>105.2886</c:v>
                </c:pt>
                <c:pt idx="3249">
                  <c:v>104.84780000000001</c:v>
                </c:pt>
                <c:pt idx="3250">
                  <c:v>105.2831</c:v>
                </c:pt>
                <c:pt idx="3251">
                  <c:v>104.43290000000002</c:v>
                </c:pt>
                <c:pt idx="3252">
                  <c:v>104.4332</c:v>
                </c:pt>
                <c:pt idx="3253">
                  <c:v>105.01260000000001</c:v>
                </c:pt>
                <c:pt idx="3254">
                  <c:v>105.02889999999999</c:v>
                </c:pt>
                <c:pt idx="3255">
                  <c:v>105.8267</c:v>
                </c:pt>
                <c:pt idx="3256">
                  <c:v>105.72500000000001</c:v>
                </c:pt>
                <c:pt idx="3257">
                  <c:v>104.7183</c:v>
                </c:pt>
                <c:pt idx="3258">
                  <c:v>105.693</c:v>
                </c:pt>
                <c:pt idx="3259">
                  <c:v>105.693</c:v>
                </c:pt>
                <c:pt idx="3260">
                  <c:v>105.25810000000001</c:v>
                </c:pt>
                <c:pt idx="3261">
                  <c:v>105.19880000000001</c:v>
                </c:pt>
                <c:pt idx="3262">
                  <c:v>105.3105</c:v>
                </c:pt>
                <c:pt idx="3263">
                  <c:v>105.27800000000001</c:v>
                </c:pt>
                <c:pt idx="3264">
                  <c:v>105.04430000000001</c:v>
                </c:pt>
                <c:pt idx="3265">
                  <c:v>105.63339999999999</c:v>
                </c:pt>
                <c:pt idx="3266">
                  <c:v>105.6238</c:v>
                </c:pt>
                <c:pt idx="3267">
                  <c:v>105.63730000000001</c:v>
                </c:pt>
                <c:pt idx="3268">
                  <c:v>105.8301</c:v>
                </c:pt>
                <c:pt idx="3269">
                  <c:v>105.0968</c:v>
                </c:pt>
                <c:pt idx="3270">
                  <c:v>106.2488</c:v>
                </c:pt>
                <c:pt idx="3271">
                  <c:v>105.25530000000001</c:v>
                </c:pt>
                <c:pt idx="3272">
                  <c:v>105.3616</c:v>
                </c:pt>
                <c:pt idx="3273">
                  <c:v>105.38079999999999</c:v>
                </c:pt>
                <c:pt idx="3274">
                  <c:v>105.4242</c:v>
                </c:pt>
                <c:pt idx="3275">
                  <c:v>105.4268</c:v>
                </c:pt>
                <c:pt idx="3276">
                  <c:v>105.3629</c:v>
                </c:pt>
                <c:pt idx="3277">
                  <c:v>105.36409999999999</c:v>
                </c:pt>
                <c:pt idx="3278">
                  <c:v>105.0575</c:v>
                </c:pt>
                <c:pt idx="3279">
                  <c:v>105.2758</c:v>
                </c:pt>
                <c:pt idx="3280">
                  <c:v>105.2758</c:v>
                </c:pt>
                <c:pt idx="3281">
                  <c:v>105.5217</c:v>
                </c:pt>
                <c:pt idx="3282">
                  <c:v>105.3694</c:v>
                </c:pt>
                <c:pt idx="3283">
                  <c:v>105.375</c:v>
                </c:pt>
                <c:pt idx="3284">
                  <c:v>105.38509999999999</c:v>
                </c:pt>
                <c:pt idx="3285">
                  <c:v>105.4324</c:v>
                </c:pt>
                <c:pt idx="3286">
                  <c:v>105.9996</c:v>
                </c:pt>
                <c:pt idx="3287">
                  <c:v>105.9996</c:v>
                </c:pt>
                <c:pt idx="3288">
                  <c:v>105.89450000000001</c:v>
                </c:pt>
                <c:pt idx="3289">
                  <c:v>105.5149</c:v>
                </c:pt>
                <c:pt idx="3290">
                  <c:v>105.55759999999999</c:v>
                </c:pt>
                <c:pt idx="3291">
                  <c:v>105.50709999999999</c:v>
                </c:pt>
                <c:pt idx="3292">
                  <c:v>105.65089999999999</c:v>
                </c:pt>
                <c:pt idx="3293">
                  <c:v>105.0517</c:v>
                </c:pt>
                <c:pt idx="3294">
                  <c:v>105.01390000000001</c:v>
                </c:pt>
                <c:pt idx="3295">
                  <c:v>105.00810000000001</c:v>
                </c:pt>
                <c:pt idx="3296">
                  <c:v>105.2894</c:v>
                </c:pt>
                <c:pt idx="3297">
                  <c:v>105.00109999999999</c:v>
                </c:pt>
                <c:pt idx="3298">
                  <c:v>104.834</c:v>
                </c:pt>
                <c:pt idx="3299">
                  <c:v>105.2642</c:v>
                </c:pt>
                <c:pt idx="3300">
                  <c:v>105.37530000000001</c:v>
                </c:pt>
                <c:pt idx="3301">
                  <c:v>105.383</c:v>
                </c:pt>
                <c:pt idx="3302">
                  <c:v>105.36980000000001</c:v>
                </c:pt>
                <c:pt idx="3303">
                  <c:v>105.29</c:v>
                </c:pt>
                <c:pt idx="3304">
                  <c:v>105.28579999999999</c:v>
                </c:pt>
                <c:pt idx="3305">
                  <c:v>104.95959999999999</c:v>
                </c:pt>
                <c:pt idx="3306">
                  <c:v>105.0236</c:v>
                </c:pt>
                <c:pt idx="3307">
                  <c:v>105.4104</c:v>
                </c:pt>
                <c:pt idx="3308">
                  <c:v>105.36239999999999</c:v>
                </c:pt>
                <c:pt idx="3309">
                  <c:v>105.3766</c:v>
                </c:pt>
                <c:pt idx="3310">
                  <c:v>105.3433</c:v>
                </c:pt>
                <c:pt idx="3311">
                  <c:v>105.3098</c:v>
                </c:pt>
                <c:pt idx="3312">
                  <c:v>105.0076</c:v>
                </c:pt>
                <c:pt idx="3313">
                  <c:v>105.4015</c:v>
                </c:pt>
                <c:pt idx="3314">
                  <c:v>105.54389999999999</c:v>
                </c:pt>
                <c:pt idx="3315">
                  <c:v>105.54389999999999</c:v>
                </c:pt>
                <c:pt idx="3316">
                  <c:v>105.5132</c:v>
                </c:pt>
                <c:pt idx="3317">
                  <c:v>105.25990000000002</c:v>
                </c:pt>
                <c:pt idx="3318">
                  <c:v>105.2236</c:v>
                </c:pt>
                <c:pt idx="3319">
                  <c:v>105.48390000000001</c:v>
                </c:pt>
                <c:pt idx="3320">
                  <c:v>105.1255</c:v>
                </c:pt>
                <c:pt idx="3321">
                  <c:v>105.62090000000001</c:v>
                </c:pt>
                <c:pt idx="3322">
                  <c:v>105.62090000000001</c:v>
                </c:pt>
                <c:pt idx="3323">
                  <c:v>105.50450000000001</c:v>
                </c:pt>
                <c:pt idx="3324">
                  <c:v>105.2119</c:v>
                </c:pt>
                <c:pt idx="3325">
                  <c:v>105.12609999999999</c:v>
                </c:pt>
                <c:pt idx="3326">
                  <c:v>105.16250000000001</c:v>
                </c:pt>
                <c:pt idx="3327">
                  <c:v>105.1217</c:v>
                </c:pt>
                <c:pt idx="3328">
                  <c:v>104.8691</c:v>
                </c:pt>
                <c:pt idx="3329">
                  <c:v>104.7392</c:v>
                </c:pt>
                <c:pt idx="3330">
                  <c:v>104.23609999999999</c:v>
                </c:pt>
                <c:pt idx="3331">
                  <c:v>105.35000000000001</c:v>
                </c:pt>
                <c:pt idx="3332">
                  <c:v>104.6161</c:v>
                </c:pt>
                <c:pt idx="3333">
                  <c:v>105.4222</c:v>
                </c:pt>
                <c:pt idx="3334">
                  <c:v>105.2371</c:v>
                </c:pt>
                <c:pt idx="3335">
                  <c:v>105.4391</c:v>
                </c:pt>
                <c:pt idx="3336">
                  <c:v>105.4391</c:v>
                </c:pt>
                <c:pt idx="3337">
                  <c:v>105.4374</c:v>
                </c:pt>
                <c:pt idx="3338">
                  <c:v>105.6814</c:v>
                </c:pt>
                <c:pt idx="3339">
                  <c:v>105.2162</c:v>
                </c:pt>
                <c:pt idx="3340">
                  <c:v>104.7756</c:v>
                </c:pt>
                <c:pt idx="3341">
                  <c:v>105.27809999999999</c:v>
                </c:pt>
                <c:pt idx="3342">
                  <c:v>105.2321</c:v>
                </c:pt>
                <c:pt idx="3343">
                  <c:v>105.2303</c:v>
                </c:pt>
                <c:pt idx="3344">
                  <c:v>104.746</c:v>
                </c:pt>
                <c:pt idx="3345">
                  <c:v>105.8245</c:v>
                </c:pt>
                <c:pt idx="3346">
                  <c:v>105.7771</c:v>
                </c:pt>
                <c:pt idx="3347">
                  <c:v>105.3904</c:v>
                </c:pt>
                <c:pt idx="3348">
                  <c:v>105.32600000000001</c:v>
                </c:pt>
                <c:pt idx="3349">
                  <c:v>105.40219999999999</c:v>
                </c:pt>
                <c:pt idx="3350">
                  <c:v>105.40219999999999</c:v>
                </c:pt>
                <c:pt idx="3351">
                  <c:v>105.39190000000001</c:v>
                </c:pt>
                <c:pt idx="3352">
                  <c:v>105.4</c:v>
                </c:pt>
                <c:pt idx="3353">
                  <c:v>105.7354</c:v>
                </c:pt>
                <c:pt idx="3354">
                  <c:v>105.5594</c:v>
                </c:pt>
                <c:pt idx="3355">
                  <c:v>105.4295</c:v>
                </c:pt>
                <c:pt idx="3356">
                  <c:v>105.9</c:v>
                </c:pt>
                <c:pt idx="3357">
                  <c:v>105.7273</c:v>
                </c:pt>
                <c:pt idx="3358">
                  <c:v>105.768</c:v>
                </c:pt>
                <c:pt idx="3359">
                  <c:v>107.6122</c:v>
                </c:pt>
                <c:pt idx="3360">
                  <c:v>108.9554</c:v>
                </c:pt>
                <c:pt idx="3361">
                  <c:v>108.6725</c:v>
                </c:pt>
                <c:pt idx="3362">
                  <c:v>110.27610000000001</c:v>
                </c:pt>
                <c:pt idx="3363">
                  <c:v>110.3325</c:v>
                </c:pt>
                <c:pt idx="3364">
                  <c:v>110.3325</c:v>
                </c:pt>
                <c:pt idx="3365">
                  <c:v>110.24060000000001</c:v>
                </c:pt>
                <c:pt idx="3366">
                  <c:v>109.9691</c:v>
                </c:pt>
                <c:pt idx="3367">
                  <c:v>110.32389999999999</c:v>
                </c:pt>
                <c:pt idx="3368">
                  <c:v>110.5498</c:v>
                </c:pt>
                <c:pt idx="3369">
                  <c:v>110.66310000000001</c:v>
                </c:pt>
                <c:pt idx="3370">
                  <c:v>110.59990000000001</c:v>
                </c:pt>
                <c:pt idx="3371">
                  <c:v>110.60000000000001</c:v>
                </c:pt>
                <c:pt idx="3372">
                  <c:v>110.5945</c:v>
                </c:pt>
                <c:pt idx="3373">
                  <c:v>110.50920000000001</c:v>
                </c:pt>
                <c:pt idx="3374">
                  <c:v>110.64</c:v>
                </c:pt>
                <c:pt idx="3375">
                  <c:v>110.65050000000001</c:v>
                </c:pt>
                <c:pt idx="3376">
                  <c:v>110.65590000000002</c:v>
                </c:pt>
                <c:pt idx="3377">
                  <c:v>110.5228</c:v>
                </c:pt>
                <c:pt idx="3378">
                  <c:v>110.5228</c:v>
                </c:pt>
                <c:pt idx="3379">
                  <c:v>110.55610000000001</c:v>
                </c:pt>
                <c:pt idx="3380">
                  <c:v>110.4126</c:v>
                </c:pt>
                <c:pt idx="3381">
                  <c:v>110.7458</c:v>
                </c:pt>
                <c:pt idx="3382">
                  <c:v>110.74809999999999</c:v>
                </c:pt>
                <c:pt idx="3383">
                  <c:v>110.6448</c:v>
                </c:pt>
                <c:pt idx="3384">
                  <c:v>110.9503</c:v>
                </c:pt>
                <c:pt idx="3385">
                  <c:v>110.9503</c:v>
                </c:pt>
                <c:pt idx="3386">
                  <c:v>110.87340000000002</c:v>
                </c:pt>
                <c:pt idx="3387">
                  <c:v>110.88010000000001</c:v>
                </c:pt>
                <c:pt idx="3388">
                  <c:v>110.65350000000001</c:v>
                </c:pt>
                <c:pt idx="3389">
                  <c:v>110.64660000000001</c:v>
                </c:pt>
                <c:pt idx="3390">
                  <c:v>110.729</c:v>
                </c:pt>
                <c:pt idx="3391">
                  <c:v>110.54810000000001</c:v>
                </c:pt>
                <c:pt idx="3392">
                  <c:v>110.5457</c:v>
                </c:pt>
                <c:pt idx="3393">
                  <c:v>110.1326</c:v>
                </c:pt>
                <c:pt idx="3394">
                  <c:v>110.67810000000001</c:v>
                </c:pt>
                <c:pt idx="3395">
                  <c:v>110.3322</c:v>
                </c:pt>
                <c:pt idx="3396">
                  <c:v>110.94329999999999</c:v>
                </c:pt>
                <c:pt idx="3397">
                  <c:v>110.71559999999999</c:v>
                </c:pt>
                <c:pt idx="3398">
                  <c:v>110.55010000000001</c:v>
                </c:pt>
                <c:pt idx="3399">
                  <c:v>110.55010000000001</c:v>
                </c:pt>
                <c:pt idx="3400">
                  <c:v>111.06520000000002</c:v>
                </c:pt>
                <c:pt idx="3401">
                  <c:v>110.7465</c:v>
                </c:pt>
                <c:pt idx="3402">
                  <c:v>110.7546</c:v>
                </c:pt>
                <c:pt idx="3403">
                  <c:v>110.5476</c:v>
                </c:pt>
                <c:pt idx="3404">
                  <c:v>110.6473</c:v>
                </c:pt>
                <c:pt idx="3405">
                  <c:v>110.54689999999999</c:v>
                </c:pt>
                <c:pt idx="3406">
                  <c:v>110.54689999999999</c:v>
                </c:pt>
                <c:pt idx="3407">
                  <c:v>110.55029999999999</c:v>
                </c:pt>
                <c:pt idx="3408">
                  <c:v>110.55159999999999</c:v>
                </c:pt>
                <c:pt idx="3409">
                  <c:v>110.7492</c:v>
                </c:pt>
                <c:pt idx="3410">
                  <c:v>110.5746</c:v>
                </c:pt>
                <c:pt idx="3411">
                  <c:v>110.64409999999999</c:v>
                </c:pt>
                <c:pt idx="3412">
                  <c:v>110.5493</c:v>
                </c:pt>
                <c:pt idx="3413">
                  <c:v>110.55</c:v>
                </c:pt>
                <c:pt idx="3414">
                  <c:v>110.68219999999999</c:v>
                </c:pt>
                <c:pt idx="3415">
                  <c:v>110.551</c:v>
                </c:pt>
                <c:pt idx="3416">
                  <c:v>110.7195</c:v>
                </c:pt>
                <c:pt idx="3417">
                  <c:v>110.7658</c:v>
                </c:pt>
                <c:pt idx="3418">
                  <c:v>110.59760000000001</c:v>
                </c:pt>
                <c:pt idx="3419">
                  <c:v>110.75960000000001</c:v>
                </c:pt>
                <c:pt idx="3420">
                  <c:v>110.76</c:v>
                </c:pt>
                <c:pt idx="3421">
                  <c:v>110.78690000000002</c:v>
                </c:pt>
                <c:pt idx="3422">
                  <c:v>110.7332</c:v>
                </c:pt>
                <c:pt idx="3423">
                  <c:v>110.5476</c:v>
                </c:pt>
                <c:pt idx="3424">
                  <c:v>110.69840000000001</c:v>
                </c:pt>
                <c:pt idx="3425">
                  <c:v>110.66200000000001</c:v>
                </c:pt>
                <c:pt idx="3426">
                  <c:v>110.59950000000001</c:v>
                </c:pt>
                <c:pt idx="3427">
                  <c:v>110.6001</c:v>
                </c:pt>
                <c:pt idx="3428">
                  <c:v>110.7253</c:v>
                </c:pt>
                <c:pt idx="3429">
                  <c:v>110.7067</c:v>
                </c:pt>
                <c:pt idx="3430">
                  <c:v>110.60000000000001</c:v>
                </c:pt>
                <c:pt idx="3431">
                  <c:v>110.6828</c:v>
                </c:pt>
                <c:pt idx="3432">
                  <c:v>110.6035</c:v>
                </c:pt>
                <c:pt idx="3433">
                  <c:v>110.60000000000001</c:v>
                </c:pt>
                <c:pt idx="3434">
                  <c:v>110.8676</c:v>
                </c:pt>
                <c:pt idx="3435">
                  <c:v>110.7942</c:v>
                </c:pt>
                <c:pt idx="3436">
                  <c:v>110.54689999999999</c:v>
                </c:pt>
                <c:pt idx="3437">
                  <c:v>110.7024</c:v>
                </c:pt>
                <c:pt idx="3438">
                  <c:v>110.6532</c:v>
                </c:pt>
                <c:pt idx="3439">
                  <c:v>110.69580000000001</c:v>
                </c:pt>
                <c:pt idx="3440">
                  <c:v>110.65</c:v>
                </c:pt>
                <c:pt idx="3441">
                  <c:v>110.6477</c:v>
                </c:pt>
                <c:pt idx="3442">
                  <c:v>110.65</c:v>
                </c:pt>
                <c:pt idx="3443">
                  <c:v>110.6527</c:v>
                </c:pt>
                <c:pt idx="3444">
                  <c:v>110.6604</c:v>
                </c:pt>
                <c:pt idx="3445">
                  <c:v>110.7266</c:v>
                </c:pt>
                <c:pt idx="3446">
                  <c:v>110.6999</c:v>
                </c:pt>
                <c:pt idx="3447">
                  <c:v>110.72580000000001</c:v>
                </c:pt>
                <c:pt idx="3448">
                  <c:v>110.72580000000001</c:v>
                </c:pt>
                <c:pt idx="3449">
                  <c:v>110.7289</c:v>
                </c:pt>
                <c:pt idx="3450">
                  <c:v>110.6641</c:v>
                </c:pt>
                <c:pt idx="3451">
                  <c:v>110.43660000000001</c:v>
                </c:pt>
                <c:pt idx="3452">
                  <c:v>110.6579</c:v>
                </c:pt>
                <c:pt idx="3453">
                  <c:v>110.65600000000001</c:v>
                </c:pt>
                <c:pt idx="3454">
                  <c:v>110.625</c:v>
                </c:pt>
                <c:pt idx="3455">
                  <c:v>110.625</c:v>
                </c:pt>
                <c:pt idx="3456">
                  <c:v>110.8839</c:v>
                </c:pt>
                <c:pt idx="3457">
                  <c:v>110.54179999999999</c:v>
                </c:pt>
                <c:pt idx="3458">
                  <c:v>110.5973</c:v>
                </c:pt>
                <c:pt idx="3459">
                  <c:v>115.1352</c:v>
                </c:pt>
                <c:pt idx="3460">
                  <c:v>115.7107</c:v>
                </c:pt>
                <c:pt idx="3461">
                  <c:v>115.5506</c:v>
                </c:pt>
                <c:pt idx="3462">
                  <c:v>115.4819</c:v>
                </c:pt>
                <c:pt idx="3463">
                  <c:v>115.49550000000001</c:v>
                </c:pt>
                <c:pt idx="3464">
                  <c:v>115.5016</c:v>
                </c:pt>
                <c:pt idx="3465">
                  <c:v>115.59610000000001</c:v>
                </c:pt>
                <c:pt idx="3466">
                  <c:v>115.63930000000001</c:v>
                </c:pt>
                <c:pt idx="3467">
                  <c:v>115.6185</c:v>
                </c:pt>
                <c:pt idx="3468">
                  <c:v>115.7097</c:v>
                </c:pt>
                <c:pt idx="3469">
                  <c:v>115.7131</c:v>
                </c:pt>
                <c:pt idx="3470">
                  <c:v>115.6247</c:v>
                </c:pt>
                <c:pt idx="3471">
                  <c:v>115.727</c:v>
                </c:pt>
                <c:pt idx="3472">
                  <c:v>115.6874</c:v>
                </c:pt>
                <c:pt idx="3473">
                  <c:v>115.7009</c:v>
                </c:pt>
                <c:pt idx="3474">
                  <c:v>115.7602</c:v>
                </c:pt>
                <c:pt idx="3475">
                  <c:v>115.50069999999999</c:v>
                </c:pt>
                <c:pt idx="3476">
                  <c:v>115.50369999999999</c:v>
                </c:pt>
                <c:pt idx="3477">
                  <c:v>115.69070000000002</c:v>
                </c:pt>
                <c:pt idx="3478">
                  <c:v>115.3759</c:v>
                </c:pt>
                <c:pt idx="3479">
                  <c:v>115.52550000000001</c:v>
                </c:pt>
                <c:pt idx="3480">
                  <c:v>115.4933</c:v>
                </c:pt>
                <c:pt idx="3481">
                  <c:v>115.6482</c:v>
                </c:pt>
                <c:pt idx="3482">
                  <c:v>115.59990000000001</c:v>
                </c:pt>
                <c:pt idx="3483">
                  <c:v>115.59990000000001</c:v>
                </c:pt>
                <c:pt idx="3484">
                  <c:v>115.6011</c:v>
                </c:pt>
                <c:pt idx="3485">
                  <c:v>115.7624</c:v>
                </c:pt>
                <c:pt idx="3486">
                  <c:v>115.5517</c:v>
                </c:pt>
                <c:pt idx="3487">
                  <c:v>115.66079999999999</c:v>
                </c:pt>
                <c:pt idx="3488">
                  <c:v>115.72329999999999</c:v>
                </c:pt>
                <c:pt idx="3489">
                  <c:v>115.55010000000001</c:v>
                </c:pt>
                <c:pt idx="3490">
                  <c:v>115.68</c:v>
                </c:pt>
                <c:pt idx="3491">
                  <c:v>115.65770000000002</c:v>
                </c:pt>
                <c:pt idx="3492">
                  <c:v>115.75109999999999</c:v>
                </c:pt>
                <c:pt idx="3493">
                  <c:v>115.75239999999999</c:v>
                </c:pt>
                <c:pt idx="3494">
                  <c:v>115.68830000000001</c:v>
                </c:pt>
                <c:pt idx="3495">
                  <c:v>115.72969999999999</c:v>
                </c:pt>
                <c:pt idx="3496">
                  <c:v>115.5998</c:v>
                </c:pt>
                <c:pt idx="3497">
                  <c:v>115.5998</c:v>
                </c:pt>
                <c:pt idx="3498">
                  <c:v>115.7015</c:v>
                </c:pt>
                <c:pt idx="3499">
                  <c:v>115.7846</c:v>
                </c:pt>
                <c:pt idx="3500">
                  <c:v>115.91330000000001</c:v>
                </c:pt>
                <c:pt idx="3501">
                  <c:v>115.71939999999999</c:v>
                </c:pt>
                <c:pt idx="3502">
                  <c:v>115.60000000000001</c:v>
                </c:pt>
                <c:pt idx="3503">
                  <c:v>115.7754</c:v>
                </c:pt>
                <c:pt idx="3504">
                  <c:v>115.68470000000002</c:v>
                </c:pt>
                <c:pt idx="3505">
                  <c:v>115.64230000000001</c:v>
                </c:pt>
                <c:pt idx="3506">
                  <c:v>115.6746</c:v>
                </c:pt>
                <c:pt idx="3507">
                  <c:v>115.7315</c:v>
                </c:pt>
                <c:pt idx="3508">
                  <c:v>115.67359999999999</c:v>
                </c:pt>
                <c:pt idx="3509">
                  <c:v>115.7771</c:v>
                </c:pt>
                <c:pt idx="3510">
                  <c:v>115.55010000000001</c:v>
                </c:pt>
                <c:pt idx="3511">
                  <c:v>115.5468</c:v>
                </c:pt>
                <c:pt idx="3512">
                  <c:v>115.59880000000001</c:v>
                </c:pt>
                <c:pt idx="3513">
                  <c:v>115.67619999999999</c:v>
                </c:pt>
                <c:pt idx="3514">
                  <c:v>115.7667</c:v>
                </c:pt>
                <c:pt idx="3515">
                  <c:v>115.7296</c:v>
                </c:pt>
                <c:pt idx="3516">
                  <c:v>115.81740000000001</c:v>
                </c:pt>
                <c:pt idx="3517">
                  <c:v>115.77930000000001</c:v>
                </c:pt>
                <c:pt idx="3518">
                  <c:v>115.68590000000002</c:v>
                </c:pt>
                <c:pt idx="3519">
                  <c:v>115.6876</c:v>
                </c:pt>
                <c:pt idx="3520">
                  <c:v>115.65</c:v>
                </c:pt>
                <c:pt idx="3521">
                  <c:v>115.595</c:v>
                </c:pt>
                <c:pt idx="3522">
                  <c:v>115.6016</c:v>
                </c:pt>
                <c:pt idx="3523">
                  <c:v>115.67529999999999</c:v>
                </c:pt>
                <c:pt idx="3524">
                  <c:v>115.59990000000001</c:v>
                </c:pt>
                <c:pt idx="3525">
                  <c:v>115.60039999999999</c:v>
                </c:pt>
                <c:pt idx="3526">
                  <c:v>115.5998</c:v>
                </c:pt>
                <c:pt idx="3527">
                  <c:v>115.8075</c:v>
                </c:pt>
                <c:pt idx="3528">
                  <c:v>115.78830000000001</c:v>
                </c:pt>
                <c:pt idx="3529">
                  <c:v>115.66930000000001</c:v>
                </c:pt>
                <c:pt idx="3530">
                  <c:v>115.7021</c:v>
                </c:pt>
                <c:pt idx="3531">
                  <c:v>115.59950000000001</c:v>
                </c:pt>
                <c:pt idx="3532">
                  <c:v>116.17230000000001</c:v>
                </c:pt>
                <c:pt idx="3533">
                  <c:v>116.17230000000001</c:v>
                </c:pt>
                <c:pt idx="3534">
                  <c:v>115.8763</c:v>
                </c:pt>
                <c:pt idx="3535">
                  <c:v>115.5955</c:v>
                </c:pt>
                <c:pt idx="3536">
                  <c:v>115.70040000000002</c:v>
                </c:pt>
                <c:pt idx="3537">
                  <c:v>115.71259999999999</c:v>
                </c:pt>
                <c:pt idx="3538">
                  <c:v>115.6985</c:v>
                </c:pt>
                <c:pt idx="3539">
                  <c:v>115.6955</c:v>
                </c:pt>
                <c:pt idx="3540">
                  <c:v>115.34780000000001</c:v>
                </c:pt>
                <c:pt idx="3541">
                  <c:v>115.76230000000001</c:v>
                </c:pt>
                <c:pt idx="3542">
                  <c:v>115.59950000000001</c:v>
                </c:pt>
                <c:pt idx="3543">
                  <c:v>118.03090000000002</c:v>
                </c:pt>
                <c:pt idx="3544">
                  <c:v>117.1591</c:v>
                </c:pt>
                <c:pt idx="3545">
                  <c:v>119.8745</c:v>
                </c:pt>
                <c:pt idx="3546">
                  <c:v>119.8745</c:v>
                </c:pt>
                <c:pt idx="3547">
                  <c:v>119.875</c:v>
                </c:pt>
                <c:pt idx="3548">
                  <c:v>119.82850000000001</c:v>
                </c:pt>
                <c:pt idx="3549">
                  <c:v>121.24760000000001</c:v>
                </c:pt>
                <c:pt idx="3550">
                  <c:v>121.5308</c:v>
                </c:pt>
                <c:pt idx="3551">
                  <c:v>121.64630000000001</c:v>
                </c:pt>
                <c:pt idx="3552">
                  <c:v>121.60169999999999</c:v>
                </c:pt>
                <c:pt idx="3553">
                  <c:v>121.60169999999999</c:v>
                </c:pt>
                <c:pt idx="3554">
                  <c:v>121.6086</c:v>
                </c:pt>
                <c:pt idx="3555">
                  <c:v>121.5733</c:v>
                </c:pt>
                <c:pt idx="3556">
                  <c:v>121.6422</c:v>
                </c:pt>
                <c:pt idx="3557">
                  <c:v>121.5449</c:v>
                </c:pt>
                <c:pt idx="3558">
                  <c:v>121.7285</c:v>
                </c:pt>
                <c:pt idx="3559">
                  <c:v>121.7375</c:v>
                </c:pt>
                <c:pt idx="3560">
                  <c:v>121.73309999999999</c:v>
                </c:pt>
                <c:pt idx="3561">
                  <c:v>121.6576</c:v>
                </c:pt>
                <c:pt idx="3562">
                  <c:v>121.6824</c:v>
                </c:pt>
                <c:pt idx="3563">
                  <c:v>121.7282</c:v>
                </c:pt>
                <c:pt idx="3564">
                  <c:v>121.755</c:v>
                </c:pt>
                <c:pt idx="3565">
                  <c:v>121.5956</c:v>
                </c:pt>
                <c:pt idx="3566">
                  <c:v>121.6001</c:v>
                </c:pt>
                <c:pt idx="3567">
                  <c:v>121.5998</c:v>
                </c:pt>
                <c:pt idx="3568">
                  <c:v>121.22929999999999</c:v>
                </c:pt>
                <c:pt idx="3569">
                  <c:v>121.55</c:v>
                </c:pt>
                <c:pt idx="3570">
                  <c:v>121.5932</c:v>
                </c:pt>
                <c:pt idx="3571">
                  <c:v>121.5522</c:v>
                </c:pt>
                <c:pt idx="3572">
                  <c:v>121.5467</c:v>
                </c:pt>
                <c:pt idx="3573">
                  <c:v>121.5498</c:v>
                </c:pt>
                <c:pt idx="3574">
                  <c:v>121.5479</c:v>
                </c:pt>
                <c:pt idx="3575">
                  <c:v>121.64700000000001</c:v>
                </c:pt>
                <c:pt idx="3576">
                  <c:v>121.5121</c:v>
                </c:pt>
                <c:pt idx="3577">
                  <c:v>127.3635</c:v>
                </c:pt>
                <c:pt idx="3578">
                  <c:v>127.6551</c:v>
                </c:pt>
                <c:pt idx="3579">
                  <c:v>128.88</c:v>
                </c:pt>
                <c:pt idx="3580">
                  <c:v>128.5</c:v>
                </c:pt>
                <c:pt idx="3581">
                  <c:v>128.31549999999999</c:v>
                </c:pt>
                <c:pt idx="3582">
                  <c:v>128.3134</c:v>
                </c:pt>
                <c:pt idx="3583">
                  <c:v>129.1867</c:v>
                </c:pt>
                <c:pt idx="3584">
                  <c:v>129.1575</c:v>
                </c:pt>
                <c:pt idx="3585">
                  <c:v>129.1189</c:v>
                </c:pt>
                <c:pt idx="3586">
                  <c:v>129.0044</c:v>
                </c:pt>
                <c:pt idx="3587">
                  <c:v>128.99979999999999</c:v>
                </c:pt>
                <c:pt idx="3588">
                  <c:v>128.99979999999999</c:v>
                </c:pt>
                <c:pt idx="3589">
                  <c:v>128.5333</c:v>
                </c:pt>
                <c:pt idx="3590">
                  <c:v>121.5767</c:v>
                </c:pt>
                <c:pt idx="3591">
                  <c:v>123.48340000000002</c:v>
                </c:pt>
                <c:pt idx="3592">
                  <c:v>123.4971</c:v>
                </c:pt>
                <c:pt idx="3593">
                  <c:v>123.15430000000001</c:v>
                </c:pt>
                <c:pt idx="3594">
                  <c:v>124.10000000000001</c:v>
                </c:pt>
                <c:pt idx="3595">
                  <c:v>124.10000000000001</c:v>
                </c:pt>
                <c:pt idx="3596">
                  <c:v>123.3475</c:v>
                </c:pt>
                <c:pt idx="3597">
                  <c:v>124.122</c:v>
                </c:pt>
                <c:pt idx="3598">
                  <c:v>123.50690000000002</c:v>
                </c:pt>
                <c:pt idx="3599">
                  <c:v>123.51290000000002</c:v>
                </c:pt>
                <c:pt idx="3600">
                  <c:v>123.39830000000001</c:v>
                </c:pt>
                <c:pt idx="3601">
                  <c:v>123.95</c:v>
                </c:pt>
                <c:pt idx="3602">
                  <c:v>123.95</c:v>
                </c:pt>
                <c:pt idx="3603">
                  <c:v>123.3111</c:v>
                </c:pt>
                <c:pt idx="3604">
                  <c:v>123.75810000000001</c:v>
                </c:pt>
                <c:pt idx="3605">
                  <c:v>124</c:v>
                </c:pt>
                <c:pt idx="3606">
                  <c:v>123.5287</c:v>
                </c:pt>
                <c:pt idx="3607">
                  <c:v>122.75560000000002</c:v>
                </c:pt>
                <c:pt idx="3608">
                  <c:v>123.68340000000001</c:v>
                </c:pt>
                <c:pt idx="3609">
                  <c:v>123.68340000000001</c:v>
                </c:pt>
                <c:pt idx="3610">
                  <c:v>122.9538</c:v>
                </c:pt>
                <c:pt idx="3611">
                  <c:v>123.10339999999999</c:v>
                </c:pt>
                <c:pt idx="3612">
                  <c:v>122.7717</c:v>
                </c:pt>
                <c:pt idx="3613">
                  <c:v>122.7433</c:v>
                </c:pt>
                <c:pt idx="3614">
                  <c:v>123.131</c:v>
                </c:pt>
                <c:pt idx="3615">
                  <c:v>122.07600000000001</c:v>
                </c:pt>
                <c:pt idx="3616">
                  <c:v>122.07600000000001</c:v>
                </c:pt>
                <c:pt idx="3617">
                  <c:v>122.07559999999999</c:v>
                </c:pt>
                <c:pt idx="3618">
                  <c:v>123.05110000000001</c:v>
                </c:pt>
                <c:pt idx="3619">
                  <c:v>123.08440000000002</c:v>
                </c:pt>
                <c:pt idx="3620">
                  <c:v>123.10550000000001</c:v>
                </c:pt>
                <c:pt idx="3621">
                  <c:v>123.0316</c:v>
                </c:pt>
                <c:pt idx="3622">
                  <c:v>122.99000000000001</c:v>
                </c:pt>
                <c:pt idx="3623">
                  <c:v>122.99000000000001</c:v>
                </c:pt>
                <c:pt idx="3624">
                  <c:v>123.0753</c:v>
                </c:pt>
                <c:pt idx="3625">
                  <c:v>123.1056</c:v>
                </c:pt>
                <c:pt idx="3626">
                  <c:v>123.1814</c:v>
                </c:pt>
                <c:pt idx="3627">
                  <c:v>123.1807</c:v>
                </c:pt>
                <c:pt idx="3628">
                  <c:v>123.11060000000001</c:v>
                </c:pt>
                <c:pt idx="3629">
                  <c:v>123.2174</c:v>
                </c:pt>
                <c:pt idx="3630">
                  <c:v>123.21900000000001</c:v>
                </c:pt>
                <c:pt idx="3631">
                  <c:v>123.23580000000001</c:v>
                </c:pt>
                <c:pt idx="3632">
                  <c:v>123.4255</c:v>
                </c:pt>
                <c:pt idx="3633">
                  <c:v>123.1113</c:v>
                </c:pt>
                <c:pt idx="3634">
                  <c:v>123.1155</c:v>
                </c:pt>
                <c:pt idx="3635">
                  <c:v>123.53930000000001</c:v>
                </c:pt>
                <c:pt idx="3636">
                  <c:v>123.87439999999999</c:v>
                </c:pt>
                <c:pt idx="3637">
                  <c:v>123.87439999999999</c:v>
                </c:pt>
                <c:pt idx="3638">
                  <c:v>123.4002</c:v>
                </c:pt>
                <c:pt idx="3639">
                  <c:v>123.51650000000001</c:v>
                </c:pt>
                <c:pt idx="3640">
                  <c:v>123.30410000000001</c:v>
                </c:pt>
                <c:pt idx="3641">
                  <c:v>123.3762</c:v>
                </c:pt>
                <c:pt idx="3642">
                  <c:v>123.4477</c:v>
                </c:pt>
                <c:pt idx="3643">
                  <c:v>123.74979999999999</c:v>
                </c:pt>
                <c:pt idx="3644">
                  <c:v>123.1495</c:v>
                </c:pt>
                <c:pt idx="3645">
                  <c:v>123.154</c:v>
                </c:pt>
                <c:pt idx="3646">
                  <c:v>123.298</c:v>
                </c:pt>
                <c:pt idx="3647">
                  <c:v>123.7542</c:v>
                </c:pt>
                <c:pt idx="3648">
                  <c:v>123.4237</c:v>
                </c:pt>
                <c:pt idx="3649">
                  <c:v>123.44260000000001</c:v>
                </c:pt>
                <c:pt idx="3650">
                  <c:v>123.6001</c:v>
                </c:pt>
                <c:pt idx="3651">
                  <c:v>123.6001</c:v>
                </c:pt>
                <c:pt idx="3652">
                  <c:v>123.30010000000001</c:v>
                </c:pt>
                <c:pt idx="3653">
                  <c:v>123.19750000000001</c:v>
                </c:pt>
                <c:pt idx="3654">
                  <c:v>123.357</c:v>
                </c:pt>
                <c:pt idx="3655">
                  <c:v>123.5535</c:v>
                </c:pt>
                <c:pt idx="3656">
                  <c:v>123.5005</c:v>
                </c:pt>
                <c:pt idx="3657">
                  <c:v>123.5599</c:v>
                </c:pt>
                <c:pt idx="3658">
                  <c:v>122.84</c:v>
                </c:pt>
                <c:pt idx="3659">
                  <c:v>122.9855</c:v>
                </c:pt>
                <c:pt idx="3660">
                  <c:v>123.1982</c:v>
                </c:pt>
                <c:pt idx="3661">
                  <c:v>122.9496</c:v>
                </c:pt>
                <c:pt idx="3662">
                  <c:v>127.9863</c:v>
                </c:pt>
                <c:pt idx="3663">
                  <c:v>131.91679999999999</c:v>
                </c:pt>
                <c:pt idx="3664">
                  <c:v>133.2499</c:v>
                </c:pt>
                <c:pt idx="3665">
                  <c:v>133.2499</c:v>
                </c:pt>
                <c:pt idx="3666">
                  <c:v>133.08600000000001</c:v>
                </c:pt>
                <c:pt idx="3667">
                  <c:v>131.99119999999999</c:v>
                </c:pt>
                <c:pt idx="3668">
                  <c:v>132.08160000000001</c:v>
                </c:pt>
                <c:pt idx="3669">
                  <c:v>132.77879999999999</c:v>
                </c:pt>
                <c:pt idx="3670">
                  <c:v>132.91990000000001</c:v>
                </c:pt>
                <c:pt idx="3671">
                  <c:v>133.34479999999999</c:v>
                </c:pt>
                <c:pt idx="3672">
                  <c:v>133.34479999999999</c:v>
                </c:pt>
                <c:pt idx="3673">
                  <c:v>133.34</c:v>
                </c:pt>
                <c:pt idx="3674">
                  <c:v>132.9425</c:v>
                </c:pt>
                <c:pt idx="3675">
                  <c:v>133.62129999999999</c:v>
                </c:pt>
                <c:pt idx="3676">
                  <c:v>133.54990000000001</c:v>
                </c:pt>
                <c:pt idx="3677">
                  <c:v>132.05340000000004</c:v>
                </c:pt>
                <c:pt idx="3678">
                  <c:v>133.51010000000002</c:v>
                </c:pt>
                <c:pt idx="3679">
                  <c:v>133.51400000000001</c:v>
                </c:pt>
                <c:pt idx="3680">
                  <c:v>132.8903</c:v>
                </c:pt>
                <c:pt idx="3681">
                  <c:v>132.86619999999999</c:v>
                </c:pt>
                <c:pt idx="3682">
                  <c:v>132.5487</c:v>
                </c:pt>
                <c:pt idx="3683">
                  <c:v>133.52209999999999</c:v>
                </c:pt>
                <c:pt idx="3684">
                  <c:v>133.32030000000003</c:v>
                </c:pt>
                <c:pt idx="3685">
                  <c:v>133.3502</c:v>
                </c:pt>
                <c:pt idx="3686">
                  <c:v>133.3502</c:v>
                </c:pt>
                <c:pt idx="3687">
                  <c:v>133.51779999999999</c:v>
                </c:pt>
                <c:pt idx="3688">
                  <c:v>133.60329999999999</c:v>
                </c:pt>
                <c:pt idx="3689">
                  <c:v>133.6319</c:v>
                </c:pt>
                <c:pt idx="3690">
                  <c:v>133.65479999999999</c:v>
                </c:pt>
                <c:pt idx="3691">
                  <c:v>133.18719999999999</c:v>
                </c:pt>
                <c:pt idx="3692">
                  <c:v>133.9999</c:v>
                </c:pt>
                <c:pt idx="3693">
                  <c:v>134.00219999999999</c:v>
                </c:pt>
                <c:pt idx="3694">
                  <c:v>133.92120000000003</c:v>
                </c:pt>
                <c:pt idx="3695">
                  <c:v>134.17869999999999</c:v>
                </c:pt>
                <c:pt idx="3696">
                  <c:v>132.99789999999999</c:v>
                </c:pt>
                <c:pt idx="3697">
                  <c:v>134.24799999999999</c:v>
                </c:pt>
                <c:pt idx="3698">
                  <c:v>133.99510000000001</c:v>
                </c:pt>
                <c:pt idx="3699">
                  <c:v>133.99940000000001</c:v>
                </c:pt>
                <c:pt idx="3700">
                  <c:v>133.37379999999999</c:v>
                </c:pt>
                <c:pt idx="3701">
                  <c:v>133.49959999999999</c:v>
                </c:pt>
                <c:pt idx="3702">
                  <c:v>134.12809999999999</c:v>
                </c:pt>
                <c:pt idx="3703">
                  <c:v>134.39519999999999</c:v>
                </c:pt>
                <c:pt idx="3704">
                  <c:v>134.34460000000001</c:v>
                </c:pt>
                <c:pt idx="3705">
                  <c:v>134.55070000000001</c:v>
                </c:pt>
                <c:pt idx="3706">
                  <c:v>134.43020000000001</c:v>
                </c:pt>
                <c:pt idx="3707">
                  <c:v>134.43010000000001</c:v>
                </c:pt>
                <c:pt idx="3708">
                  <c:v>134.45349999999999</c:v>
                </c:pt>
                <c:pt idx="3709">
                  <c:v>134.44749999999999</c:v>
                </c:pt>
                <c:pt idx="3710">
                  <c:v>134.62809999999999</c:v>
                </c:pt>
                <c:pt idx="3711">
                  <c:v>134.55510000000001</c:v>
                </c:pt>
                <c:pt idx="3712">
                  <c:v>134.31280000000001</c:v>
                </c:pt>
                <c:pt idx="3713">
                  <c:v>134.1902</c:v>
                </c:pt>
                <c:pt idx="3714">
                  <c:v>134.18469999999999</c:v>
                </c:pt>
                <c:pt idx="3715">
                  <c:v>139.56559999999999</c:v>
                </c:pt>
                <c:pt idx="3716">
                  <c:v>138.9462</c:v>
                </c:pt>
                <c:pt idx="3717">
                  <c:v>137.59670000000003</c:v>
                </c:pt>
                <c:pt idx="3718">
                  <c:v>138.5471</c:v>
                </c:pt>
                <c:pt idx="3719">
                  <c:v>138.62979999999999</c:v>
                </c:pt>
                <c:pt idx="3720">
                  <c:v>138.75020000000001</c:v>
                </c:pt>
                <c:pt idx="3721">
                  <c:v>138.75020000000001</c:v>
                </c:pt>
                <c:pt idx="3722">
                  <c:v>138.92529999999999</c:v>
                </c:pt>
                <c:pt idx="3723">
                  <c:v>138.9701</c:v>
                </c:pt>
                <c:pt idx="3724">
                  <c:v>139.45670000000001</c:v>
                </c:pt>
                <c:pt idx="3725">
                  <c:v>139.05199999999999</c:v>
                </c:pt>
                <c:pt idx="3726">
                  <c:v>139.51610000000002</c:v>
                </c:pt>
                <c:pt idx="3727">
                  <c:v>139.09979999999999</c:v>
                </c:pt>
                <c:pt idx="3728">
                  <c:v>139.09979999999999</c:v>
                </c:pt>
                <c:pt idx="3729">
                  <c:v>139.5231</c:v>
                </c:pt>
                <c:pt idx="3730">
                  <c:v>139.56139999999999</c:v>
                </c:pt>
                <c:pt idx="3731">
                  <c:v>139.69579999999999</c:v>
                </c:pt>
                <c:pt idx="3732">
                  <c:v>139.58230000000003</c:v>
                </c:pt>
                <c:pt idx="3733">
                  <c:v>138.9999</c:v>
                </c:pt>
                <c:pt idx="3734">
                  <c:v>139.15</c:v>
                </c:pt>
                <c:pt idx="3735">
                  <c:v>139.15049999999999</c:v>
                </c:pt>
                <c:pt idx="3736">
                  <c:v>139.5735</c:v>
                </c:pt>
                <c:pt idx="3737">
                  <c:v>139.6335</c:v>
                </c:pt>
                <c:pt idx="3738">
                  <c:v>139.5549</c:v>
                </c:pt>
                <c:pt idx="3739">
                  <c:v>139.786</c:v>
                </c:pt>
                <c:pt idx="3740">
                  <c:v>139.2765</c:v>
                </c:pt>
                <c:pt idx="3741">
                  <c:v>139.12469999999999</c:v>
                </c:pt>
                <c:pt idx="3742">
                  <c:v>139.12469999999999</c:v>
                </c:pt>
                <c:pt idx="3743">
                  <c:v>139.12719999999999</c:v>
                </c:pt>
                <c:pt idx="3744">
                  <c:v>139.8502</c:v>
                </c:pt>
                <c:pt idx="3745">
                  <c:v>139.54060000000001</c:v>
                </c:pt>
                <c:pt idx="3746">
                  <c:v>139.54140000000004</c:v>
                </c:pt>
                <c:pt idx="3747">
                  <c:v>139.0471</c:v>
                </c:pt>
                <c:pt idx="3748">
                  <c:v>138.99430000000001</c:v>
                </c:pt>
                <c:pt idx="3749">
                  <c:v>138.99610000000001</c:v>
                </c:pt>
                <c:pt idx="3750">
                  <c:v>139.00420000000003</c:v>
                </c:pt>
                <c:pt idx="3751">
                  <c:v>139.02510000000001</c:v>
                </c:pt>
                <c:pt idx="3752">
                  <c:v>139.3733</c:v>
                </c:pt>
                <c:pt idx="3753">
                  <c:v>139.96610000000001</c:v>
                </c:pt>
                <c:pt idx="3754">
                  <c:v>139.76679999999999</c:v>
                </c:pt>
                <c:pt idx="3755">
                  <c:v>139.87550000000002</c:v>
                </c:pt>
                <c:pt idx="3756">
                  <c:v>139.8741</c:v>
                </c:pt>
                <c:pt idx="3757">
                  <c:v>139.86089999999999</c:v>
                </c:pt>
                <c:pt idx="3758">
                  <c:v>140.08350000000002</c:v>
                </c:pt>
                <c:pt idx="3759">
                  <c:v>138.9999</c:v>
                </c:pt>
                <c:pt idx="3760">
                  <c:v>139.6996</c:v>
                </c:pt>
                <c:pt idx="3761">
                  <c:v>139.59569999999999</c:v>
                </c:pt>
                <c:pt idx="3762">
                  <c:v>139.19970000000001</c:v>
                </c:pt>
                <c:pt idx="3763">
                  <c:v>139.19970000000001</c:v>
                </c:pt>
                <c:pt idx="3764">
                  <c:v>139.20000000000002</c:v>
                </c:pt>
                <c:pt idx="3765">
                  <c:v>139.92150000000001</c:v>
                </c:pt>
                <c:pt idx="3766">
                  <c:v>139.87729999999999</c:v>
                </c:pt>
                <c:pt idx="3767">
                  <c:v>139.5872</c:v>
                </c:pt>
                <c:pt idx="3768">
                  <c:v>139.58969999999999</c:v>
                </c:pt>
                <c:pt idx="3769">
                  <c:v>139.12459999999999</c:v>
                </c:pt>
                <c:pt idx="3770">
                  <c:v>139.21080000000003</c:v>
                </c:pt>
                <c:pt idx="3771">
                  <c:v>139.215</c:v>
                </c:pt>
                <c:pt idx="3772">
                  <c:v>139.1516</c:v>
                </c:pt>
                <c:pt idx="3773">
                  <c:v>139.58760000000001</c:v>
                </c:pt>
                <c:pt idx="3774">
                  <c:v>139.46289999999999</c:v>
                </c:pt>
                <c:pt idx="3775">
                  <c:v>139.8126</c:v>
                </c:pt>
                <c:pt idx="3776">
                  <c:v>138.44710000000001</c:v>
                </c:pt>
                <c:pt idx="3777">
                  <c:v>138.44710000000001</c:v>
                </c:pt>
                <c:pt idx="3778">
                  <c:v>139.10939999999999</c:v>
                </c:pt>
                <c:pt idx="3779">
                  <c:v>139.4084</c:v>
                </c:pt>
                <c:pt idx="3780">
                  <c:v>138.8518</c:v>
                </c:pt>
                <c:pt idx="3781">
                  <c:v>139.22050000000002</c:v>
                </c:pt>
                <c:pt idx="3782">
                  <c:v>139.2484</c:v>
                </c:pt>
                <c:pt idx="3783">
                  <c:v>138.7996</c:v>
                </c:pt>
                <c:pt idx="3784">
                  <c:v>139.6497</c:v>
                </c:pt>
                <c:pt idx="3785">
                  <c:v>139.47989999999999</c:v>
                </c:pt>
                <c:pt idx="3786">
                  <c:v>139.54069999999999</c:v>
                </c:pt>
                <c:pt idx="3787">
                  <c:v>139.4845</c:v>
                </c:pt>
                <c:pt idx="3788">
                  <c:v>139.7989</c:v>
                </c:pt>
                <c:pt idx="3789">
                  <c:v>139.59360000000001</c:v>
                </c:pt>
                <c:pt idx="3790">
                  <c:v>139.15090000000001</c:v>
                </c:pt>
                <c:pt idx="3791">
                  <c:v>139.1491</c:v>
                </c:pt>
                <c:pt idx="3792">
                  <c:v>139.42529999999999</c:v>
                </c:pt>
                <c:pt idx="3793">
                  <c:v>139.52080000000001</c:v>
                </c:pt>
                <c:pt idx="3794">
                  <c:v>139.1276</c:v>
                </c:pt>
                <c:pt idx="3795">
                  <c:v>139.0934</c:v>
                </c:pt>
                <c:pt idx="3796">
                  <c:v>139.56900000000002</c:v>
                </c:pt>
                <c:pt idx="3797">
                  <c:v>139.73010000000002</c:v>
                </c:pt>
                <c:pt idx="3798">
                  <c:v>139.685</c:v>
                </c:pt>
                <c:pt idx="3799">
                  <c:v>139.69290000000004</c:v>
                </c:pt>
                <c:pt idx="3800">
                  <c:v>139.39349999999999</c:v>
                </c:pt>
                <c:pt idx="3801">
                  <c:v>139.40710000000001</c:v>
                </c:pt>
                <c:pt idx="3802">
                  <c:v>139.3081</c:v>
                </c:pt>
                <c:pt idx="3803">
                  <c:v>139.64840000000004</c:v>
                </c:pt>
                <c:pt idx="3804">
                  <c:v>138.625</c:v>
                </c:pt>
                <c:pt idx="3805">
                  <c:v>138.6277</c:v>
                </c:pt>
                <c:pt idx="3806">
                  <c:v>139.69669999999999</c:v>
                </c:pt>
                <c:pt idx="3807">
                  <c:v>139.61879999999999</c:v>
                </c:pt>
                <c:pt idx="3808">
                  <c:v>139.09739999999999</c:v>
                </c:pt>
                <c:pt idx="3809">
                  <c:v>139.04560000000001</c:v>
                </c:pt>
                <c:pt idx="3810">
                  <c:v>139.67179999999999</c:v>
                </c:pt>
                <c:pt idx="3811">
                  <c:v>139.75060000000002</c:v>
                </c:pt>
                <c:pt idx="3812">
                  <c:v>139.74930000000003</c:v>
                </c:pt>
                <c:pt idx="3813">
                  <c:v>139.37119999999999</c:v>
                </c:pt>
                <c:pt idx="3814">
                  <c:v>139.51370000000003</c:v>
                </c:pt>
                <c:pt idx="3815">
                  <c:v>139.75360000000001</c:v>
                </c:pt>
                <c:pt idx="3816">
                  <c:v>139.29759999999999</c:v>
                </c:pt>
                <c:pt idx="3817">
                  <c:v>139.85990000000004</c:v>
                </c:pt>
                <c:pt idx="3818">
                  <c:v>139.24459999999999</c:v>
                </c:pt>
                <c:pt idx="3819">
                  <c:v>139.24459999999999</c:v>
                </c:pt>
                <c:pt idx="3820">
                  <c:v>139.61689999999999</c:v>
                </c:pt>
                <c:pt idx="3821">
                  <c:v>140.3381</c:v>
                </c:pt>
                <c:pt idx="3822">
                  <c:v>139.8313</c:v>
                </c:pt>
                <c:pt idx="3823">
                  <c:v>140.06720000000001</c:v>
                </c:pt>
                <c:pt idx="3824">
                  <c:v>139.88589999999999</c:v>
                </c:pt>
                <c:pt idx="3825">
                  <c:v>139.6497</c:v>
                </c:pt>
                <c:pt idx="3826">
                  <c:v>139.98500000000001</c:v>
                </c:pt>
                <c:pt idx="3827">
                  <c:v>139.91880000000003</c:v>
                </c:pt>
                <c:pt idx="3828">
                  <c:v>140.1942</c:v>
                </c:pt>
                <c:pt idx="3829">
                  <c:v>140.54230000000001</c:v>
                </c:pt>
                <c:pt idx="3830">
                  <c:v>140.5548</c:v>
                </c:pt>
                <c:pt idx="3831">
                  <c:v>140.56460000000001</c:v>
                </c:pt>
                <c:pt idx="3832">
                  <c:v>140.82400000000001</c:v>
                </c:pt>
                <c:pt idx="3833">
                  <c:v>140.8252</c:v>
                </c:pt>
                <c:pt idx="3834">
                  <c:v>140.67269999999999</c:v>
                </c:pt>
                <c:pt idx="3835">
                  <c:v>140.83760000000001</c:v>
                </c:pt>
                <c:pt idx="3836">
                  <c:v>140.3449</c:v>
                </c:pt>
                <c:pt idx="3837">
                  <c:v>141.60249999999999</c:v>
                </c:pt>
                <c:pt idx="3838">
                  <c:v>141.52950000000001</c:v>
                </c:pt>
                <c:pt idx="3839">
                  <c:v>141.43960000000001</c:v>
                </c:pt>
                <c:pt idx="3840">
                  <c:v>141.43960000000001</c:v>
                </c:pt>
                <c:pt idx="3841">
                  <c:v>141.61859999999999</c:v>
                </c:pt>
                <c:pt idx="3842">
                  <c:v>141.6293</c:v>
                </c:pt>
                <c:pt idx="3843">
                  <c:v>141.54949999999999</c:v>
                </c:pt>
                <c:pt idx="3844">
                  <c:v>141.62800000000001</c:v>
                </c:pt>
                <c:pt idx="3845">
                  <c:v>141.9648</c:v>
                </c:pt>
                <c:pt idx="3846">
                  <c:v>141.3502</c:v>
                </c:pt>
                <c:pt idx="3847">
                  <c:v>142.13839999999999</c:v>
                </c:pt>
                <c:pt idx="3848">
                  <c:v>141.54679999999999</c:v>
                </c:pt>
                <c:pt idx="3849">
                  <c:v>141.72669999999999</c:v>
                </c:pt>
                <c:pt idx="3850">
                  <c:v>141.6499</c:v>
                </c:pt>
                <c:pt idx="3851">
                  <c:v>141.6499</c:v>
                </c:pt>
                <c:pt idx="3852">
                  <c:v>141.65039999999999</c:v>
                </c:pt>
                <c:pt idx="3853">
                  <c:v>141.59960000000001</c:v>
                </c:pt>
                <c:pt idx="3854">
                  <c:v>141.59960000000001</c:v>
                </c:pt>
                <c:pt idx="3855">
                  <c:v>141.76689999999999</c:v>
                </c:pt>
                <c:pt idx="3856">
                  <c:v>141.73480000000001</c:v>
                </c:pt>
                <c:pt idx="3857">
                  <c:v>141.614</c:v>
                </c:pt>
                <c:pt idx="3858">
                  <c:v>141.5958</c:v>
                </c:pt>
                <c:pt idx="3859">
                  <c:v>141.61359999999999</c:v>
                </c:pt>
                <c:pt idx="3860">
                  <c:v>141.5284</c:v>
                </c:pt>
                <c:pt idx="3861">
                  <c:v>141.5257</c:v>
                </c:pt>
                <c:pt idx="3862">
                  <c:v>141.33750000000001</c:v>
                </c:pt>
                <c:pt idx="3863">
                  <c:v>141.53890000000001</c:v>
                </c:pt>
                <c:pt idx="3864">
                  <c:v>141.62129999999999</c:v>
                </c:pt>
                <c:pt idx="3865">
                  <c:v>141.6146</c:v>
                </c:pt>
                <c:pt idx="3866">
                  <c:v>141.47020000000001</c:v>
                </c:pt>
                <c:pt idx="3867">
                  <c:v>141.44990000000001</c:v>
                </c:pt>
                <c:pt idx="3868">
                  <c:v>141.44990000000001</c:v>
                </c:pt>
                <c:pt idx="3869">
                  <c:v>141.50749999999999</c:v>
                </c:pt>
                <c:pt idx="3870">
                  <c:v>141.52029999999999</c:v>
                </c:pt>
                <c:pt idx="3871">
                  <c:v>141.4461</c:v>
                </c:pt>
                <c:pt idx="3872">
                  <c:v>141.58150000000001</c:v>
                </c:pt>
                <c:pt idx="3873">
                  <c:v>141.5266</c:v>
                </c:pt>
                <c:pt idx="3874">
                  <c:v>141.62310000000002</c:v>
                </c:pt>
                <c:pt idx="3875">
                  <c:v>141.62310000000002</c:v>
                </c:pt>
                <c:pt idx="3876">
                  <c:v>141.5848</c:v>
                </c:pt>
                <c:pt idx="3877">
                  <c:v>141.59100000000001</c:v>
                </c:pt>
                <c:pt idx="3878">
                  <c:v>141.66319999999999</c:v>
                </c:pt>
                <c:pt idx="3879">
                  <c:v>141.83320000000001</c:v>
                </c:pt>
                <c:pt idx="3880">
                  <c:v>141.54949999999999</c:v>
                </c:pt>
                <c:pt idx="3881">
                  <c:v>143.93</c:v>
                </c:pt>
                <c:pt idx="3882">
                  <c:v>143.93</c:v>
                </c:pt>
                <c:pt idx="3883">
                  <c:v>148.22370000000001</c:v>
                </c:pt>
                <c:pt idx="3884">
                  <c:v>147.91040000000004</c:v>
                </c:pt>
                <c:pt idx="3885">
                  <c:v>150.834</c:v>
                </c:pt>
                <c:pt idx="3886">
                  <c:v>152.28569999999999</c:v>
                </c:pt>
                <c:pt idx="3887">
                  <c:v>151.95310000000001</c:v>
                </c:pt>
                <c:pt idx="3888">
                  <c:v>151.9999</c:v>
                </c:pt>
                <c:pt idx="3889">
                  <c:v>151.46549999999999</c:v>
                </c:pt>
                <c:pt idx="3890">
                  <c:v>151.56630000000001</c:v>
                </c:pt>
                <c:pt idx="3891">
                  <c:v>150.87049999999999</c:v>
                </c:pt>
                <c:pt idx="3892">
                  <c:v>150.99340000000001</c:v>
                </c:pt>
                <c:pt idx="3893">
                  <c:v>150.00060000000002</c:v>
                </c:pt>
                <c:pt idx="3894">
                  <c:v>151.0335</c:v>
                </c:pt>
                <c:pt idx="3895">
                  <c:v>146.8604</c:v>
                </c:pt>
                <c:pt idx="3896">
                  <c:v>146.8604</c:v>
                </c:pt>
                <c:pt idx="3897">
                  <c:v>146.30070000000001</c:v>
                </c:pt>
                <c:pt idx="3898">
                  <c:v>146.84610000000001</c:v>
                </c:pt>
                <c:pt idx="3899">
                  <c:v>147.45439999999999</c:v>
                </c:pt>
                <c:pt idx="3900">
                  <c:v>147.29050000000001</c:v>
                </c:pt>
                <c:pt idx="3901">
                  <c:v>147.53319999999999</c:v>
                </c:pt>
                <c:pt idx="3902">
                  <c:v>149.53980000000001</c:v>
                </c:pt>
                <c:pt idx="3903">
                  <c:v>149.53980000000001</c:v>
                </c:pt>
                <c:pt idx="3904">
                  <c:v>147.7047</c:v>
                </c:pt>
                <c:pt idx="3905">
                  <c:v>150.66730000000001</c:v>
                </c:pt>
                <c:pt idx="3906">
                  <c:v>151.38</c:v>
                </c:pt>
                <c:pt idx="3907">
                  <c:v>151.51439999999999</c:v>
                </c:pt>
                <c:pt idx="3908">
                  <c:v>151.9958</c:v>
                </c:pt>
                <c:pt idx="3909">
                  <c:v>153.49959999999999</c:v>
                </c:pt>
                <c:pt idx="3910">
                  <c:v>153.4999</c:v>
                </c:pt>
                <c:pt idx="3911">
                  <c:v>153.5035</c:v>
                </c:pt>
                <c:pt idx="3912">
                  <c:v>156.8768</c:v>
                </c:pt>
                <c:pt idx="3913">
                  <c:v>157.0838</c:v>
                </c:pt>
                <c:pt idx="3914">
                  <c:v>157.07069999999999</c:v>
                </c:pt>
                <c:pt idx="3915">
                  <c:v>157.07150000000001</c:v>
                </c:pt>
                <c:pt idx="3916">
                  <c:v>157.14019999999999</c:v>
                </c:pt>
                <c:pt idx="3917">
                  <c:v>157.14019999999999</c:v>
                </c:pt>
                <c:pt idx="3918">
                  <c:v>157.16329999999999</c:v>
                </c:pt>
                <c:pt idx="3919">
                  <c:v>157.24860000000001</c:v>
                </c:pt>
                <c:pt idx="3920">
                  <c:v>157.24940000000001</c:v>
                </c:pt>
                <c:pt idx="3921">
                  <c:v>156.95000000000002</c:v>
                </c:pt>
                <c:pt idx="3922">
                  <c:v>160.90100000000001</c:v>
                </c:pt>
                <c:pt idx="3923">
                  <c:v>163.00040000000001</c:v>
                </c:pt>
                <c:pt idx="3924">
                  <c:v>163.00040000000001</c:v>
                </c:pt>
                <c:pt idx="3925">
                  <c:v>163.7568</c:v>
                </c:pt>
                <c:pt idx="3926">
                  <c:v>162.3038</c:v>
                </c:pt>
                <c:pt idx="3927">
                  <c:v>156.49879999999999</c:v>
                </c:pt>
                <c:pt idx="3928">
                  <c:v>158.61869999999999</c:v>
                </c:pt>
                <c:pt idx="3929">
                  <c:v>158.06809999999999</c:v>
                </c:pt>
                <c:pt idx="3930">
                  <c:v>156.9006</c:v>
                </c:pt>
                <c:pt idx="3931">
                  <c:v>156.8999</c:v>
                </c:pt>
                <c:pt idx="3932">
                  <c:v>156.90010000000001</c:v>
                </c:pt>
                <c:pt idx="3933">
                  <c:v>158.24940000000001</c:v>
                </c:pt>
                <c:pt idx="3934">
                  <c:v>158.357</c:v>
                </c:pt>
                <c:pt idx="3935">
                  <c:v>158.24420000000001</c:v>
                </c:pt>
                <c:pt idx="3936">
                  <c:v>158.5549</c:v>
                </c:pt>
                <c:pt idx="3937">
                  <c:v>157.99969999999999</c:v>
                </c:pt>
                <c:pt idx="3938">
                  <c:v>157.99969999999999</c:v>
                </c:pt>
                <c:pt idx="3939">
                  <c:v>158.92099999999999</c:v>
                </c:pt>
                <c:pt idx="3940">
                  <c:v>159.52930000000003</c:v>
                </c:pt>
                <c:pt idx="3941">
                  <c:v>159.66569999999999</c:v>
                </c:pt>
                <c:pt idx="3942">
                  <c:v>159.53370000000001</c:v>
                </c:pt>
                <c:pt idx="3943">
                  <c:v>159.49109999999999</c:v>
                </c:pt>
                <c:pt idx="3944">
                  <c:v>159.93440000000004</c:v>
                </c:pt>
                <c:pt idx="3945">
                  <c:v>159.94</c:v>
                </c:pt>
                <c:pt idx="3946">
                  <c:v>159.93889999999999</c:v>
                </c:pt>
                <c:pt idx="3947">
                  <c:v>160.08510000000001</c:v>
                </c:pt>
                <c:pt idx="3948">
                  <c:v>160.49799999999999</c:v>
                </c:pt>
                <c:pt idx="3949">
                  <c:v>160.75210000000001</c:v>
                </c:pt>
                <c:pt idx="3950">
                  <c:v>161.02510000000001</c:v>
                </c:pt>
                <c:pt idx="3951">
                  <c:v>160.7508</c:v>
                </c:pt>
                <c:pt idx="3952">
                  <c:v>160.7508</c:v>
                </c:pt>
                <c:pt idx="3953">
                  <c:v>161.08590000000004</c:v>
                </c:pt>
                <c:pt idx="3954">
                  <c:v>161.22970000000001</c:v>
                </c:pt>
                <c:pt idx="3955">
                  <c:v>160.9965</c:v>
                </c:pt>
                <c:pt idx="3956">
                  <c:v>160.75479999999999</c:v>
                </c:pt>
                <c:pt idx="3957">
                  <c:v>160.6645</c:v>
                </c:pt>
                <c:pt idx="3958">
                  <c:v>159.55009999999999</c:v>
                </c:pt>
                <c:pt idx="3959">
                  <c:v>159.55009999999999</c:v>
                </c:pt>
                <c:pt idx="3960">
                  <c:v>160.04300000000001</c:v>
                </c:pt>
                <c:pt idx="3961">
                  <c:v>159.85839999999999</c:v>
                </c:pt>
                <c:pt idx="3962">
                  <c:v>159.24109999999999</c:v>
                </c:pt>
                <c:pt idx="3963">
                  <c:v>159.77619999999999</c:v>
                </c:pt>
                <c:pt idx="3964">
                  <c:v>159.52850000000001</c:v>
                </c:pt>
                <c:pt idx="3965">
                  <c:v>157.95720000000003</c:v>
                </c:pt>
                <c:pt idx="3966">
                  <c:v>157.95720000000003</c:v>
                </c:pt>
                <c:pt idx="3967">
                  <c:v>157.95099999999999</c:v>
                </c:pt>
                <c:pt idx="3968">
                  <c:v>160.26900000000001</c:v>
                </c:pt>
                <c:pt idx="3969">
                  <c:v>160.26</c:v>
                </c:pt>
                <c:pt idx="3970">
                  <c:v>160.2336</c:v>
                </c:pt>
                <c:pt idx="3971">
                  <c:v>160.22319999999999</c:v>
                </c:pt>
                <c:pt idx="3972">
                  <c:v>159.76500000000001</c:v>
                </c:pt>
                <c:pt idx="3973">
                  <c:v>159.76500000000001</c:v>
                </c:pt>
                <c:pt idx="3974">
                  <c:v>160.5925</c:v>
                </c:pt>
                <c:pt idx="3975">
                  <c:v>158.29910000000001</c:v>
                </c:pt>
                <c:pt idx="3976">
                  <c:v>160.22829999999999</c:v>
                </c:pt>
                <c:pt idx="3977">
                  <c:v>160.05279999999999</c:v>
                </c:pt>
                <c:pt idx="3978">
                  <c:v>160.36920000000001</c:v>
                </c:pt>
                <c:pt idx="3979">
                  <c:v>160.04</c:v>
                </c:pt>
                <c:pt idx="3980">
                  <c:v>160.04020000000003</c:v>
                </c:pt>
                <c:pt idx="3981">
                  <c:v>157.00819999999999</c:v>
                </c:pt>
                <c:pt idx="3982">
                  <c:v>158.905</c:v>
                </c:pt>
                <c:pt idx="3983">
                  <c:v>159.11230000000003</c:v>
                </c:pt>
                <c:pt idx="3984">
                  <c:v>158.57650000000001</c:v>
                </c:pt>
                <c:pt idx="3985">
                  <c:v>158.232</c:v>
                </c:pt>
                <c:pt idx="3986">
                  <c:v>157.50020000000001</c:v>
                </c:pt>
                <c:pt idx="3987">
                  <c:v>157.50020000000001</c:v>
                </c:pt>
                <c:pt idx="3988">
                  <c:v>156.83449999999999</c:v>
                </c:pt>
                <c:pt idx="3989">
                  <c:v>156.75290000000004</c:v>
                </c:pt>
                <c:pt idx="3990">
                  <c:v>156.7269</c:v>
                </c:pt>
                <c:pt idx="3991">
                  <c:v>156.7458</c:v>
                </c:pt>
                <c:pt idx="3992">
                  <c:v>156.88510000000002</c:v>
                </c:pt>
                <c:pt idx="3993">
                  <c:v>156.21870000000001</c:v>
                </c:pt>
                <c:pt idx="3994">
                  <c:v>156.21940000000001</c:v>
                </c:pt>
                <c:pt idx="3995">
                  <c:v>155.64930000000001</c:v>
                </c:pt>
                <c:pt idx="3996">
                  <c:v>156.4615</c:v>
                </c:pt>
                <c:pt idx="3997">
                  <c:v>156.72810000000001</c:v>
                </c:pt>
                <c:pt idx="3998">
                  <c:v>156.50530000000003</c:v>
                </c:pt>
                <c:pt idx="3999">
                  <c:v>156.70500000000001</c:v>
                </c:pt>
                <c:pt idx="4000">
                  <c:v>156.65010000000001</c:v>
                </c:pt>
                <c:pt idx="4001">
                  <c:v>156.65020000000001</c:v>
                </c:pt>
                <c:pt idx="4002">
                  <c:v>156.52889999999999</c:v>
                </c:pt>
                <c:pt idx="4003">
                  <c:v>155.74619999999999</c:v>
                </c:pt>
                <c:pt idx="4004">
                  <c:v>156.5701</c:v>
                </c:pt>
                <c:pt idx="4005">
                  <c:v>156.8648</c:v>
                </c:pt>
                <c:pt idx="4006">
                  <c:v>156.78380000000001</c:v>
                </c:pt>
                <c:pt idx="4007">
                  <c:v>156.83410000000001</c:v>
                </c:pt>
                <c:pt idx="4008">
                  <c:v>156.83410000000001</c:v>
                </c:pt>
                <c:pt idx="4009">
                  <c:v>156.38679999999999</c:v>
                </c:pt>
                <c:pt idx="4010">
                  <c:v>156.68129999999999</c:v>
                </c:pt>
                <c:pt idx="4011">
                  <c:v>156.56120000000001</c:v>
                </c:pt>
                <c:pt idx="4012">
                  <c:v>156.6557</c:v>
                </c:pt>
                <c:pt idx="4013">
                  <c:v>157.28290000000004</c:v>
                </c:pt>
                <c:pt idx="4014">
                  <c:v>156.85</c:v>
                </c:pt>
                <c:pt idx="4015">
                  <c:v>156.82490000000001</c:v>
                </c:pt>
                <c:pt idx="4016">
                  <c:v>156.75050000000002</c:v>
                </c:pt>
                <c:pt idx="4017">
                  <c:v>157.23089999999999</c:v>
                </c:pt>
                <c:pt idx="4018">
                  <c:v>156.36259999999999</c:v>
                </c:pt>
                <c:pt idx="4019">
                  <c:v>156.32689999999999</c:v>
                </c:pt>
                <c:pt idx="4020">
                  <c:v>156.6739</c:v>
                </c:pt>
                <c:pt idx="4021">
                  <c:v>156.37550000000002</c:v>
                </c:pt>
                <c:pt idx="4022">
                  <c:v>157.10470000000001</c:v>
                </c:pt>
                <c:pt idx="4023">
                  <c:v>156.8802</c:v>
                </c:pt>
                <c:pt idx="4024">
                  <c:v>156.53319999999999</c:v>
                </c:pt>
                <c:pt idx="4025">
                  <c:v>156.77770000000001</c:v>
                </c:pt>
                <c:pt idx="4026">
                  <c:v>156.90809999999999</c:v>
                </c:pt>
                <c:pt idx="4027">
                  <c:v>156.59049999999999</c:v>
                </c:pt>
                <c:pt idx="4028">
                  <c:v>156.50030000000001</c:v>
                </c:pt>
                <c:pt idx="4029">
                  <c:v>156.50030000000001</c:v>
                </c:pt>
                <c:pt idx="4030">
                  <c:v>156.77809999999999</c:v>
                </c:pt>
                <c:pt idx="4031">
                  <c:v>156.81379999999999</c:v>
                </c:pt>
                <c:pt idx="4032">
                  <c:v>156.33000000000001</c:v>
                </c:pt>
                <c:pt idx="4033">
                  <c:v>156.06960000000001</c:v>
                </c:pt>
                <c:pt idx="4034">
                  <c:v>156.03880000000001</c:v>
                </c:pt>
                <c:pt idx="4035">
                  <c:v>155.94919999999999</c:v>
                </c:pt>
                <c:pt idx="4036">
                  <c:v>155.94919999999999</c:v>
                </c:pt>
                <c:pt idx="4037">
                  <c:v>156.27460000000002</c:v>
                </c:pt>
                <c:pt idx="4038">
                  <c:v>155.99639999999999</c:v>
                </c:pt>
                <c:pt idx="4039">
                  <c:v>156.31829999999999</c:v>
                </c:pt>
                <c:pt idx="4040">
                  <c:v>156.04339999999999</c:v>
                </c:pt>
                <c:pt idx="4041">
                  <c:v>155.97229999999999</c:v>
                </c:pt>
                <c:pt idx="4042">
                  <c:v>155.79400000000001</c:v>
                </c:pt>
                <c:pt idx="4043">
                  <c:v>155.79990000000001</c:v>
                </c:pt>
                <c:pt idx="4044">
                  <c:v>156.1919</c:v>
                </c:pt>
                <c:pt idx="4045">
                  <c:v>155.85480000000001</c:v>
                </c:pt>
                <c:pt idx="4046">
                  <c:v>155.67930000000001</c:v>
                </c:pt>
                <c:pt idx="4047">
                  <c:v>155.60270000000003</c:v>
                </c:pt>
                <c:pt idx="4048">
                  <c:v>155.5016</c:v>
                </c:pt>
                <c:pt idx="4049">
                  <c:v>154.95779999999999</c:v>
                </c:pt>
                <c:pt idx="4050">
                  <c:v>154.9622</c:v>
                </c:pt>
                <c:pt idx="4051">
                  <c:v>154.95760000000001</c:v>
                </c:pt>
                <c:pt idx="4052">
                  <c:v>155.62520000000001</c:v>
                </c:pt>
                <c:pt idx="4053">
                  <c:v>156.108</c:v>
                </c:pt>
                <c:pt idx="4054">
                  <c:v>156.15889999999999</c:v>
                </c:pt>
                <c:pt idx="4055">
                  <c:v>156.03790000000001</c:v>
                </c:pt>
                <c:pt idx="4056">
                  <c:v>156</c:v>
                </c:pt>
                <c:pt idx="4057">
                  <c:v>156</c:v>
                </c:pt>
                <c:pt idx="4058">
                  <c:v>156.10159999999999</c:v>
                </c:pt>
                <c:pt idx="4059">
                  <c:v>155.90389999999999</c:v>
                </c:pt>
                <c:pt idx="4060">
                  <c:v>155.9288</c:v>
                </c:pt>
                <c:pt idx="4061">
                  <c:v>155.79239999999999</c:v>
                </c:pt>
                <c:pt idx="4062">
                  <c:v>155.90440000000004</c:v>
                </c:pt>
                <c:pt idx="4063">
                  <c:v>155.4939</c:v>
                </c:pt>
                <c:pt idx="4064">
                  <c:v>155.4939</c:v>
                </c:pt>
                <c:pt idx="4065">
                  <c:v>155.12790000000004</c:v>
                </c:pt>
                <c:pt idx="4066">
                  <c:v>155.87</c:v>
                </c:pt>
                <c:pt idx="4067">
                  <c:v>155.87190000000004</c:v>
                </c:pt>
                <c:pt idx="4068">
                  <c:v>155.87710000000001</c:v>
                </c:pt>
                <c:pt idx="4069">
                  <c:v>155.29599999999999</c:v>
                </c:pt>
                <c:pt idx="4070">
                  <c:v>155.5</c:v>
                </c:pt>
                <c:pt idx="4071">
                  <c:v>155.5</c:v>
                </c:pt>
                <c:pt idx="4072">
                  <c:v>155.3886</c:v>
                </c:pt>
                <c:pt idx="4073">
                  <c:v>155.7901</c:v>
                </c:pt>
                <c:pt idx="4074">
                  <c:v>155.39930000000001</c:v>
                </c:pt>
                <c:pt idx="4075">
                  <c:v>155.29589999999999</c:v>
                </c:pt>
                <c:pt idx="4076">
                  <c:v>155.2627</c:v>
                </c:pt>
                <c:pt idx="4077">
                  <c:v>155.369</c:v>
                </c:pt>
                <c:pt idx="4078">
                  <c:v>154.93180000000001</c:v>
                </c:pt>
                <c:pt idx="4079">
                  <c:v>155.02430000000001</c:v>
                </c:pt>
                <c:pt idx="4080">
                  <c:v>155.26769999999999</c:v>
                </c:pt>
                <c:pt idx="4081">
                  <c:v>155.20419999999999</c:v>
                </c:pt>
                <c:pt idx="4082">
                  <c:v>155.14070000000001</c:v>
                </c:pt>
                <c:pt idx="4083">
                  <c:v>155.03749999999999</c:v>
                </c:pt>
                <c:pt idx="4084">
                  <c:v>154.7799</c:v>
                </c:pt>
                <c:pt idx="4085">
                  <c:v>154.7799</c:v>
                </c:pt>
                <c:pt idx="4086">
                  <c:v>154.91</c:v>
                </c:pt>
                <c:pt idx="4087">
                  <c:v>155.05840000000001</c:v>
                </c:pt>
                <c:pt idx="4088">
                  <c:v>154.9973</c:v>
                </c:pt>
                <c:pt idx="4089">
                  <c:v>155.03739999999999</c:v>
                </c:pt>
                <c:pt idx="4090">
                  <c:v>154.97579999999999</c:v>
                </c:pt>
                <c:pt idx="4091">
                  <c:v>154.95250000000001</c:v>
                </c:pt>
                <c:pt idx="4092">
                  <c:v>154.95250000000001</c:v>
                </c:pt>
                <c:pt idx="4093">
                  <c:v>154.9854</c:v>
                </c:pt>
                <c:pt idx="4094">
                  <c:v>155.03739999999999</c:v>
                </c:pt>
                <c:pt idx="4095">
                  <c:v>155.03489999999999</c:v>
                </c:pt>
                <c:pt idx="4096">
                  <c:v>154.90450000000001</c:v>
                </c:pt>
                <c:pt idx="4097">
                  <c:v>154.5412</c:v>
                </c:pt>
                <c:pt idx="4098">
                  <c:v>154.869</c:v>
                </c:pt>
                <c:pt idx="4099">
                  <c:v>154.869</c:v>
                </c:pt>
                <c:pt idx="4100">
                  <c:v>154.5266</c:v>
                </c:pt>
                <c:pt idx="4101">
                  <c:v>154.9349</c:v>
                </c:pt>
                <c:pt idx="4102">
                  <c:v>154.80770000000001</c:v>
                </c:pt>
                <c:pt idx="4103">
                  <c:v>154.75810000000001</c:v>
                </c:pt>
                <c:pt idx="4104">
                  <c:v>154.7664</c:v>
                </c:pt>
                <c:pt idx="4105">
                  <c:v>154.85</c:v>
                </c:pt>
                <c:pt idx="4106">
                  <c:v>154.85</c:v>
                </c:pt>
                <c:pt idx="4107">
                  <c:v>154.87119999999999</c:v>
                </c:pt>
                <c:pt idx="4108">
                  <c:v>154.88750000000002</c:v>
                </c:pt>
                <c:pt idx="4109">
                  <c:v>154.87880000000001</c:v>
                </c:pt>
                <c:pt idx="4110">
                  <c:v>155.66239999999999</c:v>
                </c:pt>
                <c:pt idx="4111">
                  <c:v>154.83760000000001</c:v>
                </c:pt>
                <c:pt idx="4112">
                  <c:v>154.89400000000001</c:v>
                </c:pt>
                <c:pt idx="4113">
                  <c:v>154.89400000000001</c:v>
                </c:pt>
                <c:pt idx="4114">
                  <c:v>154.88910000000001</c:v>
                </c:pt>
                <c:pt idx="4115">
                  <c:v>155.07550000000001</c:v>
                </c:pt>
                <c:pt idx="4116">
                  <c:v>155.01490000000004</c:v>
                </c:pt>
                <c:pt idx="4117">
                  <c:v>154.8982</c:v>
                </c:pt>
                <c:pt idx="4118">
                  <c:v>154.6968</c:v>
                </c:pt>
                <c:pt idx="4119">
                  <c:v>154.8751</c:v>
                </c:pt>
                <c:pt idx="4120">
                  <c:v>154.51500000000001</c:v>
                </c:pt>
                <c:pt idx="4121">
                  <c:v>154.5898</c:v>
                </c:pt>
                <c:pt idx="4122">
                  <c:v>154.8571</c:v>
                </c:pt>
                <c:pt idx="4123">
                  <c:v>154.87469999999999</c:v>
                </c:pt>
                <c:pt idx="4124">
                  <c:v>154.7552</c:v>
                </c:pt>
                <c:pt idx="4125">
                  <c:v>154.67400000000001</c:v>
                </c:pt>
                <c:pt idx="4126">
                  <c:v>154.5934</c:v>
                </c:pt>
                <c:pt idx="4127">
                  <c:v>154.5934</c:v>
                </c:pt>
                <c:pt idx="4128">
                  <c:v>154.60409999999999</c:v>
                </c:pt>
                <c:pt idx="4129">
                  <c:v>154.6789</c:v>
                </c:pt>
                <c:pt idx="4130">
                  <c:v>154.62029999999999</c:v>
                </c:pt>
                <c:pt idx="4131">
                  <c:v>154.56649999999999</c:v>
                </c:pt>
                <c:pt idx="4132">
                  <c:v>154.68219999999999</c:v>
                </c:pt>
                <c:pt idx="4133">
                  <c:v>154.6268</c:v>
                </c:pt>
                <c:pt idx="4134">
                  <c:v>154.6268</c:v>
                </c:pt>
                <c:pt idx="4135">
                  <c:v>154.6208</c:v>
                </c:pt>
                <c:pt idx="4136">
                  <c:v>154.5224</c:v>
                </c:pt>
                <c:pt idx="4137">
                  <c:v>154.5</c:v>
                </c:pt>
                <c:pt idx="4138">
                  <c:v>154.42060000000001</c:v>
                </c:pt>
                <c:pt idx="4139">
                  <c:v>154.52359999999999</c:v>
                </c:pt>
                <c:pt idx="4140">
                  <c:v>154.44530000000003</c:v>
                </c:pt>
                <c:pt idx="4141">
                  <c:v>154.44530000000003</c:v>
                </c:pt>
                <c:pt idx="4142">
                  <c:v>154.44540000000001</c:v>
                </c:pt>
                <c:pt idx="4143">
                  <c:v>154.4743</c:v>
                </c:pt>
                <c:pt idx="4144">
                  <c:v>154.49210000000002</c:v>
                </c:pt>
                <c:pt idx="4145">
                  <c:v>154.40119999999999</c:v>
                </c:pt>
                <c:pt idx="4146">
                  <c:v>154.46930000000003</c:v>
                </c:pt>
                <c:pt idx="4147">
                  <c:v>154.5624</c:v>
                </c:pt>
                <c:pt idx="4148">
                  <c:v>154.5624</c:v>
                </c:pt>
                <c:pt idx="4149">
                  <c:v>154.52000000000001</c:v>
                </c:pt>
                <c:pt idx="4150">
                  <c:v>154.6225</c:v>
                </c:pt>
                <c:pt idx="4151">
                  <c:v>154.51070000000001</c:v>
                </c:pt>
                <c:pt idx="4152">
                  <c:v>154.42480000000003</c:v>
                </c:pt>
                <c:pt idx="4153">
                  <c:v>154.36179999999999</c:v>
                </c:pt>
                <c:pt idx="4154">
                  <c:v>154.35120000000001</c:v>
                </c:pt>
                <c:pt idx="4155">
                  <c:v>154.35120000000001</c:v>
                </c:pt>
                <c:pt idx="4156">
                  <c:v>154.33279999999999</c:v>
                </c:pt>
                <c:pt idx="4157">
                  <c:v>154.39960000000002</c:v>
                </c:pt>
                <c:pt idx="4158">
                  <c:v>154.33760000000001</c:v>
                </c:pt>
                <c:pt idx="4159">
                  <c:v>154.19659999999999</c:v>
                </c:pt>
                <c:pt idx="4160">
                  <c:v>154.31710000000001</c:v>
                </c:pt>
                <c:pt idx="4161">
                  <c:v>154.29990000000001</c:v>
                </c:pt>
                <c:pt idx="4162">
                  <c:v>154.29990000000001</c:v>
                </c:pt>
                <c:pt idx="4163">
                  <c:v>154.3588</c:v>
                </c:pt>
                <c:pt idx="4164">
                  <c:v>154.2587</c:v>
                </c:pt>
                <c:pt idx="4165">
                  <c:v>154.2501</c:v>
                </c:pt>
                <c:pt idx="4166">
                  <c:v>154.22770000000003</c:v>
                </c:pt>
                <c:pt idx="4167">
                  <c:v>154.25970000000001</c:v>
                </c:pt>
                <c:pt idx="4168">
                  <c:v>154.29349999999999</c:v>
                </c:pt>
                <c:pt idx="4169">
                  <c:v>154.29390000000001</c:v>
                </c:pt>
                <c:pt idx="4170">
                  <c:v>154.29419999999999</c:v>
                </c:pt>
                <c:pt idx="4171">
                  <c:v>154.3459</c:v>
                </c:pt>
                <c:pt idx="4172">
                  <c:v>154.20439999999999</c:v>
                </c:pt>
                <c:pt idx="4173">
                  <c:v>154.27719999999999</c:v>
                </c:pt>
                <c:pt idx="4174">
                  <c:v>154.24330000000003</c:v>
                </c:pt>
                <c:pt idx="4175">
                  <c:v>154.29409999999999</c:v>
                </c:pt>
                <c:pt idx="4176">
                  <c:v>154.28819999999999</c:v>
                </c:pt>
                <c:pt idx="4177">
                  <c:v>154.4502</c:v>
                </c:pt>
                <c:pt idx="4178">
                  <c:v>157.14240000000004</c:v>
                </c:pt>
                <c:pt idx="4179">
                  <c:v>157.07510000000002</c:v>
                </c:pt>
                <c:pt idx="4180">
                  <c:v>159.34739999999999</c:v>
                </c:pt>
                <c:pt idx="4181">
                  <c:v>159.0033</c:v>
                </c:pt>
                <c:pt idx="4182">
                  <c:v>156.7593</c:v>
                </c:pt>
                <c:pt idx="4183">
                  <c:v>156.76010000000002</c:v>
                </c:pt>
                <c:pt idx="4184">
                  <c:v>157.5232</c:v>
                </c:pt>
                <c:pt idx="4185">
                  <c:v>158.73779999999999</c:v>
                </c:pt>
                <c:pt idx="4186">
                  <c:v>159.12710000000001</c:v>
                </c:pt>
                <c:pt idx="4187">
                  <c:v>159.02780000000001</c:v>
                </c:pt>
                <c:pt idx="4188">
                  <c:v>159.01509999999999</c:v>
                </c:pt>
                <c:pt idx="4189">
                  <c:v>158.92960000000002</c:v>
                </c:pt>
                <c:pt idx="4190">
                  <c:v>158.72499999999999</c:v>
                </c:pt>
                <c:pt idx="4191">
                  <c:v>159.1191</c:v>
                </c:pt>
                <c:pt idx="4192">
                  <c:v>157.8381</c:v>
                </c:pt>
                <c:pt idx="4193">
                  <c:v>158.83110000000002</c:v>
                </c:pt>
                <c:pt idx="4194">
                  <c:v>159.58760000000001</c:v>
                </c:pt>
                <c:pt idx="4195">
                  <c:v>162.7201</c:v>
                </c:pt>
                <c:pt idx="4196">
                  <c:v>161.46430000000001</c:v>
                </c:pt>
                <c:pt idx="4197">
                  <c:v>161.46450000000002</c:v>
                </c:pt>
                <c:pt idx="4198">
                  <c:v>163.7484</c:v>
                </c:pt>
                <c:pt idx="4199">
                  <c:v>166.01669999999999</c:v>
                </c:pt>
                <c:pt idx="4200">
                  <c:v>166.40320000000003</c:v>
                </c:pt>
                <c:pt idx="4201">
                  <c:v>166.42429999999999</c:v>
                </c:pt>
                <c:pt idx="4202">
                  <c:v>166.57660000000001</c:v>
                </c:pt>
                <c:pt idx="4203">
                  <c:v>166.53</c:v>
                </c:pt>
                <c:pt idx="4204">
                  <c:v>166.53</c:v>
                </c:pt>
                <c:pt idx="4205">
                  <c:v>167.0719</c:v>
                </c:pt>
                <c:pt idx="4206">
                  <c:v>167.04620000000003</c:v>
                </c:pt>
                <c:pt idx="4207">
                  <c:v>167.4289</c:v>
                </c:pt>
                <c:pt idx="4208">
                  <c:v>167.60810000000001</c:v>
                </c:pt>
                <c:pt idx="4209">
                  <c:v>167.53559999999999</c:v>
                </c:pt>
                <c:pt idx="4210">
                  <c:v>166.50380000000001</c:v>
                </c:pt>
                <c:pt idx="4211">
                  <c:v>166.5001</c:v>
                </c:pt>
                <c:pt idx="4212">
                  <c:v>166.4716</c:v>
                </c:pt>
                <c:pt idx="4213">
                  <c:v>166.4676</c:v>
                </c:pt>
                <c:pt idx="4214">
                  <c:v>166.70070000000001</c:v>
                </c:pt>
                <c:pt idx="4215">
                  <c:v>166.8929</c:v>
                </c:pt>
                <c:pt idx="4216">
                  <c:v>167.31829999999999</c:v>
                </c:pt>
                <c:pt idx="4217">
                  <c:v>166.64340000000001</c:v>
                </c:pt>
                <c:pt idx="4218">
                  <c:v>166.64340000000001</c:v>
                </c:pt>
                <c:pt idx="4219">
                  <c:v>163.59440000000001</c:v>
                </c:pt>
                <c:pt idx="4220">
                  <c:v>163.5916</c:v>
                </c:pt>
                <c:pt idx="4221">
                  <c:v>161.35579999999999</c:v>
                </c:pt>
                <c:pt idx="4222">
                  <c:v>160.40960000000001</c:v>
                </c:pt>
                <c:pt idx="4223">
                  <c:v>159.97309999999999</c:v>
                </c:pt>
                <c:pt idx="4224">
                  <c:v>161.0001</c:v>
                </c:pt>
                <c:pt idx="4225">
                  <c:v>161.0001</c:v>
                </c:pt>
                <c:pt idx="4226">
                  <c:v>161.0104</c:v>
                </c:pt>
                <c:pt idx="4227">
                  <c:v>160.94520000000003</c:v>
                </c:pt>
                <c:pt idx="4228">
                  <c:v>161.15560000000002</c:v>
                </c:pt>
                <c:pt idx="4229">
                  <c:v>161.54599999999999</c:v>
                </c:pt>
                <c:pt idx="4230">
                  <c:v>160.4479</c:v>
                </c:pt>
                <c:pt idx="4231">
                  <c:v>160.375</c:v>
                </c:pt>
                <c:pt idx="4232">
                  <c:v>160.375</c:v>
                </c:pt>
                <c:pt idx="4233">
                  <c:v>159.80250000000001</c:v>
                </c:pt>
                <c:pt idx="4234">
                  <c:v>158.4734</c:v>
                </c:pt>
                <c:pt idx="4235">
                  <c:v>159.5865</c:v>
                </c:pt>
                <c:pt idx="4236">
                  <c:v>159.26</c:v>
                </c:pt>
                <c:pt idx="4237">
                  <c:v>160.30340000000004</c:v>
                </c:pt>
                <c:pt idx="4238">
                  <c:v>159.6499</c:v>
                </c:pt>
                <c:pt idx="4239">
                  <c:v>159.6499</c:v>
                </c:pt>
                <c:pt idx="4240">
                  <c:v>159.749</c:v>
                </c:pt>
                <c:pt idx="4241">
                  <c:v>159.93260000000001</c:v>
                </c:pt>
                <c:pt idx="4242">
                  <c:v>160.27170000000001</c:v>
                </c:pt>
                <c:pt idx="4243">
                  <c:v>160.6661</c:v>
                </c:pt>
                <c:pt idx="4244">
                  <c:v>160.3578</c:v>
                </c:pt>
                <c:pt idx="4245">
                  <c:v>159.99600000000001</c:v>
                </c:pt>
                <c:pt idx="4246">
                  <c:v>159.99600000000001</c:v>
                </c:pt>
                <c:pt idx="4247">
                  <c:v>160.0504</c:v>
                </c:pt>
                <c:pt idx="4248">
                  <c:v>160.47999999999999</c:v>
                </c:pt>
                <c:pt idx="4249">
                  <c:v>160.5155</c:v>
                </c:pt>
                <c:pt idx="4250">
                  <c:v>160.5</c:v>
                </c:pt>
                <c:pt idx="4251">
                  <c:v>160.5385</c:v>
                </c:pt>
                <c:pt idx="4252">
                  <c:v>160.6045</c:v>
                </c:pt>
                <c:pt idx="4253">
                  <c:v>160.60079999999999</c:v>
                </c:pt>
                <c:pt idx="4254">
                  <c:v>160.4913</c:v>
                </c:pt>
                <c:pt idx="4255">
                  <c:v>161.23099999999999</c:v>
                </c:pt>
                <c:pt idx="4256">
                  <c:v>161.1626</c:v>
                </c:pt>
                <c:pt idx="4257">
                  <c:v>160.88499999999999</c:v>
                </c:pt>
                <c:pt idx="4258">
                  <c:v>161.12649999999999</c:v>
                </c:pt>
                <c:pt idx="4259">
                  <c:v>160.95650000000001</c:v>
                </c:pt>
                <c:pt idx="4260">
                  <c:v>160.95650000000001</c:v>
                </c:pt>
                <c:pt idx="4261">
                  <c:v>162.86600000000001</c:v>
                </c:pt>
                <c:pt idx="4262">
                  <c:v>163.05220000000003</c:v>
                </c:pt>
                <c:pt idx="4263">
                  <c:v>165.5</c:v>
                </c:pt>
                <c:pt idx="4264">
                  <c:v>164.99279999999999</c:v>
                </c:pt>
                <c:pt idx="4265">
                  <c:v>163.5539</c:v>
                </c:pt>
                <c:pt idx="4266">
                  <c:v>163.46870000000001</c:v>
                </c:pt>
                <c:pt idx="4267">
                  <c:v>163.46870000000001</c:v>
                </c:pt>
                <c:pt idx="4268">
                  <c:v>163.34829999999999</c:v>
                </c:pt>
                <c:pt idx="4269">
                  <c:v>163.3348</c:v>
                </c:pt>
                <c:pt idx="4270">
                  <c:v>163.91149999999999</c:v>
                </c:pt>
                <c:pt idx="4271">
                  <c:v>164.49080000000001</c:v>
                </c:pt>
                <c:pt idx="4272">
                  <c:v>164.54589999999999</c:v>
                </c:pt>
                <c:pt idx="4273">
                  <c:v>164.49350000000001</c:v>
                </c:pt>
                <c:pt idx="4274">
                  <c:v>164.49350000000001</c:v>
                </c:pt>
                <c:pt idx="4275">
                  <c:v>164.8724</c:v>
                </c:pt>
                <c:pt idx="4276">
                  <c:v>164.827</c:v>
                </c:pt>
                <c:pt idx="4277">
                  <c:v>165.04040000000001</c:v>
                </c:pt>
                <c:pt idx="4278">
                  <c:v>165.5361</c:v>
                </c:pt>
                <c:pt idx="4279">
                  <c:v>166.32490000000001</c:v>
                </c:pt>
                <c:pt idx="4280">
                  <c:v>166.86199999999999</c:v>
                </c:pt>
                <c:pt idx="4281">
                  <c:v>166.86199999999999</c:v>
                </c:pt>
                <c:pt idx="4282">
                  <c:v>167.0231</c:v>
                </c:pt>
                <c:pt idx="4283">
                  <c:v>166.66880000000003</c:v>
                </c:pt>
                <c:pt idx="4284">
                  <c:v>167.17529999999999</c:v>
                </c:pt>
                <c:pt idx="4285">
                  <c:v>167.90310000000002</c:v>
                </c:pt>
                <c:pt idx="4286">
                  <c:v>167.92230000000001</c:v>
                </c:pt>
                <c:pt idx="4287">
                  <c:v>167.54320000000001</c:v>
                </c:pt>
                <c:pt idx="4288">
                  <c:v>167.54320000000001</c:v>
                </c:pt>
                <c:pt idx="4289">
                  <c:v>167.5171</c:v>
                </c:pt>
                <c:pt idx="4290">
                  <c:v>168.15</c:v>
                </c:pt>
                <c:pt idx="4291">
                  <c:v>167.86439999999999</c:v>
                </c:pt>
                <c:pt idx="4292">
                  <c:v>167.89160000000001</c:v>
                </c:pt>
                <c:pt idx="4293">
                  <c:v>167.9288</c:v>
                </c:pt>
                <c:pt idx="4294">
                  <c:v>167.57429999999999</c:v>
                </c:pt>
                <c:pt idx="4295">
                  <c:v>167.5744</c:v>
                </c:pt>
                <c:pt idx="4296">
                  <c:v>167.15800000000002</c:v>
                </c:pt>
                <c:pt idx="4297">
                  <c:v>166.31020000000001</c:v>
                </c:pt>
                <c:pt idx="4298">
                  <c:v>167.06550000000001</c:v>
                </c:pt>
                <c:pt idx="4299">
                  <c:v>167.08869999999999</c:v>
                </c:pt>
                <c:pt idx="4300">
                  <c:v>167.11830000000003</c:v>
                </c:pt>
                <c:pt idx="4301">
                  <c:v>166.44589999999999</c:v>
                </c:pt>
                <c:pt idx="4302">
                  <c:v>166.12729999999999</c:v>
                </c:pt>
                <c:pt idx="4303">
                  <c:v>166.21109999999999</c:v>
                </c:pt>
                <c:pt idx="4304">
                  <c:v>167.01589999999999</c:v>
                </c:pt>
                <c:pt idx="4305">
                  <c:v>166.97280000000003</c:v>
                </c:pt>
                <c:pt idx="4306">
                  <c:v>166.87719999999999</c:v>
                </c:pt>
                <c:pt idx="4307">
                  <c:v>167.0377</c:v>
                </c:pt>
                <c:pt idx="4308">
                  <c:v>167.3775</c:v>
                </c:pt>
                <c:pt idx="4309">
                  <c:v>167.3775</c:v>
                </c:pt>
                <c:pt idx="4310">
                  <c:v>167.47810000000001</c:v>
                </c:pt>
                <c:pt idx="4311">
                  <c:v>167.6053</c:v>
                </c:pt>
                <c:pt idx="4312">
                  <c:v>167.58700000000002</c:v>
                </c:pt>
                <c:pt idx="4313">
                  <c:v>167.94659999999999</c:v>
                </c:pt>
                <c:pt idx="4314">
                  <c:v>167.95730000000003</c:v>
                </c:pt>
                <c:pt idx="4315">
                  <c:v>167.44390000000001</c:v>
                </c:pt>
                <c:pt idx="4316">
                  <c:v>167.4435</c:v>
                </c:pt>
                <c:pt idx="4317">
                  <c:v>167.83760000000001</c:v>
                </c:pt>
                <c:pt idx="4318">
                  <c:v>166.8186</c:v>
                </c:pt>
                <c:pt idx="4319">
                  <c:v>166.44069999999999</c:v>
                </c:pt>
                <c:pt idx="4320">
                  <c:v>166.91849999999999</c:v>
                </c:pt>
                <c:pt idx="4321">
                  <c:v>167.07069999999999</c:v>
                </c:pt>
                <c:pt idx="4322">
                  <c:v>167.6336</c:v>
                </c:pt>
                <c:pt idx="4323">
                  <c:v>167.6345</c:v>
                </c:pt>
                <c:pt idx="4324">
                  <c:v>167.50060000000002</c:v>
                </c:pt>
                <c:pt idx="4325">
                  <c:v>167.0128</c:v>
                </c:pt>
                <c:pt idx="4326">
                  <c:v>167.59649999999999</c:v>
                </c:pt>
                <c:pt idx="4327">
                  <c:v>168.18570000000003</c:v>
                </c:pt>
                <c:pt idx="4328">
                  <c:v>168.66890000000001</c:v>
                </c:pt>
                <c:pt idx="4329">
                  <c:v>167.8973</c:v>
                </c:pt>
                <c:pt idx="4330">
                  <c:v>168.8777</c:v>
                </c:pt>
                <c:pt idx="4331">
                  <c:v>168.70429999999999</c:v>
                </c:pt>
                <c:pt idx="4332">
                  <c:v>168.41400000000002</c:v>
                </c:pt>
                <c:pt idx="4333">
                  <c:v>168.5479</c:v>
                </c:pt>
                <c:pt idx="4334">
                  <c:v>168.4204</c:v>
                </c:pt>
                <c:pt idx="4335">
                  <c:v>168.17439999999999</c:v>
                </c:pt>
                <c:pt idx="4336">
                  <c:v>168.0772</c:v>
                </c:pt>
                <c:pt idx="4337">
                  <c:v>168.83250000000001</c:v>
                </c:pt>
                <c:pt idx="4338">
                  <c:v>168.072</c:v>
                </c:pt>
                <c:pt idx="4339">
                  <c:v>167.91970000000001</c:v>
                </c:pt>
                <c:pt idx="4340">
                  <c:v>168.04620000000003</c:v>
                </c:pt>
                <c:pt idx="4341">
                  <c:v>168.44800000000001</c:v>
                </c:pt>
                <c:pt idx="4342">
                  <c:v>168.70160000000001</c:v>
                </c:pt>
                <c:pt idx="4343">
                  <c:v>168.57570000000001</c:v>
                </c:pt>
                <c:pt idx="4344">
                  <c:v>168.57570000000001</c:v>
                </c:pt>
                <c:pt idx="4345">
                  <c:v>168.53380000000001</c:v>
                </c:pt>
                <c:pt idx="4346">
                  <c:v>168.5617</c:v>
                </c:pt>
                <c:pt idx="4347">
                  <c:v>168.48939999999999</c:v>
                </c:pt>
                <c:pt idx="4348">
                  <c:v>168.5556</c:v>
                </c:pt>
                <c:pt idx="4349">
                  <c:v>167.44919999999999</c:v>
                </c:pt>
                <c:pt idx="4350">
                  <c:v>167.29159999999999</c:v>
                </c:pt>
                <c:pt idx="4351">
                  <c:v>167.29159999999999</c:v>
                </c:pt>
                <c:pt idx="4352">
                  <c:v>167.42720000000003</c:v>
                </c:pt>
                <c:pt idx="4353">
                  <c:v>165.48480000000001</c:v>
                </c:pt>
                <c:pt idx="4354">
                  <c:v>165.37560000000002</c:v>
                </c:pt>
                <c:pt idx="4355">
                  <c:v>165.43510000000001</c:v>
                </c:pt>
                <c:pt idx="4356">
                  <c:v>166.0461</c:v>
                </c:pt>
                <c:pt idx="4357">
                  <c:v>165.9503</c:v>
                </c:pt>
                <c:pt idx="4358">
                  <c:v>165.94990000000001</c:v>
                </c:pt>
                <c:pt idx="4359">
                  <c:v>165.74100000000001</c:v>
                </c:pt>
                <c:pt idx="4360">
                  <c:v>165.65270000000001</c:v>
                </c:pt>
                <c:pt idx="4361">
                  <c:v>166.3244</c:v>
                </c:pt>
                <c:pt idx="4362">
                  <c:v>166.29130000000001</c:v>
                </c:pt>
                <c:pt idx="4363">
                  <c:v>166.39070000000001</c:v>
                </c:pt>
                <c:pt idx="4364">
                  <c:v>166.0001</c:v>
                </c:pt>
                <c:pt idx="4365">
                  <c:v>166.0001</c:v>
                </c:pt>
                <c:pt idx="4366">
                  <c:v>166.114</c:v>
                </c:pt>
                <c:pt idx="4367">
                  <c:v>166.12710000000001</c:v>
                </c:pt>
                <c:pt idx="4368">
                  <c:v>166.37670000000003</c:v>
                </c:pt>
                <c:pt idx="4369">
                  <c:v>166.20930000000001</c:v>
                </c:pt>
                <c:pt idx="4370">
                  <c:v>166.26509999999999</c:v>
                </c:pt>
                <c:pt idx="4371">
                  <c:v>166.50630000000001</c:v>
                </c:pt>
                <c:pt idx="4372">
                  <c:v>166.50630000000001</c:v>
                </c:pt>
                <c:pt idx="4373">
                  <c:v>166.05590000000001</c:v>
                </c:pt>
                <c:pt idx="4374">
                  <c:v>166.09209999999999</c:v>
                </c:pt>
                <c:pt idx="4375">
                  <c:v>166.19520000000003</c:v>
                </c:pt>
                <c:pt idx="4376">
                  <c:v>166.1944</c:v>
                </c:pt>
                <c:pt idx="4377">
                  <c:v>165.92160000000001</c:v>
                </c:pt>
                <c:pt idx="4378">
                  <c:v>165.6499</c:v>
                </c:pt>
                <c:pt idx="4379">
                  <c:v>165.6499</c:v>
                </c:pt>
                <c:pt idx="4380">
                  <c:v>165.70079999999999</c:v>
                </c:pt>
                <c:pt idx="4381">
                  <c:v>166.02799999999999</c:v>
                </c:pt>
                <c:pt idx="4382">
                  <c:v>165.9486</c:v>
                </c:pt>
                <c:pt idx="4383">
                  <c:v>165.64859999999999</c:v>
                </c:pt>
                <c:pt idx="4384">
                  <c:v>165.06530000000001</c:v>
                </c:pt>
                <c:pt idx="4385">
                  <c:v>164.94370000000001</c:v>
                </c:pt>
                <c:pt idx="4386">
                  <c:v>164.9564</c:v>
                </c:pt>
                <c:pt idx="4387">
                  <c:v>164.5266</c:v>
                </c:pt>
                <c:pt idx="4388">
                  <c:v>164.66280000000003</c:v>
                </c:pt>
                <c:pt idx="4389">
                  <c:v>164.30220000000003</c:v>
                </c:pt>
                <c:pt idx="4390">
                  <c:v>164.21889999999999</c:v>
                </c:pt>
                <c:pt idx="4391">
                  <c:v>163.99379999999999</c:v>
                </c:pt>
                <c:pt idx="4392">
                  <c:v>163.75660000000002</c:v>
                </c:pt>
                <c:pt idx="4393">
                  <c:v>163.80619999999999</c:v>
                </c:pt>
                <c:pt idx="4394">
                  <c:v>163.80410000000001</c:v>
                </c:pt>
                <c:pt idx="4395">
                  <c:v>163.84360000000001</c:v>
                </c:pt>
                <c:pt idx="4396">
                  <c:v>163.88910000000001</c:v>
                </c:pt>
                <c:pt idx="4397">
                  <c:v>163.80520000000001</c:v>
                </c:pt>
                <c:pt idx="4398">
                  <c:v>162.94659999999999</c:v>
                </c:pt>
                <c:pt idx="4399">
                  <c:v>162.75030000000001</c:v>
                </c:pt>
                <c:pt idx="4400">
                  <c:v>162.7499</c:v>
                </c:pt>
                <c:pt idx="4401">
                  <c:v>162.58150000000001</c:v>
                </c:pt>
                <c:pt idx="4402">
                  <c:v>162.47170000000003</c:v>
                </c:pt>
                <c:pt idx="4403">
                  <c:v>162.31060000000002</c:v>
                </c:pt>
                <c:pt idx="4404">
                  <c:v>162.30179999999999</c:v>
                </c:pt>
                <c:pt idx="4405">
                  <c:v>161.80019999999999</c:v>
                </c:pt>
                <c:pt idx="4406">
                  <c:v>161.78110000000001</c:v>
                </c:pt>
                <c:pt idx="4407">
                  <c:v>161.78110000000001</c:v>
                </c:pt>
                <c:pt idx="4408">
                  <c:v>161.43190000000001</c:v>
                </c:pt>
                <c:pt idx="4409">
                  <c:v>161.1199</c:v>
                </c:pt>
                <c:pt idx="4410">
                  <c:v>160.75120000000001</c:v>
                </c:pt>
                <c:pt idx="4411">
                  <c:v>160.5711</c:v>
                </c:pt>
                <c:pt idx="4412">
                  <c:v>160.65049999999999</c:v>
                </c:pt>
                <c:pt idx="4413">
                  <c:v>160.4504</c:v>
                </c:pt>
                <c:pt idx="4414">
                  <c:v>160.45000000000002</c:v>
                </c:pt>
                <c:pt idx="4415">
                  <c:v>160.4736</c:v>
                </c:pt>
                <c:pt idx="4416">
                  <c:v>160.11429999999999</c:v>
                </c:pt>
                <c:pt idx="4417">
                  <c:v>159.84800000000001</c:v>
                </c:pt>
                <c:pt idx="4418">
                  <c:v>159.5994</c:v>
                </c:pt>
                <c:pt idx="4419">
                  <c:v>159.58750000000001</c:v>
                </c:pt>
                <c:pt idx="4420">
                  <c:v>159.15039999999999</c:v>
                </c:pt>
                <c:pt idx="4421">
                  <c:v>159.15600000000001</c:v>
                </c:pt>
                <c:pt idx="4422">
                  <c:v>159.10599999999999</c:v>
                </c:pt>
                <c:pt idx="4423">
                  <c:v>159.09299999999999</c:v>
                </c:pt>
                <c:pt idx="4424">
                  <c:v>158.9759</c:v>
                </c:pt>
                <c:pt idx="4425">
                  <c:v>158.52600000000001</c:v>
                </c:pt>
                <c:pt idx="4426">
                  <c:v>158.32919999999999</c:v>
                </c:pt>
                <c:pt idx="4427">
                  <c:v>158.375</c:v>
                </c:pt>
                <c:pt idx="4428">
                  <c:v>158.33750000000001</c:v>
                </c:pt>
                <c:pt idx="4429">
                  <c:v>158.29990000000001</c:v>
                </c:pt>
                <c:pt idx="4430">
                  <c:v>158.1465</c:v>
                </c:pt>
                <c:pt idx="4431">
                  <c:v>158.19640000000004</c:v>
                </c:pt>
                <c:pt idx="4432">
                  <c:v>158.88120000000001</c:v>
                </c:pt>
                <c:pt idx="4433">
                  <c:v>158.8639</c:v>
                </c:pt>
                <c:pt idx="4434">
                  <c:v>160.756</c:v>
                </c:pt>
                <c:pt idx="4435">
                  <c:v>160.74810000000002</c:v>
                </c:pt>
                <c:pt idx="4436">
                  <c:v>160.57730000000001</c:v>
                </c:pt>
                <c:pt idx="4437">
                  <c:v>160.9881</c:v>
                </c:pt>
                <c:pt idx="4438">
                  <c:v>160.03720000000001</c:v>
                </c:pt>
                <c:pt idx="4439">
                  <c:v>159.32089999999999</c:v>
                </c:pt>
                <c:pt idx="4440">
                  <c:v>159.18289999999999</c:v>
                </c:pt>
                <c:pt idx="4441">
                  <c:v>159.34450000000001</c:v>
                </c:pt>
                <c:pt idx="4442">
                  <c:v>159.44410000000002</c:v>
                </c:pt>
                <c:pt idx="4443">
                  <c:v>159.39120000000003</c:v>
                </c:pt>
                <c:pt idx="4444">
                  <c:v>159.4631</c:v>
                </c:pt>
                <c:pt idx="4445">
                  <c:v>159.62700000000001</c:v>
                </c:pt>
                <c:pt idx="4446">
                  <c:v>160.18530000000001</c:v>
                </c:pt>
                <c:pt idx="4447">
                  <c:v>160.33680000000001</c:v>
                </c:pt>
                <c:pt idx="4448">
                  <c:v>160.04990000000001</c:v>
                </c:pt>
                <c:pt idx="4449">
                  <c:v>160.04409999999999</c:v>
                </c:pt>
                <c:pt idx="4450">
                  <c:v>160.03389999999999</c:v>
                </c:pt>
                <c:pt idx="4451">
                  <c:v>160.25300000000001</c:v>
                </c:pt>
                <c:pt idx="4452">
                  <c:v>160.3184</c:v>
                </c:pt>
                <c:pt idx="4453">
                  <c:v>160.41290000000001</c:v>
                </c:pt>
                <c:pt idx="4454">
                  <c:v>160.48179999999999</c:v>
                </c:pt>
                <c:pt idx="4455">
                  <c:v>160.15010000000001</c:v>
                </c:pt>
                <c:pt idx="4456">
                  <c:v>160.14400000000001</c:v>
                </c:pt>
                <c:pt idx="4457">
                  <c:v>160.19479999999999</c:v>
                </c:pt>
                <c:pt idx="4458">
                  <c:v>160.34280000000001</c:v>
                </c:pt>
                <c:pt idx="4459">
                  <c:v>160.54419999999999</c:v>
                </c:pt>
                <c:pt idx="4460">
                  <c:v>160.4145</c:v>
                </c:pt>
                <c:pt idx="4461">
                  <c:v>160.18170000000001</c:v>
                </c:pt>
                <c:pt idx="4462">
                  <c:v>160.1096</c:v>
                </c:pt>
                <c:pt idx="4463">
                  <c:v>160.0941</c:v>
                </c:pt>
                <c:pt idx="4464">
                  <c:v>160.15020000000001</c:v>
                </c:pt>
                <c:pt idx="4465">
                  <c:v>160.44170000000003</c:v>
                </c:pt>
                <c:pt idx="4466">
                  <c:v>160.53440000000001</c:v>
                </c:pt>
                <c:pt idx="4467">
                  <c:v>160.63820000000001</c:v>
                </c:pt>
                <c:pt idx="4468">
                  <c:v>160.3021</c:v>
                </c:pt>
                <c:pt idx="4469">
                  <c:v>160.3124</c:v>
                </c:pt>
                <c:pt idx="4470">
                  <c:v>160.30770000000001</c:v>
                </c:pt>
                <c:pt idx="4471">
                  <c:v>160.31450000000001</c:v>
                </c:pt>
                <c:pt idx="4472">
                  <c:v>160.4554</c:v>
                </c:pt>
                <c:pt idx="4473">
                  <c:v>160.6131</c:v>
                </c:pt>
                <c:pt idx="4474">
                  <c:v>160.47149999999999</c:v>
                </c:pt>
                <c:pt idx="4475">
                  <c:v>160.16679999999999</c:v>
                </c:pt>
                <c:pt idx="4476">
                  <c:v>160.99690000000004</c:v>
                </c:pt>
                <c:pt idx="4477">
                  <c:v>160.99299999999999</c:v>
                </c:pt>
                <c:pt idx="4478">
                  <c:v>160.97630000000001</c:v>
                </c:pt>
                <c:pt idx="4479">
                  <c:v>160.0744</c:v>
                </c:pt>
                <c:pt idx="4480">
                  <c:v>160.63319999999999</c:v>
                </c:pt>
                <c:pt idx="4481">
                  <c:v>160.43870000000001</c:v>
                </c:pt>
                <c:pt idx="4482">
                  <c:v>160.44200000000001</c:v>
                </c:pt>
                <c:pt idx="4483">
                  <c:v>160.24969999999999</c:v>
                </c:pt>
                <c:pt idx="4484">
                  <c:v>160.5933</c:v>
                </c:pt>
                <c:pt idx="4485">
                  <c:v>160.62700000000001</c:v>
                </c:pt>
                <c:pt idx="4486">
                  <c:v>160.43969999999999</c:v>
                </c:pt>
                <c:pt idx="4487">
                  <c:v>160.42080000000001</c:v>
                </c:pt>
                <c:pt idx="4488">
                  <c:v>160.52189999999999</c:v>
                </c:pt>
                <c:pt idx="4489">
                  <c:v>160.37350000000001</c:v>
                </c:pt>
                <c:pt idx="4490">
                  <c:v>160.25040000000001</c:v>
                </c:pt>
                <c:pt idx="4491">
                  <c:v>161.13030000000003</c:v>
                </c:pt>
                <c:pt idx="4492">
                  <c:v>161.03120000000001</c:v>
                </c:pt>
                <c:pt idx="4493">
                  <c:v>160.6549</c:v>
                </c:pt>
                <c:pt idx="4494">
                  <c:v>160.67779999999999</c:v>
                </c:pt>
                <c:pt idx="4495">
                  <c:v>160.554</c:v>
                </c:pt>
                <c:pt idx="4496">
                  <c:v>160.64940000000001</c:v>
                </c:pt>
                <c:pt idx="4497">
                  <c:v>160.64519999999999</c:v>
                </c:pt>
                <c:pt idx="4498">
                  <c:v>160.64519999999999</c:v>
                </c:pt>
                <c:pt idx="4499">
                  <c:v>160.75479999999999</c:v>
                </c:pt>
                <c:pt idx="4500">
                  <c:v>160.80240000000001</c:v>
                </c:pt>
                <c:pt idx="4501">
                  <c:v>160.72190000000001</c:v>
                </c:pt>
                <c:pt idx="4502">
                  <c:v>160.72880000000001</c:v>
                </c:pt>
                <c:pt idx="4503">
                  <c:v>160.68989999999999</c:v>
                </c:pt>
                <c:pt idx="4504">
                  <c:v>160.2534</c:v>
                </c:pt>
                <c:pt idx="4505">
                  <c:v>160.36439999999999</c:v>
                </c:pt>
                <c:pt idx="4506">
                  <c:v>160.36019999999999</c:v>
                </c:pt>
                <c:pt idx="4507">
                  <c:v>160.31190000000001</c:v>
                </c:pt>
                <c:pt idx="4508">
                  <c:v>160.40629999999999</c:v>
                </c:pt>
                <c:pt idx="4509">
                  <c:v>160.45760000000001</c:v>
                </c:pt>
                <c:pt idx="4510">
                  <c:v>160.3253</c:v>
                </c:pt>
                <c:pt idx="4511">
                  <c:v>160.0557</c:v>
                </c:pt>
                <c:pt idx="4512">
                  <c:v>160.0557</c:v>
                </c:pt>
                <c:pt idx="4513">
                  <c:v>160.17960000000002</c:v>
                </c:pt>
                <c:pt idx="4514">
                  <c:v>159.9151</c:v>
                </c:pt>
                <c:pt idx="4515">
                  <c:v>160.01740000000004</c:v>
                </c:pt>
                <c:pt idx="4516">
                  <c:v>159.87299999999999</c:v>
                </c:pt>
                <c:pt idx="4517">
                  <c:v>159.4547</c:v>
                </c:pt>
                <c:pt idx="4518">
                  <c:v>158.8466</c:v>
                </c:pt>
                <c:pt idx="4519">
                  <c:v>158.85</c:v>
                </c:pt>
                <c:pt idx="4520">
                  <c:v>158.9101</c:v>
                </c:pt>
                <c:pt idx="4521">
                  <c:v>159.36699999999999</c:v>
                </c:pt>
                <c:pt idx="4522">
                  <c:v>159.9024</c:v>
                </c:pt>
                <c:pt idx="4523">
                  <c:v>159.75829999999999</c:v>
                </c:pt>
                <c:pt idx="4524">
                  <c:v>158.91419999999999</c:v>
                </c:pt>
                <c:pt idx="4525">
                  <c:v>159.05549999999999</c:v>
                </c:pt>
                <c:pt idx="4526">
                  <c:v>159.3682</c:v>
                </c:pt>
                <c:pt idx="4527">
                  <c:v>159.25530000000003</c:v>
                </c:pt>
                <c:pt idx="4528">
                  <c:v>159.0532</c:v>
                </c:pt>
                <c:pt idx="4529">
                  <c:v>158.85849999999999</c:v>
                </c:pt>
                <c:pt idx="4530">
                  <c:v>158.9162</c:v>
                </c:pt>
                <c:pt idx="4531">
                  <c:v>158.43379999999999</c:v>
                </c:pt>
                <c:pt idx="4532">
                  <c:v>158.39340000000001</c:v>
                </c:pt>
                <c:pt idx="4533">
                  <c:v>158.3954</c:v>
                </c:pt>
                <c:pt idx="4534">
                  <c:v>157.8038</c:v>
                </c:pt>
                <c:pt idx="4535">
                  <c:v>157.994</c:v>
                </c:pt>
                <c:pt idx="4536">
                  <c:v>157.7816</c:v>
                </c:pt>
                <c:pt idx="4537">
                  <c:v>157.20230000000001</c:v>
                </c:pt>
                <c:pt idx="4538">
                  <c:v>157.18639999999999</c:v>
                </c:pt>
                <c:pt idx="4539">
                  <c:v>157.00360000000001</c:v>
                </c:pt>
                <c:pt idx="4540">
                  <c:v>157.00360000000001</c:v>
                </c:pt>
                <c:pt idx="4541">
                  <c:v>156.99</c:v>
                </c:pt>
                <c:pt idx="4542">
                  <c:v>157.23240000000001</c:v>
                </c:pt>
                <c:pt idx="4543">
                  <c:v>157.0521</c:v>
                </c:pt>
                <c:pt idx="4544">
                  <c:v>157.0581</c:v>
                </c:pt>
                <c:pt idx="4545">
                  <c:v>157.14070000000001</c:v>
                </c:pt>
                <c:pt idx="4546">
                  <c:v>157.0504</c:v>
                </c:pt>
                <c:pt idx="4547">
                  <c:v>157.04860000000002</c:v>
                </c:pt>
                <c:pt idx="4548">
                  <c:v>156.71680000000003</c:v>
                </c:pt>
                <c:pt idx="4549">
                  <c:v>157.02629999999999</c:v>
                </c:pt>
                <c:pt idx="4550">
                  <c:v>156.72300000000001</c:v>
                </c:pt>
                <c:pt idx="4551">
                  <c:v>156.03749999999999</c:v>
                </c:pt>
                <c:pt idx="4552">
                  <c:v>155.5796</c:v>
                </c:pt>
                <c:pt idx="4553">
                  <c:v>155.9991</c:v>
                </c:pt>
                <c:pt idx="4554">
                  <c:v>155.9999</c:v>
                </c:pt>
                <c:pt idx="4555">
                  <c:v>155.8561</c:v>
                </c:pt>
                <c:pt idx="4556">
                  <c:v>155.68450000000001</c:v>
                </c:pt>
                <c:pt idx="4557">
                  <c:v>156.1148</c:v>
                </c:pt>
                <c:pt idx="4558">
                  <c:v>155.3708</c:v>
                </c:pt>
                <c:pt idx="4559">
                  <c:v>154.8237</c:v>
                </c:pt>
                <c:pt idx="4560">
                  <c:v>155.00489999999999</c:v>
                </c:pt>
                <c:pt idx="4561">
                  <c:v>155.00989999999999</c:v>
                </c:pt>
                <c:pt idx="4562">
                  <c:v>154.62479999999999</c:v>
                </c:pt>
                <c:pt idx="4563">
                  <c:v>153.9333</c:v>
                </c:pt>
                <c:pt idx="4564">
                  <c:v>153.0849</c:v>
                </c:pt>
                <c:pt idx="4565">
                  <c:v>152.64959999999999</c:v>
                </c:pt>
                <c:pt idx="4566">
                  <c:v>152.78039999999999</c:v>
                </c:pt>
                <c:pt idx="4567">
                  <c:v>153.55029999999999</c:v>
                </c:pt>
                <c:pt idx="4568">
                  <c:v>153.55549999999999</c:v>
                </c:pt>
                <c:pt idx="4569">
                  <c:v>152.81399999999999</c:v>
                </c:pt>
                <c:pt idx="4570">
                  <c:v>152.57740000000001</c:v>
                </c:pt>
                <c:pt idx="4571">
                  <c:v>153.221</c:v>
                </c:pt>
                <c:pt idx="4572">
                  <c:v>153.1713</c:v>
                </c:pt>
                <c:pt idx="4573">
                  <c:v>152.7688</c:v>
                </c:pt>
                <c:pt idx="4574">
                  <c:v>152.74039999999999</c:v>
                </c:pt>
                <c:pt idx="4575">
                  <c:v>152.88059999999999</c:v>
                </c:pt>
                <c:pt idx="4576">
                  <c:v>152.7526</c:v>
                </c:pt>
                <c:pt idx="4577">
                  <c:v>152.5462</c:v>
                </c:pt>
                <c:pt idx="4578">
                  <c:v>152.9008</c:v>
                </c:pt>
                <c:pt idx="4579">
                  <c:v>152.89590000000001</c:v>
                </c:pt>
                <c:pt idx="4580">
                  <c:v>152.7054</c:v>
                </c:pt>
                <c:pt idx="4581">
                  <c:v>152.8023</c:v>
                </c:pt>
                <c:pt idx="4582">
                  <c:v>152.80549999999999</c:v>
                </c:pt>
                <c:pt idx="4583">
                  <c:v>153.37889999999999</c:v>
                </c:pt>
                <c:pt idx="4584">
                  <c:v>153.26179999999999</c:v>
                </c:pt>
                <c:pt idx="4585">
                  <c:v>152.90289999999999</c:v>
                </c:pt>
                <c:pt idx="4586">
                  <c:v>153.25389999999999</c:v>
                </c:pt>
                <c:pt idx="4587">
                  <c:v>153.5136</c:v>
                </c:pt>
                <c:pt idx="4588">
                  <c:v>153.4468</c:v>
                </c:pt>
                <c:pt idx="4589">
                  <c:v>153.11510000000001</c:v>
                </c:pt>
                <c:pt idx="4590">
                  <c:v>153.27430000000001</c:v>
                </c:pt>
                <c:pt idx="4591">
                  <c:v>154.00839999999999</c:v>
                </c:pt>
                <c:pt idx="4592">
                  <c:v>154.36099999999999</c:v>
                </c:pt>
                <c:pt idx="4593">
                  <c:v>153.72389999999999</c:v>
                </c:pt>
                <c:pt idx="4594">
                  <c:v>153.50749999999999</c:v>
                </c:pt>
                <c:pt idx="4595">
                  <c:v>153.81950000000001</c:v>
                </c:pt>
                <c:pt idx="4596">
                  <c:v>153.9151</c:v>
                </c:pt>
                <c:pt idx="4597">
                  <c:v>153.89959999999999</c:v>
                </c:pt>
                <c:pt idx="4598">
                  <c:v>153.21270000000001</c:v>
                </c:pt>
                <c:pt idx="4599">
                  <c:v>153.35120000000001</c:v>
                </c:pt>
                <c:pt idx="4600">
                  <c:v>152.87880000000001</c:v>
                </c:pt>
                <c:pt idx="4601">
                  <c:v>153.28899999999999</c:v>
                </c:pt>
                <c:pt idx="4602">
                  <c:v>152.67490000000001</c:v>
                </c:pt>
                <c:pt idx="4603">
                  <c:v>152.24160000000001</c:v>
                </c:pt>
                <c:pt idx="4604">
                  <c:v>151.1746</c:v>
                </c:pt>
                <c:pt idx="4605">
                  <c:v>152.23390000000001</c:v>
                </c:pt>
                <c:pt idx="4606">
                  <c:v>152.43879999999999</c:v>
                </c:pt>
                <c:pt idx="4607">
                  <c:v>152.12100000000001</c:v>
                </c:pt>
                <c:pt idx="4608">
                  <c:v>152.0505</c:v>
                </c:pt>
                <c:pt idx="4609">
                  <c:v>152.251</c:v>
                </c:pt>
                <c:pt idx="4610">
                  <c:v>152.251</c:v>
                </c:pt>
                <c:pt idx="4611">
                  <c:v>152.2081</c:v>
                </c:pt>
                <c:pt idx="4612">
                  <c:v>152.59450000000001</c:v>
                </c:pt>
                <c:pt idx="4613">
                  <c:v>152.8877</c:v>
                </c:pt>
                <c:pt idx="4614">
                  <c:v>153.2176</c:v>
                </c:pt>
                <c:pt idx="4615">
                  <c:v>153.4023</c:v>
                </c:pt>
                <c:pt idx="4616">
                  <c:v>153.4554</c:v>
                </c:pt>
                <c:pt idx="4617">
                  <c:v>153.4554</c:v>
                </c:pt>
                <c:pt idx="4618">
                  <c:v>153.49289999999999</c:v>
                </c:pt>
                <c:pt idx="4619">
                  <c:v>153.8108</c:v>
                </c:pt>
                <c:pt idx="4620">
                  <c:v>154.29050000000001</c:v>
                </c:pt>
                <c:pt idx="4621">
                  <c:v>155.09209999999999</c:v>
                </c:pt>
                <c:pt idx="4622">
                  <c:v>155.2885</c:v>
                </c:pt>
                <c:pt idx="4623">
                  <c:v>154.6053</c:v>
                </c:pt>
                <c:pt idx="4624">
                  <c:v>154.6053</c:v>
                </c:pt>
                <c:pt idx="4625">
                  <c:v>154.93879999999999</c:v>
                </c:pt>
                <c:pt idx="4626">
                  <c:v>154.1704</c:v>
                </c:pt>
                <c:pt idx="4627">
                  <c:v>154.40430000000001</c:v>
                </c:pt>
                <c:pt idx="4628">
                  <c:v>154.98869999999999</c:v>
                </c:pt>
                <c:pt idx="4629">
                  <c:v>154.74289999999999</c:v>
                </c:pt>
                <c:pt idx="4630">
                  <c:v>154.4966</c:v>
                </c:pt>
                <c:pt idx="4631">
                  <c:v>154.4966</c:v>
                </c:pt>
                <c:pt idx="4632">
                  <c:v>154.4914</c:v>
                </c:pt>
                <c:pt idx="4633">
                  <c:v>155.0701</c:v>
                </c:pt>
                <c:pt idx="4634">
                  <c:v>155.56880000000001</c:v>
                </c:pt>
                <c:pt idx="4635">
                  <c:v>155.78049999999999</c:v>
                </c:pt>
                <c:pt idx="4636">
                  <c:v>155.7336</c:v>
                </c:pt>
                <c:pt idx="4637">
                  <c:v>156.7038</c:v>
                </c:pt>
                <c:pt idx="4638">
                  <c:v>155.90549999999999</c:v>
                </c:pt>
                <c:pt idx="4639">
                  <c:v>155.98580000000001</c:v>
                </c:pt>
                <c:pt idx="4640">
                  <c:v>155.85820000000001</c:v>
                </c:pt>
                <c:pt idx="4641">
                  <c:v>155.73869999999999</c:v>
                </c:pt>
                <c:pt idx="4642">
                  <c:v>156.48349999999999</c:v>
                </c:pt>
                <c:pt idx="4643">
                  <c:v>157.10650000000001</c:v>
                </c:pt>
                <c:pt idx="4644">
                  <c:v>156.8552</c:v>
                </c:pt>
                <c:pt idx="4645">
                  <c:v>156.84440000000001</c:v>
                </c:pt>
                <c:pt idx="4646">
                  <c:v>157.11859999999999</c:v>
                </c:pt>
                <c:pt idx="4647">
                  <c:v>157.58170000000001</c:v>
                </c:pt>
                <c:pt idx="4648">
                  <c:v>157.80770000000001</c:v>
                </c:pt>
                <c:pt idx="4649">
                  <c:v>158.2398</c:v>
                </c:pt>
                <c:pt idx="4650">
                  <c:v>157.83799999999999</c:v>
                </c:pt>
                <c:pt idx="4651">
                  <c:v>157.59989999999999</c:v>
                </c:pt>
                <c:pt idx="4652">
                  <c:v>157.59989999999999</c:v>
                </c:pt>
                <c:pt idx="4653">
                  <c:v>157.88999999999999</c:v>
                </c:pt>
                <c:pt idx="4654">
                  <c:v>157.87190000000001</c:v>
                </c:pt>
                <c:pt idx="4655">
                  <c:v>157.86850000000001</c:v>
                </c:pt>
                <c:pt idx="4656">
                  <c:v>157.6574</c:v>
                </c:pt>
                <c:pt idx="4657">
                  <c:v>158.0685</c:v>
                </c:pt>
                <c:pt idx="4658">
                  <c:v>157.75049999999999</c:v>
                </c:pt>
                <c:pt idx="4659">
                  <c:v>158.01929999999999</c:v>
                </c:pt>
                <c:pt idx="4660">
                  <c:v>157.0609</c:v>
                </c:pt>
                <c:pt idx="4661">
                  <c:v>158.04669999999999</c:v>
                </c:pt>
                <c:pt idx="4662">
                  <c:v>158.8433</c:v>
                </c:pt>
                <c:pt idx="4663">
                  <c:v>158.9049</c:v>
                </c:pt>
                <c:pt idx="4664">
                  <c:v>159.2199</c:v>
                </c:pt>
                <c:pt idx="4665">
                  <c:v>159.4023</c:v>
                </c:pt>
                <c:pt idx="4666">
                  <c:v>159.32480000000001</c:v>
                </c:pt>
                <c:pt idx="4667">
                  <c:v>159.30940000000001</c:v>
                </c:pt>
                <c:pt idx="4668">
                  <c:v>159.58160000000001</c:v>
                </c:pt>
                <c:pt idx="4669">
                  <c:v>159.6542</c:v>
                </c:pt>
                <c:pt idx="4670">
                  <c:v>159.4247</c:v>
                </c:pt>
                <c:pt idx="4671">
                  <c:v>159.464</c:v>
                </c:pt>
                <c:pt idx="4672">
                  <c:v>159.51490000000001</c:v>
                </c:pt>
                <c:pt idx="4673">
                  <c:v>159.4581</c:v>
                </c:pt>
                <c:pt idx="4674">
                  <c:v>159.47739999999999</c:v>
                </c:pt>
                <c:pt idx="4675">
                  <c:v>160.5847</c:v>
                </c:pt>
                <c:pt idx="4676">
                  <c:v>160.89609999999999</c:v>
                </c:pt>
                <c:pt idx="4677">
                  <c:v>160.81469999999999</c:v>
                </c:pt>
                <c:pt idx="4678">
                  <c:v>160.85050000000001</c:v>
                </c:pt>
                <c:pt idx="4679">
                  <c:v>162.35050000000001</c:v>
                </c:pt>
                <c:pt idx="4680">
                  <c:v>160.739</c:v>
                </c:pt>
                <c:pt idx="4681">
                  <c:v>161.06129999999999</c:v>
                </c:pt>
                <c:pt idx="4682">
                  <c:v>161.99250000000001</c:v>
                </c:pt>
                <c:pt idx="4683">
                  <c:v>161.76410000000001</c:v>
                </c:pt>
                <c:pt idx="4684">
                  <c:v>162.05690000000001</c:v>
                </c:pt>
                <c:pt idx="4685">
                  <c:v>162.27600000000001</c:v>
                </c:pt>
                <c:pt idx="4686">
                  <c:v>162.589</c:v>
                </c:pt>
                <c:pt idx="4687">
                  <c:v>162.589</c:v>
                </c:pt>
                <c:pt idx="4688">
                  <c:v>162.6156</c:v>
                </c:pt>
                <c:pt idx="4689">
                  <c:v>163.47839999999999</c:v>
                </c:pt>
                <c:pt idx="4690">
                  <c:v>164.3947</c:v>
                </c:pt>
                <c:pt idx="4691">
                  <c:v>163.20099999999999</c:v>
                </c:pt>
                <c:pt idx="4692">
                  <c:v>163.9179</c:v>
                </c:pt>
                <c:pt idx="4693">
                  <c:v>164.1694</c:v>
                </c:pt>
                <c:pt idx="4694">
                  <c:v>164.76570000000001</c:v>
                </c:pt>
                <c:pt idx="4695">
                  <c:v>164.76929999999999</c:v>
                </c:pt>
                <c:pt idx="4696">
                  <c:v>164.33940000000001</c:v>
                </c:pt>
                <c:pt idx="4697">
                  <c:v>164.3612</c:v>
                </c:pt>
                <c:pt idx="4698">
                  <c:v>163.5668</c:v>
                </c:pt>
                <c:pt idx="4699">
                  <c:v>164.39830000000001</c:v>
                </c:pt>
                <c:pt idx="4700">
                  <c:v>164.42189999999999</c:v>
                </c:pt>
                <c:pt idx="4701">
                  <c:v>164.42189999999999</c:v>
                </c:pt>
                <c:pt idx="4702">
                  <c:v>164.43719999999999</c:v>
                </c:pt>
                <c:pt idx="4703">
                  <c:v>164.54849999999999</c:v>
                </c:pt>
                <c:pt idx="4704">
                  <c:v>164.54730000000001</c:v>
                </c:pt>
                <c:pt idx="4705">
                  <c:v>164.30600000000001</c:v>
                </c:pt>
                <c:pt idx="4706">
                  <c:v>164.22380000000001</c:v>
                </c:pt>
                <c:pt idx="4707">
                  <c:v>164.5882</c:v>
                </c:pt>
                <c:pt idx="4708">
                  <c:v>164.30019999999999</c:v>
                </c:pt>
                <c:pt idx="4709">
                  <c:v>164.25890000000001</c:v>
                </c:pt>
                <c:pt idx="4710">
                  <c:v>164.3477</c:v>
                </c:pt>
                <c:pt idx="4711">
                  <c:v>165.21610000000001</c:v>
                </c:pt>
                <c:pt idx="4712">
                  <c:v>165.9802</c:v>
                </c:pt>
                <c:pt idx="4713">
                  <c:v>166.4923</c:v>
                </c:pt>
                <c:pt idx="4714">
                  <c:v>166.58949999999999</c:v>
                </c:pt>
                <c:pt idx="4715">
                  <c:v>166.58949999999999</c:v>
                </c:pt>
                <c:pt idx="4716">
                  <c:v>166.58840000000001</c:v>
                </c:pt>
                <c:pt idx="4717">
                  <c:v>166.63030000000001</c:v>
                </c:pt>
                <c:pt idx="4718">
                  <c:v>166.73490000000001</c:v>
                </c:pt>
                <c:pt idx="4719">
                  <c:v>167.14400000000001</c:v>
                </c:pt>
                <c:pt idx="4720">
                  <c:v>167.28890000000001</c:v>
                </c:pt>
                <c:pt idx="4721">
                  <c:v>167.22069999999999</c:v>
                </c:pt>
                <c:pt idx="4722">
                  <c:v>167.21549999999999</c:v>
                </c:pt>
                <c:pt idx="4723">
                  <c:v>167.2362</c:v>
                </c:pt>
                <c:pt idx="4724">
                  <c:v>167.089</c:v>
                </c:pt>
                <c:pt idx="4725">
                  <c:v>167.9777</c:v>
                </c:pt>
                <c:pt idx="4726">
                  <c:v>167.75890000000001</c:v>
                </c:pt>
                <c:pt idx="4727">
                  <c:v>168.04050000000001</c:v>
                </c:pt>
                <c:pt idx="4728">
                  <c:v>168.18940000000001</c:v>
                </c:pt>
                <c:pt idx="4729">
                  <c:v>168.1893</c:v>
                </c:pt>
                <c:pt idx="4730">
                  <c:v>168.19749999999999</c:v>
                </c:pt>
                <c:pt idx="4731">
                  <c:v>168.23830000000001</c:v>
                </c:pt>
                <c:pt idx="4732">
                  <c:v>168.42920000000001</c:v>
                </c:pt>
                <c:pt idx="4733">
                  <c:v>169.5848</c:v>
                </c:pt>
                <c:pt idx="4734">
                  <c:v>168.21019999999999</c:v>
                </c:pt>
                <c:pt idx="4735">
                  <c:v>168.10980000000001</c:v>
                </c:pt>
                <c:pt idx="4736">
                  <c:v>168.10599999999999</c:v>
                </c:pt>
                <c:pt idx="4737">
                  <c:v>167.9169</c:v>
                </c:pt>
                <c:pt idx="4738">
                  <c:v>168.67619999999999</c:v>
                </c:pt>
                <c:pt idx="4739">
                  <c:v>168.9545</c:v>
                </c:pt>
                <c:pt idx="4740">
                  <c:v>168.48759999999999</c:v>
                </c:pt>
                <c:pt idx="4741">
                  <c:v>168.94829999999999</c:v>
                </c:pt>
                <c:pt idx="4742">
                  <c:v>169.10830000000001</c:v>
                </c:pt>
                <c:pt idx="4743">
                  <c:v>169.1</c:v>
                </c:pt>
                <c:pt idx="4744">
                  <c:v>169.2621</c:v>
                </c:pt>
                <c:pt idx="4745">
                  <c:v>169.672</c:v>
                </c:pt>
                <c:pt idx="4746">
                  <c:v>170.19560000000001</c:v>
                </c:pt>
                <c:pt idx="4747">
                  <c:v>170.46629999999999</c:v>
                </c:pt>
                <c:pt idx="4748">
                  <c:v>170.67859999999999</c:v>
                </c:pt>
                <c:pt idx="4749">
                  <c:v>170.75030000000001</c:v>
                </c:pt>
                <c:pt idx="4750">
                  <c:v>170.7499</c:v>
                </c:pt>
                <c:pt idx="4751">
                  <c:v>170.6943</c:v>
                </c:pt>
                <c:pt idx="4752">
                  <c:v>170.8922</c:v>
                </c:pt>
                <c:pt idx="4753">
                  <c:v>170.9066</c:v>
                </c:pt>
                <c:pt idx="4754">
                  <c:v>170.85120000000001</c:v>
                </c:pt>
                <c:pt idx="4755">
                  <c:v>171.0402</c:v>
                </c:pt>
                <c:pt idx="4756">
                  <c:v>170.51</c:v>
                </c:pt>
                <c:pt idx="4757">
                  <c:v>170.8133</c:v>
                </c:pt>
                <c:pt idx="4758">
                  <c:v>170.8098</c:v>
                </c:pt>
                <c:pt idx="4759">
                  <c:v>171.1301</c:v>
                </c:pt>
                <c:pt idx="4760">
                  <c:v>171.1986</c:v>
                </c:pt>
                <c:pt idx="4761">
                  <c:v>170.98320000000001</c:v>
                </c:pt>
                <c:pt idx="4762">
                  <c:v>170.52600000000001</c:v>
                </c:pt>
                <c:pt idx="4763">
                  <c:v>171.2038</c:v>
                </c:pt>
                <c:pt idx="4764">
                  <c:v>171.20009999999999</c:v>
                </c:pt>
                <c:pt idx="4765">
                  <c:v>171.2808</c:v>
                </c:pt>
                <c:pt idx="4766">
                  <c:v>171.95240000000001</c:v>
                </c:pt>
                <c:pt idx="4767">
                  <c:v>172.56819999999999</c:v>
                </c:pt>
                <c:pt idx="4768">
                  <c:v>173.40940000000001</c:v>
                </c:pt>
                <c:pt idx="4769">
                  <c:v>173.23740000000001</c:v>
                </c:pt>
                <c:pt idx="4770">
                  <c:v>174.4504</c:v>
                </c:pt>
                <c:pt idx="4771">
                  <c:v>174.35169999999999</c:v>
                </c:pt>
                <c:pt idx="4772">
                  <c:v>174.35599999999999</c:v>
                </c:pt>
                <c:pt idx="4773">
                  <c:v>174.4999</c:v>
                </c:pt>
                <c:pt idx="4774">
                  <c:v>175.12370000000001</c:v>
                </c:pt>
                <c:pt idx="4775">
                  <c:v>174.12440000000001</c:v>
                </c:pt>
                <c:pt idx="4776">
                  <c:v>172.09800000000001</c:v>
                </c:pt>
                <c:pt idx="4777">
                  <c:v>172.15</c:v>
                </c:pt>
                <c:pt idx="4778">
                  <c:v>172.15</c:v>
                </c:pt>
                <c:pt idx="4779">
                  <c:v>171.47450000000001</c:v>
                </c:pt>
                <c:pt idx="4780">
                  <c:v>171.7518</c:v>
                </c:pt>
                <c:pt idx="4781">
                  <c:v>170.4675</c:v>
                </c:pt>
                <c:pt idx="4782">
                  <c:v>169.53370000000001</c:v>
                </c:pt>
                <c:pt idx="4783">
                  <c:v>170.0352</c:v>
                </c:pt>
                <c:pt idx="4784">
                  <c:v>170.1499</c:v>
                </c:pt>
                <c:pt idx="4785">
                  <c:v>170.1499</c:v>
                </c:pt>
                <c:pt idx="4786">
                  <c:v>170.0514</c:v>
                </c:pt>
                <c:pt idx="4787">
                  <c:v>170.34800000000001</c:v>
                </c:pt>
                <c:pt idx="4788">
                  <c:v>171.3279</c:v>
                </c:pt>
                <c:pt idx="4789">
                  <c:v>171.35</c:v>
                </c:pt>
                <c:pt idx="4790">
                  <c:v>171.35249999999999</c:v>
                </c:pt>
                <c:pt idx="4791">
                  <c:v>172.69640000000001</c:v>
                </c:pt>
                <c:pt idx="4792">
                  <c:v>172.7</c:v>
                </c:pt>
                <c:pt idx="4793">
                  <c:v>175.75120000000001</c:v>
                </c:pt>
                <c:pt idx="4794">
                  <c:v>174.86429999999999</c:v>
                </c:pt>
                <c:pt idx="4795">
                  <c:v>174.53970000000001</c:v>
                </c:pt>
                <c:pt idx="4796">
                  <c:v>175.13050000000001</c:v>
                </c:pt>
                <c:pt idx="4797">
                  <c:v>174.20330000000001</c:v>
                </c:pt>
                <c:pt idx="4798">
                  <c:v>175.0607</c:v>
                </c:pt>
                <c:pt idx="4799">
                  <c:v>175.06319999999999</c:v>
                </c:pt>
                <c:pt idx="4800">
                  <c:v>175.0444</c:v>
                </c:pt>
                <c:pt idx="4801">
                  <c:v>175.16499999999999</c:v>
                </c:pt>
                <c:pt idx="4802">
                  <c:v>174.8665</c:v>
                </c:pt>
                <c:pt idx="4803">
                  <c:v>175.14160000000001</c:v>
                </c:pt>
                <c:pt idx="4804">
                  <c:v>175.3741</c:v>
                </c:pt>
                <c:pt idx="4805">
                  <c:v>176.5103</c:v>
                </c:pt>
                <c:pt idx="4806">
                  <c:v>176.4991</c:v>
                </c:pt>
                <c:pt idx="4807">
                  <c:v>176.5839</c:v>
                </c:pt>
                <c:pt idx="4808">
                  <c:v>176.37299999999999</c:v>
                </c:pt>
                <c:pt idx="4809">
                  <c:v>176.2706</c:v>
                </c:pt>
                <c:pt idx="4810">
                  <c:v>175.3083</c:v>
                </c:pt>
                <c:pt idx="4811">
                  <c:v>176.19319999999999</c:v>
                </c:pt>
                <c:pt idx="4812">
                  <c:v>175.54339999999999</c:v>
                </c:pt>
                <c:pt idx="4813">
                  <c:v>176.64670000000001</c:v>
                </c:pt>
                <c:pt idx="4814">
                  <c:v>176.75470000000001</c:v>
                </c:pt>
                <c:pt idx="4815">
                  <c:v>176.37989999999999</c:v>
                </c:pt>
                <c:pt idx="4816">
                  <c:v>176.81319999999999</c:v>
                </c:pt>
                <c:pt idx="4817">
                  <c:v>177.3467</c:v>
                </c:pt>
                <c:pt idx="4818">
                  <c:v>177.88229999999999</c:v>
                </c:pt>
                <c:pt idx="4819">
                  <c:v>178.15029999999999</c:v>
                </c:pt>
                <c:pt idx="4820">
                  <c:v>176.95670000000001</c:v>
                </c:pt>
                <c:pt idx="4821">
                  <c:v>177.2176</c:v>
                </c:pt>
                <c:pt idx="4822">
                  <c:v>178.06299999999999</c:v>
                </c:pt>
                <c:pt idx="4823">
                  <c:v>178.19730000000001</c:v>
                </c:pt>
                <c:pt idx="4824">
                  <c:v>178.13310000000001</c:v>
                </c:pt>
                <c:pt idx="4825">
                  <c:v>178.06190000000001</c:v>
                </c:pt>
                <c:pt idx="4826">
                  <c:v>178.15039999999999</c:v>
                </c:pt>
                <c:pt idx="4827">
                  <c:v>178.14340000000001</c:v>
                </c:pt>
                <c:pt idx="4828">
                  <c:v>179.1671</c:v>
                </c:pt>
                <c:pt idx="4829">
                  <c:v>178.11359999999999</c:v>
                </c:pt>
                <c:pt idx="4830">
                  <c:v>178.01900000000001</c:v>
                </c:pt>
                <c:pt idx="4831">
                  <c:v>178.43469999999999</c:v>
                </c:pt>
                <c:pt idx="4832">
                  <c:v>178.39019999999999</c:v>
                </c:pt>
                <c:pt idx="4833">
                  <c:v>178.1</c:v>
                </c:pt>
                <c:pt idx="4834">
                  <c:v>178.10650000000001</c:v>
                </c:pt>
                <c:pt idx="4835">
                  <c:v>178.3064</c:v>
                </c:pt>
                <c:pt idx="4836">
                  <c:v>175.35120000000001</c:v>
                </c:pt>
                <c:pt idx="4837">
                  <c:v>178.43600000000001</c:v>
                </c:pt>
                <c:pt idx="4838">
                  <c:v>178.42140000000001</c:v>
                </c:pt>
                <c:pt idx="4839">
                  <c:v>178.4863</c:v>
                </c:pt>
                <c:pt idx="4840">
                  <c:v>178.2439</c:v>
                </c:pt>
                <c:pt idx="4841">
                  <c:v>178.24350000000001</c:v>
                </c:pt>
                <c:pt idx="4842">
                  <c:v>177.2122</c:v>
                </c:pt>
                <c:pt idx="4843">
                  <c:v>176.52690000000001</c:v>
                </c:pt>
                <c:pt idx="4844">
                  <c:v>176.67609999999999</c:v>
                </c:pt>
                <c:pt idx="4845">
                  <c:v>176.64869999999999</c:v>
                </c:pt>
                <c:pt idx="4846">
                  <c:v>176.81880000000001</c:v>
                </c:pt>
                <c:pt idx="4847">
                  <c:v>176.9939</c:v>
                </c:pt>
                <c:pt idx="4848">
                  <c:v>175.72620000000001</c:v>
                </c:pt>
                <c:pt idx="4849">
                  <c:v>175.97049999999999</c:v>
                </c:pt>
                <c:pt idx="4850">
                  <c:v>176.74789999999999</c:v>
                </c:pt>
                <c:pt idx="4851">
                  <c:v>176.66120000000001</c:v>
                </c:pt>
                <c:pt idx="4852">
                  <c:v>176.1825</c:v>
                </c:pt>
                <c:pt idx="4853">
                  <c:v>176.40430000000001</c:v>
                </c:pt>
                <c:pt idx="4854">
                  <c:v>176.15629999999999</c:v>
                </c:pt>
                <c:pt idx="4855">
                  <c:v>176.1567</c:v>
                </c:pt>
                <c:pt idx="4856">
                  <c:v>175.9144</c:v>
                </c:pt>
                <c:pt idx="4857">
                  <c:v>175.9659</c:v>
                </c:pt>
                <c:pt idx="4858">
                  <c:v>176.0224</c:v>
                </c:pt>
                <c:pt idx="4859">
                  <c:v>176.24850000000001</c:v>
                </c:pt>
                <c:pt idx="4860">
                  <c:v>176.4828</c:v>
                </c:pt>
                <c:pt idx="4861">
                  <c:v>176.38149999999999</c:v>
                </c:pt>
                <c:pt idx="4862">
                  <c:v>176.4564</c:v>
                </c:pt>
                <c:pt idx="4863">
                  <c:v>176.28829999999999</c:v>
                </c:pt>
                <c:pt idx="4864">
                  <c:v>176.43709999999999</c:v>
                </c:pt>
                <c:pt idx="4865">
                  <c:v>176.44630000000001</c:v>
                </c:pt>
                <c:pt idx="4866">
                  <c:v>176.87270000000001</c:v>
                </c:pt>
                <c:pt idx="4867">
                  <c:v>176.96029999999999</c:v>
                </c:pt>
                <c:pt idx="4868">
                  <c:v>176.94630000000001</c:v>
                </c:pt>
                <c:pt idx="4869">
                  <c:v>176.95009999999999</c:v>
                </c:pt>
                <c:pt idx="4870">
                  <c:v>176.51480000000001</c:v>
                </c:pt>
                <c:pt idx="4871">
                  <c:v>176.72749999999999</c:v>
                </c:pt>
                <c:pt idx="4872">
                  <c:v>176.5087</c:v>
                </c:pt>
                <c:pt idx="4873">
                  <c:v>176.3092</c:v>
                </c:pt>
                <c:pt idx="4874">
                  <c:v>175.99680000000001</c:v>
                </c:pt>
                <c:pt idx="4875">
                  <c:v>175.46940000000001</c:v>
                </c:pt>
                <c:pt idx="4876">
                  <c:v>175.4725</c:v>
                </c:pt>
                <c:pt idx="4877">
                  <c:v>174.4795</c:v>
                </c:pt>
                <c:pt idx="4878">
                  <c:v>174.5778</c:v>
                </c:pt>
                <c:pt idx="4879">
                  <c:v>174.3366</c:v>
                </c:pt>
                <c:pt idx="4880">
                  <c:v>174.78299999999999</c:v>
                </c:pt>
                <c:pt idx="4881">
                  <c:v>174.89760000000001</c:v>
                </c:pt>
                <c:pt idx="4882">
                  <c:v>174.84989999999999</c:v>
                </c:pt>
                <c:pt idx="4883">
                  <c:v>175.34370000000001</c:v>
                </c:pt>
                <c:pt idx="4884">
                  <c:v>175.22190000000001</c:v>
                </c:pt>
                <c:pt idx="4885">
                  <c:v>175.50069999999999</c:v>
                </c:pt>
                <c:pt idx="4886">
                  <c:v>175.75819999999999</c:v>
                </c:pt>
                <c:pt idx="4887">
                  <c:v>176.1463</c:v>
                </c:pt>
                <c:pt idx="4888">
                  <c:v>175.8306</c:v>
                </c:pt>
                <c:pt idx="4889">
                  <c:v>175.35290000000001</c:v>
                </c:pt>
                <c:pt idx="4890">
                  <c:v>175.35249999999999</c:v>
                </c:pt>
                <c:pt idx="4891">
                  <c:v>175.5856</c:v>
                </c:pt>
                <c:pt idx="4892">
                  <c:v>176.33019999999999</c:v>
                </c:pt>
                <c:pt idx="4893">
                  <c:v>176.0883</c:v>
                </c:pt>
                <c:pt idx="4894">
                  <c:v>176.5017</c:v>
                </c:pt>
                <c:pt idx="4895">
                  <c:v>176.43700000000001</c:v>
                </c:pt>
                <c:pt idx="4896">
                  <c:v>175.2439</c:v>
                </c:pt>
                <c:pt idx="4897">
                  <c:v>176.2364</c:v>
                </c:pt>
                <c:pt idx="4898">
                  <c:v>175.96610000000001</c:v>
                </c:pt>
                <c:pt idx="4899">
                  <c:v>177.45920000000001</c:v>
                </c:pt>
                <c:pt idx="4900">
                  <c:v>177.5609</c:v>
                </c:pt>
                <c:pt idx="4901">
                  <c:v>177.68719999999999</c:v>
                </c:pt>
                <c:pt idx="4902">
                  <c:v>178.68180000000001</c:v>
                </c:pt>
                <c:pt idx="4903">
                  <c:v>179.08750000000001</c:v>
                </c:pt>
                <c:pt idx="4904">
                  <c:v>179.08750000000001</c:v>
                </c:pt>
                <c:pt idx="4905">
                  <c:v>178.83590000000001</c:v>
                </c:pt>
                <c:pt idx="4906">
                  <c:v>177.88630000000001</c:v>
                </c:pt>
                <c:pt idx="4907">
                  <c:v>178.67949999999999</c:v>
                </c:pt>
                <c:pt idx="4908">
                  <c:v>178.98410000000001</c:v>
                </c:pt>
                <c:pt idx="4909">
                  <c:v>178.93090000000001</c:v>
                </c:pt>
                <c:pt idx="4910">
                  <c:v>178.69839999999999</c:v>
                </c:pt>
                <c:pt idx="4911">
                  <c:v>178.69319999999999</c:v>
                </c:pt>
                <c:pt idx="4912">
                  <c:v>178.8468</c:v>
                </c:pt>
                <c:pt idx="4913">
                  <c:v>179.12719999999999</c:v>
                </c:pt>
                <c:pt idx="4914">
                  <c:v>179.2405</c:v>
                </c:pt>
                <c:pt idx="4915">
                  <c:v>179.6926</c:v>
                </c:pt>
                <c:pt idx="4916">
                  <c:v>179.69329999999999</c:v>
                </c:pt>
                <c:pt idx="4917">
                  <c:v>179.1816</c:v>
                </c:pt>
                <c:pt idx="4918">
                  <c:v>179.1816</c:v>
                </c:pt>
                <c:pt idx="4919">
                  <c:v>180.6729</c:v>
                </c:pt>
                <c:pt idx="4920">
                  <c:v>181.4753</c:v>
                </c:pt>
                <c:pt idx="4921">
                  <c:v>181.35480000000001</c:v>
                </c:pt>
                <c:pt idx="4922">
                  <c:v>181.82380000000001</c:v>
                </c:pt>
                <c:pt idx="4923">
                  <c:v>181.99639999999999</c:v>
                </c:pt>
                <c:pt idx="4924">
                  <c:v>181.5504</c:v>
                </c:pt>
                <c:pt idx="4925">
                  <c:v>181.54320000000001</c:v>
                </c:pt>
                <c:pt idx="4926">
                  <c:v>182.5454</c:v>
                </c:pt>
                <c:pt idx="4927">
                  <c:v>182.369</c:v>
                </c:pt>
                <c:pt idx="4928">
                  <c:v>182.44059999999999</c:v>
                </c:pt>
                <c:pt idx="4929">
                  <c:v>182.55510000000001</c:v>
                </c:pt>
                <c:pt idx="4930">
                  <c:v>182.3519</c:v>
                </c:pt>
                <c:pt idx="4931">
                  <c:v>183.8485</c:v>
                </c:pt>
                <c:pt idx="4932">
                  <c:v>184.79259999999999</c:v>
                </c:pt>
                <c:pt idx="4933">
                  <c:v>184.59639999999999</c:v>
                </c:pt>
                <c:pt idx="4934">
                  <c:v>184.09530000000001</c:v>
                </c:pt>
                <c:pt idx="4935">
                  <c:v>184.48060000000001</c:v>
                </c:pt>
                <c:pt idx="4936">
                  <c:v>186.0514</c:v>
                </c:pt>
                <c:pt idx="4937">
                  <c:v>186.05420000000001</c:v>
                </c:pt>
                <c:pt idx="4938">
                  <c:v>186.28059999999999</c:v>
                </c:pt>
                <c:pt idx="4939">
                  <c:v>186.28059999999999</c:v>
                </c:pt>
                <c:pt idx="4940">
                  <c:v>186.26650000000001</c:v>
                </c:pt>
                <c:pt idx="4941">
                  <c:v>182.9657</c:v>
                </c:pt>
                <c:pt idx="4942">
                  <c:v>182.0462</c:v>
                </c:pt>
                <c:pt idx="4943">
                  <c:v>181.59190000000001</c:v>
                </c:pt>
                <c:pt idx="4944">
                  <c:v>181.2783</c:v>
                </c:pt>
                <c:pt idx="4945">
                  <c:v>181.85040000000001</c:v>
                </c:pt>
                <c:pt idx="4946">
                  <c:v>181.8503</c:v>
                </c:pt>
                <c:pt idx="4947">
                  <c:v>182.4059</c:v>
                </c:pt>
                <c:pt idx="4948">
                  <c:v>182.48869999999999</c:v>
                </c:pt>
                <c:pt idx="4949">
                  <c:v>184.01570000000001</c:v>
                </c:pt>
                <c:pt idx="4950">
                  <c:v>185.62710000000001</c:v>
                </c:pt>
                <c:pt idx="4951">
                  <c:v>187.87260000000001</c:v>
                </c:pt>
                <c:pt idx="4952">
                  <c:v>187.42490000000001</c:v>
                </c:pt>
                <c:pt idx="4953">
                  <c:v>186.76050000000001</c:v>
                </c:pt>
                <c:pt idx="4954">
                  <c:v>187.0016</c:v>
                </c:pt>
                <c:pt idx="4955">
                  <c:v>186.37119999999999</c:v>
                </c:pt>
                <c:pt idx="4956">
                  <c:v>185.78579999999999</c:v>
                </c:pt>
                <c:pt idx="4957">
                  <c:v>185.75980000000001</c:v>
                </c:pt>
                <c:pt idx="4958">
                  <c:v>185.72559999999999</c:v>
                </c:pt>
                <c:pt idx="4959">
                  <c:v>185.7072</c:v>
                </c:pt>
                <c:pt idx="4960">
                  <c:v>185.7072</c:v>
                </c:pt>
                <c:pt idx="4961">
                  <c:v>185.7106</c:v>
                </c:pt>
                <c:pt idx="4962">
                  <c:v>185.69120000000001</c:v>
                </c:pt>
                <c:pt idx="4963">
                  <c:v>185.62530000000001</c:v>
                </c:pt>
                <c:pt idx="4964">
                  <c:v>185.61600000000001</c:v>
                </c:pt>
                <c:pt idx="4965">
                  <c:v>185.82210000000001</c:v>
                </c:pt>
                <c:pt idx="4966">
                  <c:v>185.6825</c:v>
                </c:pt>
                <c:pt idx="4967">
                  <c:v>186.59780000000001</c:v>
                </c:pt>
                <c:pt idx="4968">
                  <c:v>186.5556</c:v>
                </c:pt>
                <c:pt idx="4969">
                  <c:v>188.08179999999999</c:v>
                </c:pt>
                <c:pt idx="4970">
                  <c:v>188.786</c:v>
                </c:pt>
                <c:pt idx="4971">
                  <c:v>190.12029999999999</c:v>
                </c:pt>
                <c:pt idx="4972">
                  <c:v>191.8518</c:v>
                </c:pt>
                <c:pt idx="4973">
                  <c:v>192.94649999999999</c:v>
                </c:pt>
                <c:pt idx="4974">
                  <c:v>191.75</c:v>
                </c:pt>
                <c:pt idx="4975">
                  <c:v>193.1919</c:v>
                </c:pt>
                <c:pt idx="4976">
                  <c:v>193.60040000000001</c:v>
                </c:pt>
                <c:pt idx="4977">
                  <c:v>196.1122</c:v>
                </c:pt>
                <c:pt idx="4978">
                  <c:v>198.27690000000001</c:v>
                </c:pt>
                <c:pt idx="4979">
                  <c:v>200.74860000000001</c:v>
                </c:pt>
                <c:pt idx="4980">
                  <c:v>200.458</c:v>
                </c:pt>
                <c:pt idx="4981">
                  <c:v>200.458</c:v>
                </c:pt>
                <c:pt idx="4982">
                  <c:v>200.90369999999999</c:v>
                </c:pt>
                <c:pt idx="4983">
                  <c:v>200.69759999999999</c:v>
                </c:pt>
                <c:pt idx="4984">
                  <c:v>201.10839999999999</c:v>
                </c:pt>
                <c:pt idx="4985">
                  <c:v>202.4008</c:v>
                </c:pt>
                <c:pt idx="4986">
                  <c:v>202.56139999999999</c:v>
                </c:pt>
                <c:pt idx="4987">
                  <c:v>200.10919999999999</c:v>
                </c:pt>
                <c:pt idx="4988">
                  <c:v>200.1053</c:v>
                </c:pt>
                <c:pt idx="4989">
                  <c:v>199.5224</c:v>
                </c:pt>
                <c:pt idx="4990">
                  <c:v>198.69800000000001</c:v>
                </c:pt>
                <c:pt idx="4991">
                  <c:v>198.76259999999999</c:v>
                </c:pt>
                <c:pt idx="4992">
                  <c:v>197.7158</c:v>
                </c:pt>
                <c:pt idx="4993">
                  <c:v>197.6147</c:v>
                </c:pt>
                <c:pt idx="4994">
                  <c:v>197.59989999999999</c:v>
                </c:pt>
                <c:pt idx="4995">
                  <c:v>198.14439999999999</c:v>
                </c:pt>
                <c:pt idx="4996">
                  <c:v>198.03790000000001</c:v>
                </c:pt>
                <c:pt idx="4997">
                  <c:v>199.9828</c:v>
                </c:pt>
                <c:pt idx="4998">
                  <c:v>201.6294</c:v>
                </c:pt>
                <c:pt idx="4999">
                  <c:v>200.2124</c:v>
                </c:pt>
                <c:pt idx="5000">
                  <c:v>201.17830000000001</c:v>
                </c:pt>
                <c:pt idx="5001">
                  <c:v>201.99379999999999</c:v>
                </c:pt>
                <c:pt idx="5002">
                  <c:v>202.00819999999999</c:v>
                </c:pt>
                <c:pt idx="5003">
                  <c:v>203.3929</c:v>
                </c:pt>
                <c:pt idx="5004">
                  <c:v>204.17779999999999</c:v>
                </c:pt>
                <c:pt idx="5005">
                  <c:v>206.23269999999999</c:v>
                </c:pt>
                <c:pt idx="5006">
                  <c:v>206.32579999999999</c:v>
                </c:pt>
                <c:pt idx="5007">
                  <c:v>207.81729999999999</c:v>
                </c:pt>
                <c:pt idx="5008">
                  <c:v>208.8502</c:v>
                </c:pt>
                <c:pt idx="5009">
                  <c:v>209.6661</c:v>
                </c:pt>
                <c:pt idx="5010">
                  <c:v>209.51150000000001</c:v>
                </c:pt>
                <c:pt idx="5011">
                  <c:v>210.233</c:v>
                </c:pt>
                <c:pt idx="5012">
                  <c:v>211.90790000000001</c:v>
                </c:pt>
                <c:pt idx="5013">
                  <c:v>211.38079999999999</c:v>
                </c:pt>
                <c:pt idx="5014">
                  <c:v>210.17580000000001</c:v>
                </c:pt>
                <c:pt idx="5015">
                  <c:v>208.39160000000001</c:v>
                </c:pt>
                <c:pt idx="5016">
                  <c:v>208.39160000000001</c:v>
                </c:pt>
                <c:pt idx="5017">
                  <c:v>207.85820000000001</c:v>
                </c:pt>
                <c:pt idx="5018">
                  <c:v>207.30879999999999</c:v>
                </c:pt>
                <c:pt idx="5019">
                  <c:v>205.73929999999999</c:v>
                </c:pt>
                <c:pt idx="5020">
                  <c:v>204.89109999999999</c:v>
                </c:pt>
                <c:pt idx="5021">
                  <c:v>204.03149999999999</c:v>
                </c:pt>
                <c:pt idx="5022">
                  <c:v>204.57130000000001</c:v>
                </c:pt>
                <c:pt idx="5023">
                  <c:v>204.57130000000001</c:v>
                </c:pt>
                <c:pt idx="5024">
                  <c:v>204.5069</c:v>
                </c:pt>
                <c:pt idx="5025">
                  <c:v>204.60839999999999</c:v>
                </c:pt>
                <c:pt idx="5026">
                  <c:v>206.369</c:v>
                </c:pt>
                <c:pt idx="5027">
                  <c:v>207.78</c:v>
                </c:pt>
                <c:pt idx="5028">
                  <c:v>207.3535</c:v>
                </c:pt>
                <c:pt idx="5029">
                  <c:v>206.58619999999999</c:v>
                </c:pt>
                <c:pt idx="5030">
                  <c:v>206.4188</c:v>
                </c:pt>
                <c:pt idx="5031">
                  <c:v>206.41</c:v>
                </c:pt>
                <c:pt idx="5032">
                  <c:v>207.92769999999999</c:v>
                </c:pt>
                <c:pt idx="5033">
                  <c:v>207.35599999999999</c:v>
                </c:pt>
                <c:pt idx="5034">
                  <c:v>210.88659999999999</c:v>
                </c:pt>
                <c:pt idx="5035">
                  <c:v>209.613</c:v>
                </c:pt>
                <c:pt idx="5036">
                  <c:v>210.78360000000001</c:v>
                </c:pt>
                <c:pt idx="5037">
                  <c:v>210.41990000000001</c:v>
                </c:pt>
                <c:pt idx="5038">
                  <c:v>210.3887</c:v>
                </c:pt>
                <c:pt idx="5039">
                  <c:v>215.69399999999999</c:v>
                </c:pt>
                <c:pt idx="5040">
                  <c:v>221.33080000000001</c:v>
                </c:pt>
                <c:pt idx="5041">
                  <c:v>224.99889999999999</c:v>
                </c:pt>
                <c:pt idx="5042">
                  <c:v>226.66159999999999</c:v>
                </c:pt>
                <c:pt idx="5043">
                  <c:v>228.37010000000001</c:v>
                </c:pt>
                <c:pt idx="5044">
                  <c:v>227.30539999999999</c:v>
                </c:pt>
                <c:pt idx="5045">
                  <c:v>227.30500000000001</c:v>
                </c:pt>
                <c:pt idx="5046">
                  <c:v>229.80539999999999</c:v>
                </c:pt>
                <c:pt idx="5047">
                  <c:v>232.85429999999999</c:v>
                </c:pt>
                <c:pt idx="5048">
                  <c:v>236.0292</c:v>
                </c:pt>
                <c:pt idx="5049">
                  <c:v>239.25200000000001</c:v>
                </c:pt>
                <c:pt idx="5050">
                  <c:v>207.04580000000001</c:v>
                </c:pt>
                <c:pt idx="5051">
                  <c:v>239.10740000000001</c:v>
                </c:pt>
                <c:pt idx="5052">
                  <c:v>239.0994</c:v>
                </c:pt>
                <c:pt idx="5053">
                  <c:v>238.96340000000001</c:v>
                </c:pt>
                <c:pt idx="5054">
                  <c:v>238.16839999999999</c:v>
                </c:pt>
                <c:pt idx="5055">
                  <c:v>230.01570000000001</c:v>
                </c:pt>
                <c:pt idx="5056">
                  <c:v>226.40880000000001</c:v>
                </c:pt>
                <c:pt idx="5057">
                  <c:v>224.4092</c:v>
                </c:pt>
                <c:pt idx="5058">
                  <c:v>224.7893</c:v>
                </c:pt>
                <c:pt idx="5059">
                  <c:v>224.7063</c:v>
                </c:pt>
                <c:pt idx="5060">
                  <c:v>224.2362</c:v>
                </c:pt>
                <c:pt idx="5061">
                  <c:v>224.33090000000001</c:v>
                </c:pt>
                <c:pt idx="5062">
                  <c:v>221.46260000000001</c:v>
                </c:pt>
                <c:pt idx="5063">
                  <c:v>219.59739999999999</c:v>
                </c:pt>
                <c:pt idx="5064">
                  <c:v>218.49539999999999</c:v>
                </c:pt>
                <c:pt idx="5065">
                  <c:v>218.49539999999999</c:v>
                </c:pt>
                <c:pt idx="5066">
                  <c:v>216.5206</c:v>
                </c:pt>
                <c:pt idx="5067">
                  <c:v>213.54390000000001</c:v>
                </c:pt>
                <c:pt idx="5068">
                  <c:v>213.74690000000001</c:v>
                </c:pt>
                <c:pt idx="5069">
                  <c:v>214.9401</c:v>
                </c:pt>
                <c:pt idx="5070">
                  <c:v>214.875</c:v>
                </c:pt>
                <c:pt idx="5071">
                  <c:v>214.8587</c:v>
                </c:pt>
                <c:pt idx="5072">
                  <c:v>215.98240000000001</c:v>
                </c:pt>
                <c:pt idx="5073">
                  <c:v>216.024</c:v>
                </c:pt>
                <c:pt idx="5074">
                  <c:v>215.54239999999999</c:v>
                </c:pt>
                <c:pt idx="5075">
                  <c:v>217.1284</c:v>
                </c:pt>
                <c:pt idx="5076">
                  <c:v>218.34639999999999</c:v>
                </c:pt>
                <c:pt idx="5077">
                  <c:v>219.25530000000001</c:v>
                </c:pt>
                <c:pt idx="5078">
                  <c:v>220.65029999999999</c:v>
                </c:pt>
                <c:pt idx="5079">
                  <c:v>219.4906</c:v>
                </c:pt>
                <c:pt idx="5080">
                  <c:v>221.34229999999999</c:v>
                </c:pt>
                <c:pt idx="5081">
                  <c:v>222.20760000000001</c:v>
                </c:pt>
                <c:pt idx="5082">
                  <c:v>219.73679999999999</c:v>
                </c:pt>
                <c:pt idx="5083">
                  <c:v>218.18389999999999</c:v>
                </c:pt>
                <c:pt idx="5084">
                  <c:v>218.05590000000001</c:v>
                </c:pt>
                <c:pt idx="5085">
                  <c:v>219.20840000000001</c:v>
                </c:pt>
                <c:pt idx="5086">
                  <c:v>219.29050000000001</c:v>
                </c:pt>
                <c:pt idx="5087">
                  <c:v>218.71870000000001</c:v>
                </c:pt>
                <c:pt idx="5088">
                  <c:v>219.62710000000001</c:v>
                </c:pt>
                <c:pt idx="5089">
                  <c:v>222.1003</c:v>
                </c:pt>
                <c:pt idx="5090">
                  <c:v>224.12119999999999</c:v>
                </c:pt>
                <c:pt idx="5091">
                  <c:v>224.13489999999999</c:v>
                </c:pt>
                <c:pt idx="5092">
                  <c:v>225.62809999999999</c:v>
                </c:pt>
                <c:pt idx="5093">
                  <c:v>226.49039999999999</c:v>
                </c:pt>
                <c:pt idx="5094">
                  <c:v>226.32230000000001</c:v>
                </c:pt>
                <c:pt idx="5095">
                  <c:v>230.78700000000001</c:v>
                </c:pt>
                <c:pt idx="5096">
                  <c:v>231.58170000000001</c:v>
                </c:pt>
                <c:pt idx="5097">
                  <c:v>234.88550000000001</c:v>
                </c:pt>
                <c:pt idx="5098">
                  <c:v>236.70150000000001</c:v>
                </c:pt>
                <c:pt idx="5099">
                  <c:v>236.91399999999999</c:v>
                </c:pt>
                <c:pt idx="5100">
                  <c:v>236.91</c:v>
                </c:pt>
                <c:pt idx="5101">
                  <c:v>221.85740000000001</c:v>
                </c:pt>
                <c:pt idx="5102">
                  <c:v>238.20009999999999</c:v>
                </c:pt>
                <c:pt idx="5103">
                  <c:v>239.26159999999999</c:v>
                </c:pt>
                <c:pt idx="5104">
                  <c:v>239.91890000000001</c:v>
                </c:pt>
                <c:pt idx="5105">
                  <c:v>239.48339999999999</c:v>
                </c:pt>
                <c:pt idx="5106">
                  <c:v>239.8109</c:v>
                </c:pt>
                <c:pt idx="5107">
                  <c:v>240.77090000000001</c:v>
                </c:pt>
                <c:pt idx="5108" formatCode="General">
                  <c:v>240.75999405481338</c:v>
                </c:pt>
                <c:pt idx="5109" formatCode="General">
                  <c:v>239.79576858803281</c:v>
                </c:pt>
                <c:pt idx="5110" formatCode="General">
                  <c:v>236.75006825888772</c:v>
                </c:pt>
                <c:pt idx="5111" formatCode="General">
                  <c:v>234.30208985727</c:v>
                </c:pt>
                <c:pt idx="5112" formatCode="General">
                  <c:v>231.949905485888</c:v>
                </c:pt>
                <c:pt idx="5113" formatCode="General">
                  <c:v>228.10376571427406</c:v>
                </c:pt>
                <c:pt idx="5114" formatCode="General">
                  <c:v>228.10376571427406</c:v>
                </c:pt>
                <c:pt idx="5115" formatCode="General">
                  <c:v>228.09449110785462</c:v>
                </c:pt>
                <c:pt idx="5116" formatCode="General">
                  <c:v>228.09884323511733</c:v>
                </c:pt>
                <c:pt idx="5117" formatCode="General">
                  <c:v>225.23648585033223</c:v>
                </c:pt>
                <c:pt idx="5118" formatCode="General">
                  <c:v>224.20639896838352</c:v>
                </c:pt>
                <c:pt idx="5119" formatCode="General">
                  <c:v>223.00027991430943</c:v>
                </c:pt>
                <c:pt idx="5120" formatCode="General">
                  <c:v>223.00032545766842</c:v>
                </c:pt>
                <c:pt idx="5121" formatCode="General">
                  <c:v>221.00880686397412</c:v>
                </c:pt>
                <c:pt idx="5122" formatCode="General">
                  <c:v>221.00885185748274</c:v>
                </c:pt>
                <c:pt idx="5123" formatCode="General">
                  <c:v>220.50908109700271</c:v>
                </c:pt>
                <c:pt idx="5124" formatCode="General">
                  <c:v>217.15026845803644</c:v>
                </c:pt>
                <c:pt idx="5125" formatCode="General">
                  <c:v>217.95015580495794</c:v>
                </c:pt>
                <c:pt idx="5126" formatCode="General">
                  <c:v>218.25005564427869</c:v>
                </c:pt>
                <c:pt idx="5127" formatCode="General">
                  <c:v>218.25028873734107</c:v>
                </c:pt>
                <c:pt idx="5128" formatCode="General">
                  <c:v>218.25028873734107</c:v>
                </c:pt>
                <c:pt idx="5129" formatCode="General">
                  <c:v>218.25019611789253</c:v>
                </c:pt>
                <c:pt idx="5130" formatCode="General">
                  <c:v>219.75015110067318</c:v>
                </c:pt>
                <c:pt idx="5131" formatCode="General">
                  <c:v>219.7503247177921</c:v>
                </c:pt>
                <c:pt idx="5132" formatCode="General">
                  <c:v>220.99973582220221</c:v>
                </c:pt>
                <c:pt idx="5133" formatCode="General">
                  <c:v>220.82507342594411</c:v>
                </c:pt>
                <c:pt idx="5134" formatCode="General">
                  <c:v>221.15043340526333</c:v>
                </c:pt>
                <c:pt idx="5135" formatCode="General">
                  <c:v>218.37297595483011</c:v>
                </c:pt>
                <c:pt idx="5136" formatCode="General">
                  <c:v>218.37290937674322</c:v>
                </c:pt>
                <c:pt idx="5137" formatCode="General">
                  <c:v>220.00004349514876</c:v>
                </c:pt>
                <c:pt idx="5138" formatCode="General">
                  <c:v>219.4251047335342</c:v>
                </c:pt>
                <c:pt idx="5139" formatCode="General">
                  <c:v>220.7499053666522</c:v>
                </c:pt>
                <c:pt idx="5140" formatCode="General">
                  <c:v>221.37489189823685</c:v>
                </c:pt>
                <c:pt idx="5141" formatCode="General">
                  <c:v>221.37506999765171</c:v>
                </c:pt>
                <c:pt idx="5142" formatCode="General">
                  <c:v>221.37506999765171</c:v>
                </c:pt>
                <c:pt idx="5143" formatCode="General">
                  <c:v>221.37505198883673</c:v>
                </c:pt>
                <c:pt idx="5144" formatCode="General">
                  <c:v>220.46018317630339</c:v>
                </c:pt>
                <c:pt idx="5145" formatCode="General">
                  <c:v>220.5142901393281</c:v>
                </c:pt>
                <c:pt idx="5146" formatCode="General">
                  <c:v>221.49138005682448</c:v>
                </c:pt>
                <c:pt idx="5147" formatCode="General">
                  <c:v>221.50225238161664</c:v>
                </c:pt>
                <c:pt idx="5148" formatCode="General">
                  <c:v>221.50377021331153</c:v>
                </c:pt>
                <c:pt idx="5149" formatCode="General">
                  <c:v>217.85622806384922</c:v>
                </c:pt>
                <c:pt idx="5150" formatCode="General">
                  <c:v>219.41223096785106</c:v>
                </c:pt>
                <c:pt idx="5151" formatCode="General">
                  <c:v>221.5094337550957</c:v>
                </c:pt>
                <c:pt idx="5152" formatCode="General">
                  <c:v>221.75026862064414</c:v>
                </c:pt>
                <c:pt idx="5153" formatCode="General">
                  <c:v>221.46336244127238</c:v>
                </c:pt>
                <c:pt idx="5154" formatCode="General">
                  <c:v>221.49002766278863</c:v>
                </c:pt>
                <c:pt idx="5155" formatCode="General">
                  <c:v>221.56028106901095</c:v>
                </c:pt>
                <c:pt idx="5156" formatCode="General">
                  <c:v>219.74580107780852</c:v>
                </c:pt>
                <c:pt idx="5157" formatCode="General">
                  <c:v>219.74572480340194</c:v>
                </c:pt>
                <c:pt idx="5158" formatCode="General">
                  <c:v>221.49517342432489</c:v>
                </c:pt>
                <c:pt idx="5159" formatCode="General">
                  <c:v>221.89644186657193</c:v>
                </c:pt>
                <c:pt idx="5160" formatCode="General">
                  <c:v>222.45010515419088</c:v>
                </c:pt>
                <c:pt idx="5161" formatCode="General">
                  <c:v>222.44973676210145</c:v>
                </c:pt>
                <c:pt idx="5162" formatCode="General">
                  <c:v>222.4503126963414</c:v>
                </c:pt>
                <c:pt idx="5163" formatCode="General">
                  <c:v>222.4503126963414</c:v>
                </c:pt>
                <c:pt idx="5164" formatCode="General">
                  <c:v>222.44966715163696</c:v>
                </c:pt>
                <c:pt idx="5165" formatCode="General">
                  <c:v>223.75035169227198</c:v>
                </c:pt>
                <c:pt idx="5166" formatCode="General">
                  <c:v>223.69554509706546</c:v>
                </c:pt>
                <c:pt idx="5167" formatCode="General">
                  <c:v>223.49739485076199</c:v>
                </c:pt>
                <c:pt idx="5168" formatCode="General">
                  <c:v>224.52976811577494</c:v>
                </c:pt>
                <c:pt idx="5169" formatCode="General">
                  <c:v>223.50375583924261</c:v>
                </c:pt>
                <c:pt idx="5170" formatCode="General">
                  <c:v>223.50375583924261</c:v>
                </c:pt>
                <c:pt idx="5171" formatCode="General">
                  <c:v>223.49850822286078</c:v>
                </c:pt>
                <c:pt idx="5172" formatCode="General">
                  <c:v>224.10386411076723</c:v>
                </c:pt>
                <c:pt idx="5173" formatCode="General">
                  <c:v>223.95054345140809</c:v>
                </c:pt>
                <c:pt idx="5174" formatCode="General">
                  <c:v>224.00029931732624</c:v>
                </c:pt>
                <c:pt idx="5175" formatCode="General">
                  <c:v>223.64955955463444</c:v>
                </c:pt>
                <c:pt idx="5176" formatCode="General">
                  <c:v>223.703660961293</c:v>
                </c:pt>
                <c:pt idx="5177" formatCode="General">
                  <c:v>224.21113192958825</c:v>
                </c:pt>
                <c:pt idx="5178" formatCode="General">
                  <c:v>224.3261442843646</c:v>
                </c:pt>
                <c:pt idx="5179" formatCode="General">
                  <c:v>224.50117609623697</c:v>
                </c:pt>
                <c:pt idx="5180" formatCode="General">
                  <c:v>224.03782985878891</c:v>
                </c:pt>
                <c:pt idx="5181" formatCode="General">
                  <c:v>224.58100738804498</c:v>
                </c:pt>
                <c:pt idx="5182" formatCode="General">
                  <c:v>224.49342853597992</c:v>
                </c:pt>
                <c:pt idx="5183" formatCode="General">
                  <c:v>224.65048030976473</c:v>
                </c:pt>
                <c:pt idx="5184" formatCode="General">
                  <c:v>224.85658182300875</c:v>
                </c:pt>
                <c:pt idx="5185" formatCode="General">
                  <c:v>224.8566619494629</c:v>
                </c:pt>
                <c:pt idx="5186" formatCode="General">
                  <c:v>224.73987635430177</c:v>
                </c:pt>
                <c:pt idx="5187" formatCode="General">
                  <c:v>225.04997779099443</c:v>
                </c:pt>
                <c:pt idx="5188" formatCode="General">
                  <c:v>224.75024961737824</c:v>
                </c:pt>
                <c:pt idx="5189" formatCode="General">
                  <c:v>225.04993298154122</c:v>
                </c:pt>
                <c:pt idx="5190" formatCode="General">
                  <c:v>225.05047399581395</c:v>
                </c:pt>
                <c:pt idx="5191" formatCode="General">
                  <c:v>225.63453557233009</c:v>
                </c:pt>
                <c:pt idx="5192" formatCode="General">
                  <c:v>225.63450216977841</c:v>
                </c:pt>
                <c:pt idx="5193" formatCode="General">
                  <c:v>225.02504645036313</c:v>
                </c:pt>
                <c:pt idx="5194" formatCode="General">
                  <c:v>225.1749004733984</c:v>
                </c:pt>
                <c:pt idx="5195" formatCode="General">
                  <c:v>225.49674078724479</c:v>
                </c:pt>
                <c:pt idx="5196" formatCode="General">
                  <c:v>225.60021034461619</c:v>
                </c:pt>
                <c:pt idx="5197" formatCode="General">
                  <c:v>225.5037522924425</c:v>
                </c:pt>
                <c:pt idx="5198" formatCode="General">
                  <c:v>225.50365775008063</c:v>
                </c:pt>
                <c:pt idx="5199" formatCode="General">
                  <c:v>225.50040589361276</c:v>
                </c:pt>
                <c:pt idx="5200" formatCode="General">
                  <c:v>225.92505648559947</c:v>
                </c:pt>
                <c:pt idx="5201" formatCode="General">
                  <c:v>226.12491127525777</c:v>
                </c:pt>
                <c:pt idx="5202" formatCode="General">
                  <c:v>226.37497377381408</c:v>
                </c:pt>
                <c:pt idx="5203" formatCode="General">
                  <c:v>226.45018219677252</c:v>
                </c:pt>
                <c:pt idx="5204" formatCode="General">
                  <c:v>226.5504081859057</c:v>
                </c:pt>
                <c:pt idx="5205" formatCode="General">
                  <c:v>226.5504081859057</c:v>
                </c:pt>
                <c:pt idx="5206" formatCode="General">
                  <c:v>226.54997234812959</c:v>
                </c:pt>
                <c:pt idx="5207" formatCode="General">
                  <c:v>226.72228086129826</c:v>
                </c:pt>
                <c:pt idx="5208" formatCode="General">
                  <c:v>226.97496899451195</c:v>
                </c:pt>
                <c:pt idx="5209" formatCode="General">
                  <c:v>226.97493493357615</c:v>
                </c:pt>
                <c:pt idx="5210" formatCode="General">
                  <c:v>227.12499429761868</c:v>
                </c:pt>
                <c:pt idx="5211" formatCode="General">
                  <c:v>227.25033712121925</c:v>
                </c:pt>
                <c:pt idx="5212" formatCode="General">
                  <c:v>227.25033712121925</c:v>
                </c:pt>
                <c:pt idx="5213" formatCode="General">
                  <c:v>227.24982779622331</c:v>
                </c:pt>
                <c:pt idx="5214" formatCode="General">
                  <c:v>227.59973077335124</c:v>
                </c:pt>
                <c:pt idx="5215" formatCode="General">
                  <c:v>228.49770826737191</c:v>
                </c:pt>
                <c:pt idx="5216" formatCode="General">
                  <c:v>228.50225099264782</c:v>
                </c:pt>
                <c:pt idx="5217" formatCode="General">
                  <c:v>228.50021869708107</c:v>
                </c:pt>
                <c:pt idx="5218" formatCode="General">
                  <c:v>229.0002756331958</c:v>
                </c:pt>
                <c:pt idx="5219" formatCode="General">
                  <c:v>228.03016938996564</c:v>
                </c:pt>
                <c:pt idx="5220" formatCode="General">
                  <c:v>228.03013413375683</c:v>
                </c:pt>
                <c:pt idx="5221" formatCode="General">
                  <c:v>228.88341314412665</c:v>
                </c:pt>
                <c:pt idx="5222" formatCode="General">
                  <c:v>228.72489216556028</c:v>
                </c:pt>
                <c:pt idx="5223" formatCode="General">
                  <c:v>228.77297409437756</c:v>
                </c:pt>
                <c:pt idx="5224" formatCode="General">
                  <c:v>229.19807366087497</c:v>
                </c:pt>
                <c:pt idx="5225" formatCode="General">
                  <c:v>229.84741017651638</c:v>
                </c:pt>
                <c:pt idx="5226" formatCode="General">
                  <c:v>229.84730791330529</c:v>
                </c:pt>
                <c:pt idx="5227" formatCode="General">
                  <c:v>229.8473346028988</c:v>
                </c:pt>
                <c:pt idx="5228" formatCode="General">
                  <c:v>230.25041275108831</c:v>
                </c:pt>
                <c:pt idx="5229" formatCode="General">
                  <c:v>231.51074919703632</c:v>
                </c:pt>
                <c:pt idx="5230" formatCode="General">
                  <c:v>230.24990042731557</c:v>
                </c:pt>
                <c:pt idx="5231" formatCode="General">
                  <c:v>250.50321080033189</c:v>
                </c:pt>
                <c:pt idx="5232" formatCode="General">
                  <c:v>262.85048990527486</c:v>
                </c:pt>
                <c:pt idx="5233" formatCode="General">
                  <c:v>250.62336847701221</c:v>
                </c:pt>
                <c:pt idx="5234" formatCode="General">
                  <c:v>250.62337113999504</c:v>
                </c:pt>
                <c:pt idx="5235" formatCode="General">
                  <c:v>269.50449469788794</c:v>
                </c:pt>
                <c:pt idx="5236" formatCode="General">
                  <c:v>267.95016968877809</c:v>
                </c:pt>
                <c:pt idx="5237" formatCode="General">
                  <c:v>267.19781920148773</c:v>
                </c:pt>
                <c:pt idx="5238" formatCode="General">
                  <c:v>270.65008340386828</c:v>
                </c:pt>
                <c:pt idx="5239" formatCode="General">
                  <c:v>275.50368311879259</c:v>
                </c:pt>
                <c:pt idx="5240" formatCode="General">
                  <c:v>277.80964796107787</c:v>
                </c:pt>
                <c:pt idx="5241" formatCode="General">
                  <c:v>277.80972447085452</c:v>
                </c:pt>
                <c:pt idx="5242" formatCode="General">
                  <c:v>275.17506931920389</c:v>
                </c:pt>
                <c:pt idx="5243" formatCode="General">
                  <c:v>276.49865602672287</c:v>
                </c:pt>
                <c:pt idx="5244" formatCode="General">
                  <c:v>274.50277938746166</c:v>
                </c:pt>
                <c:pt idx="5245" formatCode="General">
                  <c:v>269.55003184191514</c:v>
                </c:pt>
                <c:pt idx="5246" formatCode="General">
                  <c:v>271.50363812587682</c:v>
                </c:pt>
                <c:pt idx="5247" formatCode="General">
                  <c:v>269.27430878719576</c:v>
                </c:pt>
                <c:pt idx="5248" formatCode="General">
                  <c:v>269.2744171846935</c:v>
                </c:pt>
                <c:pt idx="5249" formatCode="General">
                  <c:v>267.02372955280856</c:v>
                </c:pt>
                <c:pt idx="5250" formatCode="General">
                  <c:v>267.50321890111155</c:v>
                </c:pt>
                <c:pt idx="5251" formatCode="General">
                  <c:v>265.85944885792901</c:v>
                </c:pt>
                <c:pt idx="5252" formatCode="General">
                  <c:v>264.24005606836965</c:v>
                </c:pt>
                <c:pt idx="5253" formatCode="General">
                  <c:v>262.95043018406079</c:v>
                </c:pt>
                <c:pt idx="5254" formatCode="General">
                  <c:v>260.40238480797285</c:v>
                </c:pt>
                <c:pt idx="5255" formatCode="General">
                  <c:v>261.26865245598469</c:v>
                </c:pt>
                <c:pt idx="5256" formatCode="General">
                  <c:v>261.6788552857339</c:v>
                </c:pt>
                <c:pt idx="5257" formatCode="General">
                  <c:v>262.45307731088178</c:v>
                </c:pt>
                <c:pt idx="5258" formatCode="General">
                  <c:v>261.69346644590195</c:v>
                </c:pt>
                <c:pt idx="5259" formatCode="General">
                  <c:v>260.94949840917582</c:v>
                </c:pt>
                <c:pt idx="5260" formatCode="General">
                  <c:v>260.1749431496645</c:v>
                </c:pt>
                <c:pt idx="5261" formatCode="General">
                  <c:v>257.80154003136749</c:v>
                </c:pt>
                <c:pt idx="5262" formatCode="General">
                  <c:v>257.8014346745548</c:v>
                </c:pt>
                <c:pt idx="5263" formatCode="General">
                  <c:v>260.00025731631337</c:v>
                </c:pt>
                <c:pt idx="5264" formatCode="General">
                  <c:v>261.57511397522518</c:v>
                </c:pt>
                <c:pt idx="5265" formatCode="General">
                  <c:v>266.22999308280208</c:v>
                </c:pt>
                <c:pt idx="5266" formatCode="General">
                  <c:v>281.84978489348447</c:v>
                </c:pt>
                <c:pt idx="5267" formatCode="General">
                  <c:v>278.90372395219538</c:v>
                </c:pt>
                <c:pt idx="5268" formatCode="General">
                  <c:v>278.90369373691925</c:v>
                </c:pt>
                <c:pt idx="5269" formatCode="General">
                  <c:v>278.8962960802009</c:v>
                </c:pt>
                <c:pt idx="5270" formatCode="General">
                  <c:v>275.69792759350253</c:v>
                </c:pt>
                <c:pt idx="5271" formatCode="General">
                  <c:v>276.29857146919704</c:v>
                </c:pt>
                <c:pt idx="5272" formatCode="General">
                  <c:v>278.25012038462415</c:v>
                </c:pt>
                <c:pt idx="5273" formatCode="General">
                  <c:v>283.15012716876601</c:v>
                </c:pt>
                <c:pt idx="5274" formatCode="General">
                  <c:v>279.2201382496695</c:v>
                </c:pt>
                <c:pt idx="5275" formatCode="General">
                  <c:v>279.29885536329715</c:v>
                </c:pt>
                <c:pt idx="5276" formatCode="General">
                  <c:v>279.29892514585833</c:v>
                </c:pt>
                <c:pt idx="5277" formatCode="General">
                  <c:v>281.95022796175425</c:v>
                </c:pt>
                <c:pt idx="5278" formatCode="General">
                  <c:v>281.6498053096355</c:v>
                </c:pt>
                <c:pt idx="5279" formatCode="General">
                  <c:v>283.37513335053075</c:v>
                </c:pt>
                <c:pt idx="5280" formatCode="General">
                  <c:v>283.37513084393038</c:v>
                </c:pt>
                <c:pt idx="5281" formatCode="General">
                  <c:v>281.85025078798492</c:v>
                </c:pt>
                <c:pt idx="5282" formatCode="General">
                  <c:v>277.80999822360451</c:v>
                </c:pt>
                <c:pt idx="5283" formatCode="General">
                  <c:v>277.8102251369354</c:v>
                </c:pt>
                <c:pt idx="5284" formatCode="General">
                  <c:v>281.88492088666646</c:v>
                </c:pt>
                <c:pt idx="5285" formatCode="General">
                  <c:v>281.61591495736457</c:v>
                </c:pt>
                <c:pt idx="5286" formatCode="General">
                  <c:v>283.01973681789582</c:v>
                </c:pt>
                <c:pt idx="5287" formatCode="General">
                  <c:v>282.5477431364713</c:v>
                </c:pt>
                <c:pt idx="5288" formatCode="General">
                  <c:v>283.11632063937901</c:v>
                </c:pt>
                <c:pt idx="5289" formatCode="General">
                  <c:v>283.1163813972297</c:v>
                </c:pt>
                <c:pt idx="5290" formatCode="General">
                  <c:v>283.11631141836403</c:v>
                </c:pt>
                <c:pt idx="5291" formatCode="General">
                  <c:v>283.64962079150746</c:v>
                </c:pt>
                <c:pt idx="5292" formatCode="General">
                  <c:v>283.15889771669362</c:v>
                </c:pt>
                <c:pt idx="5293" formatCode="General">
                  <c:v>283.41986926465057</c:v>
                </c:pt>
                <c:pt idx="5294" formatCode="General">
                  <c:v>283.74977646658556</c:v>
                </c:pt>
                <c:pt idx="5295" formatCode="General">
                  <c:v>283.80365937796097</c:v>
                </c:pt>
                <c:pt idx="5296" formatCode="General">
                  <c:v>283.80365937796097</c:v>
                </c:pt>
                <c:pt idx="5297" formatCode="General">
                  <c:v>283.80227602730787</c:v>
                </c:pt>
                <c:pt idx="5298" formatCode="General">
                  <c:v>284.95010576986533</c:v>
                </c:pt>
                <c:pt idx="5299" formatCode="General">
                  <c:v>287.00011954408984</c:v>
                </c:pt>
                <c:pt idx="5300" formatCode="General">
                  <c:v>288.25044066155175</c:v>
                </c:pt>
                <c:pt idx="5301" formatCode="General">
                  <c:v>287.87288376952995</c:v>
                </c:pt>
                <c:pt idx="5302" formatCode="General">
                  <c:v>284.00038376858936</c:v>
                </c:pt>
                <c:pt idx="5303" formatCode="General">
                  <c:v>279.05828189894515</c:v>
                </c:pt>
                <c:pt idx="5304" formatCode="General">
                  <c:v>279.05815316351413</c:v>
                </c:pt>
                <c:pt idx="5305" formatCode="General">
                  <c:v>286.5019132447693</c:v>
                </c:pt>
                <c:pt idx="5306" formatCode="General">
                  <c:v>288.1248914552869</c:v>
                </c:pt>
                <c:pt idx="5307" formatCode="General">
                  <c:v>287.87486848674047</c:v>
                </c:pt>
                <c:pt idx="5308" formatCode="General">
                  <c:v>284.79644947069625</c:v>
                </c:pt>
                <c:pt idx="5309" formatCode="General">
                  <c:v>284.45032358699746</c:v>
                </c:pt>
                <c:pt idx="5310" formatCode="General">
                  <c:v>279.71646195938996</c:v>
                </c:pt>
                <c:pt idx="5311" formatCode="General">
                  <c:v>279.71660970907016</c:v>
                </c:pt>
                <c:pt idx="5312" formatCode="General">
                  <c:v>284.49667826695054</c:v>
                </c:pt>
                <c:pt idx="5313" formatCode="General">
                  <c:v>283.85017078746279</c:v>
                </c:pt>
                <c:pt idx="5314" formatCode="General">
                  <c:v>280.5823041284462</c:v>
                </c:pt>
                <c:pt idx="5315" formatCode="General">
                  <c:v>283.50068105482359</c:v>
                </c:pt>
                <c:pt idx="5316" formatCode="General">
                  <c:v>283.50362423969364</c:v>
                </c:pt>
                <c:pt idx="5317" formatCode="General">
                  <c:v>283.50362423969364</c:v>
                </c:pt>
                <c:pt idx="5318" formatCode="General">
                  <c:v>283.5027379227086</c:v>
                </c:pt>
                <c:pt idx="5319" formatCode="General">
                  <c:v>279.06882733885169</c:v>
                </c:pt>
                <c:pt idx="5320" formatCode="General">
                  <c:v>283.48023473135044</c:v>
                </c:pt>
                <c:pt idx="5321" formatCode="General">
                  <c:v>283.79657146789128</c:v>
                </c:pt>
                <c:pt idx="5322" formatCode="General">
                  <c:v>283.72491549131075</c:v>
                </c:pt>
                <c:pt idx="5323" formatCode="General">
                  <c:v>283.703777164462</c:v>
                </c:pt>
                <c:pt idx="5324" formatCode="General">
                  <c:v>279.96602178639057</c:v>
                </c:pt>
                <c:pt idx="5325" formatCode="General">
                  <c:v>279.96584275989846</c:v>
                </c:pt>
                <c:pt idx="5326" formatCode="General">
                  <c:v>283.72490976440741</c:v>
                </c:pt>
                <c:pt idx="5327" formatCode="General">
                  <c:v>283.79826530009859</c:v>
                </c:pt>
                <c:pt idx="5328" formatCode="General">
                  <c:v>283.80358872337501</c:v>
                </c:pt>
                <c:pt idx="5329" formatCode="General">
                  <c:v>283.84985248435936</c:v>
                </c:pt>
                <c:pt idx="5330" formatCode="General">
                  <c:v>283.50361365392058</c:v>
                </c:pt>
                <c:pt idx="5331" formatCode="General">
                  <c:v>283.50361365392058</c:v>
                </c:pt>
                <c:pt idx="5332" formatCode="General">
                  <c:v>283.49978989518354</c:v>
                </c:pt>
                <c:pt idx="5333" formatCode="General">
                  <c:v>283.72977542293501</c:v>
                </c:pt>
                <c:pt idx="5334" formatCode="General">
                  <c:v>284.49234653161028</c:v>
                </c:pt>
                <c:pt idx="5335" formatCode="General">
                  <c:v>284.50615457450584</c:v>
                </c:pt>
                <c:pt idx="5336" formatCode="General">
                  <c:v>295.65027827698299</c:v>
                </c:pt>
                <c:pt idx="5337" formatCode="General">
                  <c:v>295.65045563531629</c:v>
                </c:pt>
                <c:pt idx="5338" formatCode="General">
                  <c:v>284.36353107543465</c:v>
                </c:pt>
                <c:pt idx="5339" formatCode="General">
                  <c:v>284.36353634331397</c:v>
                </c:pt>
                <c:pt idx="5340" formatCode="General">
                  <c:v>284.99971030087323</c:v>
                </c:pt>
                <c:pt idx="5341" formatCode="General">
                  <c:v>285.40489741673508</c:v>
                </c:pt>
                <c:pt idx="5342" formatCode="General">
                  <c:v>284.99979331961003</c:v>
                </c:pt>
                <c:pt idx="5343" formatCode="General">
                  <c:v>285.749992807458</c:v>
                </c:pt>
                <c:pt idx="5344" formatCode="General">
                  <c:v>285.50381249174262</c:v>
                </c:pt>
                <c:pt idx="5345" formatCode="General">
                  <c:v>284.9845403067178</c:v>
                </c:pt>
                <c:pt idx="5346" formatCode="General">
                  <c:v>284.98448771482089</c:v>
                </c:pt>
                <c:pt idx="5347" formatCode="General">
                  <c:v>286.62489108013358</c:v>
                </c:pt>
                <c:pt idx="5348" formatCode="General">
                  <c:v>286.95033966735258</c:v>
                </c:pt>
                <c:pt idx="5349" formatCode="General">
                  <c:v>287.44998875002557</c:v>
                </c:pt>
                <c:pt idx="5350" formatCode="General">
                  <c:v>285.99966430749436</c:v>
                </c:pt>
                <c:pt idx="5351" formatCode="General">
                  <c:v>285.00023762176949</c:v>
                </c:pt>
                <c:pt idx="5352" formatCode="General">
                  <c:v>285.00023762176949</c:v>
                </c:pt>
                <c:pt idx="5353" formatCode="General">
                  <c:v>285.64751349476063</c:v>
                </c:pt>
                <c:pt idx="5354" formatCode="General">
                  <c:v>285.26360726717115</c:v>
                </c:pt>
                <c:pt idx="5355" formatCode="General">
                  <c:v>285.82492959872673</c:v>
                </c:pt>
                <c:pt idx="5356" formatCode="General">
                  <c:v>285.49670312817074</c:v>
                </c:pt>
                <c:pt idx="5357" formatCode="General">
                  <c:v>285.18543758433668</c:v>
                </c:pt>
                <c:pt idx="5358" formatCode="General">
                  <c:v>285.6250673623245</c:v>
                </c:pt>
                <c:pt idx="5359" formatCode="General">
                  <c:v>286.68506132069319</c:v>
                </c:pt>
                <c:pt idx="5360" formatCode="General">
                  <c:v>286.68516141697324</c:v>
                </c:pt>
                <c:pt idx="5361" formatCode="General">
                  <c:v>286.24998202857688</c:v>
                </c:pt>
                <c:pt idx="5362" formatCode="General">
                  <c:v>286.259977378315</c:v>
                </c:pt>
                <c:pt idx="5363" formatCode="General">
                  <c:v>286.72509057082743</c:v>
                </c:pt>
                <c:pt idx="5364" formatCode="General">
                  <c:v>287.15020538156273</c:v>
                </c:pt>
                <c:pt idx="5365" formatCode="General">
                  <c:v>286.95047824645133</c:v>
                </c:pt>
                <c:pt idx="5366" formatCode="General">
                  <c:v>286.8868250696446</c:v>
                </c:pt>
                <c:pt idx="5367" formatCode="General">
                  <c:v>286.88670317312227</c:v>
                </c:pt>
                <c:pt idx="5368" formatCode="General">
                  <c:v>287.51397426653682</c:v>
                </c:pt>
                <c:pt idx="5369" formatCode="General">
                  <c:v>287.49689591250348</c:v>
                </c:pt>
                <c:pt idx="5370" formatCode="General">
                  <c:v>287.22483514253832</c:v>
                </c:pt>
                <c:pt idx="5371" formatCode="General">
                  <c:v>287.45009177212006</c:v>
                </c:pt>
                <c:pt idx="5372" formatCode="General">
                  <c:v>287.42506044321982</c:v>
                </c:pt>
                <c:pt idx="5373" formatCode="General">
                  <c:v>287.42506044321982</c:v>
                </c:pt>
                <c:pt idx="5374" formatCode="General">
                  <c:v>286.57511663278592</c:v>
                </c:pt>
                <c:pt idx="5375" formatCode="General">
                  <c:v>287.50308542239759</c:v>
                </c:pt>
                <c:pt idx="5376" formatCode="General">
                  <c:v>287.45019789341046</c:v>
                </c:pt>
                <c:pt idx="5377" formatCode="General">
                  <c:v>286.94931578262617</c:v>
                </c:pt>
                <c:pt idx="5378" formatCode="General">
                  <c:v>286.72485872922005</c:v>
                </c:pt>
                <c:pt idx="5379" formatCode="General">
                  <c:v>286.50375710116822</c:v>
                </c:pt>
                <c:pt idx="5380" formatCode="General">
                  <c:v>284.73161563583471</c:v>
                </c:pt>
                <c:pt idx="5381" formatCode="General">
                  <c:v>284.73162692056252</c:v>
                </c:pt>
                <c:pt idx="5382" formatCode="General">
                  <c:v>286.54992612363566</c:v>
                </c:pt>
                <c:pt idx="5383" formatCode="General">
                  <c:v>286.5501302380427</c:v>
                </c:pt>
                <c:pt idx="5384" formatCode="General">
                  <c:v>286.49752186802596</c:v>
                </c:pt>
                <c:pt idx="5385" formatCode="General">
                  <c:v>286.50223460962656</c:v>
                </c:pt>
                <c:pt idx="5386" formatCode="General">
                  <c:v>286.50369580531367</c:v>
                </c:pt>
                <c:pt idx="5387" formatCode="General">
                  <c:v>286.50369580531367</c:v>
                </c:pt>
                <c:pt idx="5388" formatCode="General">
                  <c:v>284.71377455816599</c:v>
                </c:pt>
                <c:pt idx="5389" formatCode="General">
                  <c:v>286.37189999999998</c:v>
                </c:pt>
                <c:pt idx="5390" formatCode="General">
                  <c:v>286.03519999999997</c:v>
                </c:pt>
                <c:pt idx="5391" formatCode="General">
                  <c:v>277.08629999999999</c:v>
                </c:pt>
                <c:pt idx="5392" formatCode="General">
                  <c:v>277.03230000000002</c:v>
                </c:pt>
                <c:pt idx="5393" formatCode="General">
                  <c:v>277.9443</c:v>
                </c:pt>
                <c:pt idx="5394" formatCode="General">
                  <c:v>272.36399999999998</c:v>
                </c:pt>
                <c:pt idx="5395" formatCode="General">
                  <c:v>273.51499999999999</c:v>
                </c:pt>
                <c:pt idx="5396" formatCode="General">
                  <c:v>277.59129999999999</c:v>
                </c:pt>
                <c:pt idx="5397" formatCode="General">
                  <c:v>276.71030000000002</c:v>
                </c:pt>
                <c:pt idx="5398" formatCode="General">
                  <c:v>277.7133</c:v>
                </c:pt>
                <c:pt idx="5399" formatCode="General">
                  <c:v>273.58800000000002</c:v>
                </c:pt>
                <c:pt idx="5400" formatCode="General">
                  <c:v>277.49990000000003</c:v>
                </c:pt>
                <c:pt idx="5401" formatCode="General">
                  <c:v>273.31790000000001</c:v>
                </c:pt>
                <c:pt idx="5402" formatCode="General">
                  <c:v>274.11200000000002</c:v>
                </c:pt>
                <c:pt idx="5403" formatCode="General">
                  <c:v>275.90120000000002</c:v>
                </c:pt>
                <c:pt idx="5404" formatCode="General">
                  <c:v>282.10129999999998</c:v>
                </c:pt>
                <c:pt idx="5405" formatCode="General">
                  <c:v>283.9153</c:v>
                </c:pt>
                <c:pt idx="5406" formatCode="General">
                  <c:v>284.72559999999999</c:v>
                </c:pt>
                <c:pt idx="5407" formatCode="General">
                  <c:v>286.04989999999998</c:v>
                </c:pt>
                <c:pt idx="5408" formatCode="General">
                  <c:v>286.56970000000001</c:v>
                </c:pt>
                <c:pt idx="5409" formatCode="General">
                  <c:v>286.5736</c:v>
                </c:pt>
                <c:pt idx="5410" formatCode="General">
                  <c:v>287.70260000000002</c:v>
                </c:pt>
                <c:pt idx="5411" formatCode="General">
                  <c:v>286.35419999999999</c:v>
                </c:pt>
                <c:pt idx="5412" formatCode="General">
                  <c:v>287.08359999999999</c:v>
                </c:pt>
                <c:pt idx="5413" formatCode="General">
                  <c:v>286.84859999999998</c:v>
                </c:pt>
                <c:pt idx="5414" formatCode="General">
                  <c:v>286.40390000000002</c:v>
                </c:pt>
                <c:pt idx="5415" formatCode="General">
                  <c:v>285.30930000000001</c:v>
                </c:pt>
                <c:pt idx="5416" formatCode="General">
                  <c:v>285.53410000000002</c:v>
                </c:pt>
                <c:pt idx="5417" formatCode="General">
                  <c:v>286.66919999999999</c:v>
                </c:pt>
                <c:pt idx="5418" formatCode="General">
                  <c:v>287.45389999999998</c:v>
                </c:pt>
                <c:pt idx="5419" formatCode="General">
                  <c:v>285.39909999999998</c:v>
                </c:pt>
                <c:pt idx="5420" formatCode="General">
                  <c:v>286.00529999999998</c:v>
                </c:pt>
                <c:pt idx="5421" formatCode="General">
                  <c:v>283.53289999999998</c:v>
                </c:pt>
                <c:pt idx="5422" formatCode="General">
                  <c:v>283.53289999999998</c:v>
                </c:pt>
                <c:pt idx="5423" formatCode="General">
                  <c:v>287.87349999999998</c:v>
                </c:pt>
                <c:pt idx="5424" formatCode="General">
                  <c:v>283.6071</c:v>
                </c:pt>
                <c:pt idx="5425" formatCode="General">
                  <c:v>287.94920000000002</c:v>
                </c:pt>
                <c:pt idx="5426" formatCode="General">
                  <c:v>287.4796</c:v>
                </c:pt>
                <c:pt idx="5427" formatCode="General">
                  <c:v>287.64409999999998</c:v>
                </c:pt>
                <c:pt idx="5428" formatCode="General">
                  <c:v>288.37360000000001</c:v>
                </c:pt>
                <c:pt idx="5429" formatCode="General">
                  <c:v>289.1626</c:v>
                </c:pt>
                <c:pt idx="5430" formatCode="General">
                  <c:v>289.48390000000001</c:v>
                </c:pt>
                <c:pt idx="5431" formatCode="General">
                  <c:v>288.12049999999999</c:v>
                </c:pt>
                <c:pt idx="5432" formatCode="General">
                  <c:v>291.142</c:v>
                </c:pt>
                <c:pt idx="5433" formatCode="General">
                  <c:v>293.65010000000001</c:v>
                </c:pt>
                <c:pt idx="5434" formatCode="General">
                  <c:v>295.87490000000003</c:v>
                </c:pt>
                <c:pt idx="5435" formatCode="General">
                  <c:v>294.99990000000003</c:v>
                </c:pt>
                <c:pt idx="5436" formatCode="General">
                  <c:v>296.22289999999998</c:v>
                </c:pt>
                <c:pt idx="5437" formatCode="General">
                  <c:v>295.99979999999999</c:v>
                </c:pt>
                <c:pt idx="5438" formatCode="General">
                  <c:v>296.76889999999997</c:v>
                </c:pt>
                <c:pt idx="5439" formatCode="General">
                  <c:v>297.49180000000001</c:v>
                </c:pt>
                <c:pt idx="5440" formatCode="General">
                  <c:v>298.90649999999999</c:v>
                </c:pt>
                <c:pt idx="5441" formatCode="General">
                  <c:v>299.9975</c:v>
                </c:pt>
                <c:pt idx="5442" formatCode="General">
                  <c:v>302.8297</c:v>
                </c:pt>
                <c:pt idx="5443" formatCode="General">
                  <c:v>302.02809999999999</c:v>
                </c:pt>
                <c:pt idx="5444" formatCode="General">
                  <c:v>303.18669999999997</c:v>
                </c:pt>
                <c:pt idx="5445" formatCode="General">
                  <c:v>303.53609999999998</c:v>
                </c:pt>
                <c:pt idx="5446" formatCode="General">
                  <c:v>304.18979999999999</c:v>
                </c:pt>
                <c:pt idx="5447" formatCode="General">
                  <c:v>304.697</c:v>
                </c:pt>
                <c:pt idx="5448" formatCode="General">
                  <c:v>303.3159</c:v>
                </c:pt>
                <c:pt idx="5449" formatCode="General">
                  <c:v>306.25389999999999</c:v>
                </c:pt>
                <c:pt idx="5450" formatCode="General">
                  <c:v>306.25420000000003</c:v>
                </c:pt>
                <c:pt idx="5451" formatCode="General">
                  <c:v>307.66329999999999</c:v>
                </c:pt>
                <c:pt idx="5452" formatCode="General">
                  <c:v>306.65050000000002</c:v>
                </c:pt>
                <c:pt idx="5453" formatCode="General">
                  <c:v>308.09829999999999</c:v>
                </c:pt>
                <c:pt idx="5454" formatCode="General">
                  <c:v>307.48880000000003</c:v>
                </c:pt>
                <c:pt idx="5455" formatCode="General">
                  <c:v>304.9588</c:v>
                </c:pt>
                <c:pt idx="5456" formatCode="General">
                  <c:v>307.37490000000003</c:v>
                </c:pt>
                <c:pt idx="5457" formatCode="General">
                  <c:v>307.37509999999997</c:v>
                </c:pt>
                <c:pt idx="5458" formatCode="General">
                  <c:v>306.3202</c:v>
                </c:pt>
                <c:pt idx="5459" formatCode="General">
                  <c:v>299.06389999999999</c:v>
                </c:pt>
                <c:pt idx="5460" formatCode="General">
                  <c:v>299.66109999999998</c:v>
                </c:pt>
                <c:pt idx="5461" formatCode="General">
                  <c:v>295.31889999999999</c:v>
                </c:pt>
                <c:pt idx="5462" formatCode="General">
                  <c:v>297.82119999999998</c:v>
                </c:pt>
                <c:pt idx="5463" formatCode="General">
                  <c:v>297.02499999999998</c:v>
                </c:pt>
                <c:pt idx="5464" formatCode="General">
                  <c:v>296.4203</c:v>
                </c:pt>
                <c:pt idx="5465" formatCode="General">
                  <c:v>296.54129999999998</c:v>
                </c:pt>
                <c:pt idx="5466" formatCode="General">
                  <c:v>293.8159</c:v>
                </c:pt>
                <c:pt idx="5467" formatCode="General">
                  <c:v>294.77249999999998</c:v>
                </c:pt>
                <c:pt idx="5468" formatCode="General">
                  <c:v>291.70549999999997</c:v>
                </c:pt>
                <c:pt idx="5469" formatCode="General">
                  <c:v>290.90660000000003</c:v>
                </c:pt>
                <c:pt idx="5470" formatCode="General">
                  <c:v>292.95010000000002</c:v>
                </c:pt>
                <c:pt idx="5471" formatCode="General">
                  <c:v>292.95010000000002</c:v>
                </c:pt>
                <c:pt idx="5472" formatCode="General">
                  <c:v>288.36810000000003</c:v>
                </c:pt>
                <c:pt idx="5473" formatCode="General">
                  <c:v>290.50670000000002</c:v>
                </c:pt>
                <c:pt idx="5474" formatCode="General">
                  <c:v>287.91520000000003</c:v>
                </c:pt>
                <c:pt idx="5475" formatCode="General">
                  <c:v>289.476</c:v>
                </c:pt>
                <c:pt idx="5476" formatCode="General">
                  <c:v>287.6266</c:v>
                </c:pt>
                <c:pt idx="5477" formatCode="General">
                  <c:v>287.75029999999998</c:v>
                </c:pt>
                <c:pt idx="5478" formatCode="General">
                  <c:v>289.37049999999999</c:v>
                </c:pt>
                <c:pt idx="5479" formatCode="General">
                  <c:v>289.09410000000003</c:v>
                </c:pt>
                <c:pt idx="5480" formatCode="General">
                  <c:v>286.97930000000002</c:v>
                </c:pt>
                <c:pt idx="5481" formatCode="General">
                  <c:v>285.7364</c:v>
                </c:pt>
                <c:pt idx="5482" formatCode="General">
                  <c:v>284.53530000000001</c:v>
                </c:pt>
                <c:pt idx="5483" formatCode="General">
                  <c:v>283.79660000000001</c:v>
                </c:pt>
                <c:pt idx="5484" formatCode="General">
                  <c:v>277.63499999999999</c:v>
                </c:pt>
                <c:pt idx="5485" formatCode="General">
                  <c:v>277.68060000000003</c:v>
                </c:pt>
                <c:pt idx="5486" formatCode="General">
                  <c:v>278.84480000000002</c:v>
                </c:pt>
                <c:pt idx="5487" formatCode="General">
                  <c:v>281.35210000000001</c:v>
                </c:pt>
                <c:pt idx="5488" formatCode="General">
                  <c:v>280.6542</c:v>
                </c:pt>
                <c:pt idx="5489" formatCode="General">
                  <c:v>279.36970000000002</c:v>
                </c:pt>
                <c:pt idx="5490" formatCode="General">
                  <c:v>278.44990000000001</c:v>
                </c:pt>
                <c:pt idx="5491" formatCode="General">
                  <c:v>277.45139999999998</c:v>
                </c:pt>
                <c:pt idx="5492" formatCode="General">
                  <c:v>277.55739999999997</c:v>
                </c:pt>
                <c:pt idx="5493" formatCode="General">
                  <c:v>277.57799999999997</c:v>
                </c:pt>
                <c:pt idx="5494" formatCode="General">
                  <c:v>276.83420000000001</c:v>
                </c:pt>
                <c:pt idx="5495" formatCode="General">
                  <c:v>276.3759</c:v>
                </c:pt>
                <c:pt idx="5496" formatCode="General">
                  <c:v>276.36810000000003</c:v>
                </c:pt>
                <c:pt idx="5497" formatCode="General">
                  <c:v>277.20659999999998</c:v>
                </c:pt>
                <c:pt idx="5498" formatCode="General">
                  <c:v>278.52749999999997</c:v>
                </c:pt>
                <c:pt idx="5499" formatCode="General">
                  <c:v>274.99979999999999</c:v>
                </c:pt>
                <c:pt idx="5500" formatCode="General">
                  <c:v>275.69279999999998</c:v>
                </c:pt>
                <c:pt idx="5501" formatCode="General">
                  <c:v>278.63619999999997</c:v>
                </c:pt>
                <c:pt idx="5502" formatCode="General">
                  <c:v>279.58350000000002</c:v>
                </c:pt>
                <c:pt idx="5503" formatCode="General">
                  <c:v>277.96530000000001</c:v>
                </c:pt>
                <c:pt idx="5504" formatCode="General">
                  <c:v>280.16160000000002</c:v>
                </c:pt>
                <c:pt idx="5505" formatCode="General">
                  <c:v>277.71230000000003</c:v>
                </c:pt>
                <c:pt idx="5506" formatCode="General">
                  <c:v>276.88369999999998</c:v>
                </c:pt>
                <c:pt idx="5507" formatCode="General">
                  <c:v>276.8897</c:v>
                </c:pt>
                <c:pt idx="5508" formatCode="General">
                  <c:v>279.35550000000001</c:v>
                </c:pt>
                <c:pt idx="5509" formatCode="General">
                  <c:v>281.0335</c:v>
                </c:pt>
                <c:pt idx="5510" formatCode="General">
                  <c:v>280.2484</c:v>
                </c:pt>
                <c:pt idx="5511" formatCode="General">
                  <c:v>282.53120000000001</c:v>
                </c:pt>
                <c:pt idx="5512" formatCode="General">
                  <c:v>278.39890000000003</c:v>
                </c:pt>
                <c:pt idx="5513" formatCode="General">
                  <c:v>278.39890000000003</c:v>
                </c:pt>
                <c:pt idx="5514" formatCode="General">
                  <c:v>279.63159999999999</c:v>
                </c:pt>
                <c:pt idx="5515" formatCode="General">
                  <c:v>285.26409999999998</c:v>
                </c:pt>
                <c:pt idx="5516" formatCode="General">
                  <c:v>283.74630000000002</c:v>
                </c:pt>
                <c:pt idx="5517" formatCode="General">
                  <c:v>287.25220000000002</c:v>
                </c:pt>
                <c:pt idx="5518" formatCode="General">
                  <c:v>285.57909999999998</c:v>
                </c:pt>
                <c:pt idx="5519" formatCode="General">
                  <c:v>283.4658</c:v>
                </c:pt>
                <c:pt idx="5520" formatCode="General">
                  <c:v>282.0829</c:v>
                </c:pt>
                <c:pt idx="5521" formatCode="General">
                  <c:v>282.34609999999998</c:v>
                </c:pt>
                <c:pt idx="5522" formatCode="General">
                  <c:v>283.97120000000001</c:v>
                </c:pt>
                <c:pt idx="5523" formatCode="General">
                  <c:v>287.82060000000001</c:v>
                </c:pt>
                <c:pt idx="5524" formatCode="General">
                  <c:v>288.23169999999999</c:v>
                </c:pt>
                <c:pt idx="5525" formatCode="General">
                  <c:v>287.86509999999998</c:v>
                </c:pt>
                <c:pt idx="5526" formatCode="General">
                  <c:v>288.34980000000002</c:v>
                </c:pt>
                <c:pt idx="5527" formatCode="General">
                  <c:v>285.10270000000003</c:v>
                </c:pt>
                <c:pt idx="5528" formatCode="General">
                  <c:v>285.82799999999997</c:v>
                </c:pt>
                <c:pt idx="5529" formatCode="General">
                  <c:v>286.01519999999999</c:v>
                </c:pt>
                <c:pt idx="5530" formatCode="General">
                  <c:v>285.55119999999999</c:v>
                </c:pt>
                <c:pt idx="5531" formatCode="General">
                  <c:v>284.87029999999999</c:v>
                </c:pt>
                <c:pt idx="5532" formatCode="General">
                  <c:v>282.19470000000001</c:v>
                </c:pt>
                <c:pt idx="5533" formatCode="General">
                  <c:v>0</c:v>
                </c:pt>
                <c:pt idx="5534" formatCode="General">
                  <c:v>281.06630000000001</c:v>
                </c:pt>
                <c:pt idx="5535" formatCode="General">
                  <c:v>281.07979999999998</c:v>
                </c:pt>
                <c:pt idx="5536" formatCode="General">
                  <c:v>284.02460000000002</c:v>
                </c:pt>
                <c:pt idx="5537" formatCode="General">
                  <c:v>285.66410000000002</c:v>
                </c:pt>
                <c:pt idx="5538" formatCode="General">
                  <c:v>285.726</c:v>
                </c:pt>
                <c:pt idx="5539" formatCode="General">
                  <c:v>285.02519999999998</c:v>
                </c:pt>
                <c:pt idx="5540" formatCode="General">
                  <c:v>285.22480000000002</c:v>
                </c:pt>
                <c:pt idx="5541" formatCode="General">
                  <c:v>281.70749999999998</c:v>
                </c:pt>
                <c:pt idx="5542" formatCode="General">
                  <c:v>281.88479999999998</c:v>
                </c:pt>
                <c:pt idx="5543" formatCode="General">
                  <c:v>281.12299999999999</c:v>
                </c:pt>
                <c:pt idx="5544" formatCode="General">
                  <c:v>284.47739999999999</c:v>
                </c:pt>
                <c:pt idx="5545" formatCode="General">
                  <c:v>284.69880000000001</c:v>
                </c:pt>
                <c:pt idx="5546" formatCode="General">
                  <c:v>284.16500000000002</c:v>
                </c:pt>
                <c:pt idx="5547" formatCode="General">
                  <c:v>284.09989999999999</c:v>
                </c:pt>
                <c:pt idx="5548" formatCode="General">
                  <c:v>283.99340000000001</c:v>
                </c:pt>
                <c:pt idx="5549" formatCode="General">
                  <c:v>284.15960000000001</c:v>
                </c:pt>
                <c:pt idx="5550" formatCode="General">
                  <c:v>284.07100000000003</c:v>
                </c:pt>
                <c:pt idx="5551" formatCode="General">
                  <c:v>283.64659999999998</c:v>
                </c:pt>
                <c:pt idx="5552" formatCode="General">
                  <c:v>283.62130000000002</c:v>
                </c:pt>
                <c:pt idx="5553" formatCode="General">
                  <c:v>283.49700000000001</c:v>
                </c:pt>
                <c:pt idx="5554" formatCode="General">
                  <c:v>283.52600000000001</c:v>
                </c:pt>
                <c:pt idx="5555" formatCode="General">
                  <c:v>281.31330000000003</c:v>
                </c:pt>
                <c:pt idx="5556" formatCode="General">
                  <c:v>281.69459999999998</c:v>
                </c:pt>
                <c:pt idx="5557" formatCode="General">
                  <c:v>279.72519999999997</c:v>
                </c:pt>
                <c:pt idx="5558" formatCode="General">
                  <c:v>280.72750000000002</c:v>
                </c:pt>
                <c:pt idx="5559" formatCode="General">
                  <c:v>282.73880000000003</c:v>
                </c:pt>
                <c:pt idx="5560" formatCode="General">
                  <c:v>282.96519999999998</c:v>
                </c:pt>
                <c:pt idx="5561" formatCode="General">
                  <c:v>279.28500000000003</c:v>
                </c:pt>
                <c:pt idx="5562" formatCode="General">
                  <c:v>278.9556</c:v>
                </c:pt>
                <c:pt idx="5563" formatCode="General">
                  <c:v>279.31610000000001</c:v>
                </c:pt>
                <c:pt idx="5564" formatCode="General">
                  <c:v>279.51830000000001</c:v>
                </c:pt>
                <c:pt idx="5565" formatCode="General">
                  <c:v>282.50439999999998</c:v>
                </c:pt>
                <c:pt idx="5566" formatCode="General">
                  <c:v>281.99110000000002</c:v>
                </c:pt>
                <c:pt idx="5567" formatCode="General">
                  <c:v>281.9923</c:v>
                </c:pt>
                <c:pt idx="5568" formatCode="General">
                  <c:v>278.19580000000002</c:v>
                </c:pt>
                <c:pt idx="5569" formatCode="General">
                  <c:v>278.7285</c:v>
                </c:pt>
                <c:pt idx="5570" formatCode="General">
                  <c:v>279.3827</c:v>
                </c:pt>
                <c:pt idx="5571" formatCode="General">
                  <c:v>278.99180000000001</c:v>
                </c:pt>
                <c:pt idx="5572" formatCode="General">
                  <c:v>281.9502</c:v>
                </c:pt>
                <c:pt idx="5573" formatCode="General">
                  <c:v>281.83190000000002</c:v>
                </c:pt>
                <c:pt idx="5574" formatCode="General">
                  <c:v>281.71230000000003</c:v>
                </c:pt>
                <c:pt idx="5575" formatCode="General">
                  <c:v>281.49990000000003</c:v>
                </c:pt>
                <c:pt idx="5576" formatCode="General">
                  <c:v>281.49990000000003</c:v>
                </c:pt>
                <c:pt idx="5577" formatCode="General">
                  <c:v>277.1617</c:v>
                </c:pt>
                <c:pt idx="5578" formatCode="General">
                  <c:v>281.20229999999998</c:v>
                </c:pt>
                <c:pt idx="5579" formatCode="General">
                  <c:v>281.21370000000002</c:v>
                </c:pt>
                <c:pt idx="5580" formatCode="General">
                  <c:v>281.24720000000002</c:v>
                </c:pt>
                <c:pt idx="5581" formatCode="General">
                  <c:v>281.16250000000002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4-4F50-B6D1-FA1A690B2EB5}"/>
            </c:ext>
          </c:extLst>
        </c:ser>
        <c:ser>
          <c:idx val="1"/>
          <c:order val="1"/>
          <c:tx>
            <c:v>6.75% annual growth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Data!$A$4:$A$6305</c:f>
              <c:numCache>
                <c:formatCode>d\-mmm\-yy</c:formatCode>
                <c:ptCount val="6302"/>
                <c:pt idx="0">
                  <c:v>17533</c:v>
                </c:pt>
                <c:pt idx="1">
                  <c:v>17899</c:v>
                </c:pt>
                <c:pt idx="2">
                  <c:v>18264</c:v>
                </c:pt>
                <c:pt idx="3">
                  <c:v>18629</c:v>
                </c:pt>
                <c:pt idx="4">
                  <c:v>18994</c:v>
                </c:pt>
                <c:pt idx="5">
                  <c:v>19360</c:v>
                </c:pt>
                <c:pt idx="6">
                  <c:v>19725</c:v>
                </c:pt>
                <c:pt idx="7">
                  <c:v>20090</c:v>
                </c:pt>
                <c:pt idx="8">
                  <c:v>20270</c:v>
                </c:pt>
                <c:pt idx="9">
                  <c:v>20271</c:v>
                </c:pt>
                <c:pt idx="10">
                  <c:v>20455</c:v>
                </c:pt>
                <c:pt idx="11">
                  <c:v>20821</c:v>
                </c:pt>
                <c:pt idx="12">
                  <c:v>21186</c:v>
                </c:pt>
                <c:pt idx="13">
                  <c:v>21551</c:v>
                </c:pt>
                <c:pt idx="14">
                  <c:v>21916</c:v>
                </c:pt>
                <c:pt idx="15">
                  <c:v>22282</c:v>
                </c:pt>
                <c:pt idx="16">
                  <c:v>22647</c:v>
                </c:pt>
                <c:pt idx="17">
                  <c:v>23012</c:v>
                </c:pt>
                <c:pt idx="18">
                  <c:v>23377</c:v>
                </c:pt>
                <c:pt idx="19">
                  <c:v>23743</c:v>
                </c:pt>
                <c:pt idx="20">
                  <c:v>24108</c:v>
                </c:pt>
                <c:pt idx="21">
                  <c:v>24473</c:v>
                </c:pt>
                <c:pt idx="22">
                  <c:v>24838</c:v>
                </c:pt>
                <c:pt idx="23">
                  <c:v>25204</c:v>
                </c:pt>
                <c:pt idx="24">
                  <c:v>25569</c:v>
                </c:pt>
                <c:pt idx="25">
                  <c:v>25934</c:v>
                </c:pt>
                <c:pt idx="26">
                  <c:v>26299</c:v>
                </c:pt>
                <c:pt idx="27">
                  <c:v>26420</c:v>
                </c:pt>
                <c:pt idx="28">
                  <c:v>26665</c:v>
                </c:pt>
                <c:pt idx="29">
                  <c:v>27030</c:v>
                </c:pt>
                <c:pt idx="30">
                  <c:v>27395</c:v>
                </c:pt>
                <c:pt idx="31">
                  <c:v>27760</c:v>
                </c:pt>
                <c:pt idx="32">
                  <c:v>28126</c:v>
                </c:pt>
                <c:pt idx="33">
                  <c:v>28491</c:v>
                </c:pt>
                <c:pt idx="34">
                  <c:v>28856</c:v>
                </c:pt>
                <c:pt idx="35">
                  <c:v>29221</c:v>
                </c:pt>
                <c:pt idx="36">
                  <c:v>29587</c:v>
                </c:pt>
                <c:pt idx="37">
                  <c:v>29951</c:v>
                </c:pt>
                <c:pt idx="38">
                  <c:v>29982</c:v>
                </c:pt>
                <c:pt idx="39">
                  <c:v>30010</c:v>
                </c:pt>
                <c:pt idx="40">
                  <c:v>30041</c:v>
                </c:pt>
                <c:pt idx="41">
                  <c:v>30071</c:v>
                </c:pt>
                <c:pt idx="42">
                  <c:v>30102</c:v>
                </c:pt>
                <c:pt idx="43">
                  <c:v>30132</c:v>
                </c:pt>
                <c:pt idx="44">
                  <c:v>30163</c:v>
                </c:pt>
                <c:pt idx="45">
                  <c:v>30194</c:v>
                </c:pt>
                <c:pt idx="46">
                  <c:v>30224</c:v>
                </c:pt>
                <c:pt idx="47">
                  <c:v>30255</c:v>
                </c:pt>
                <c:pt idx="48">
                  <c:v>30285</c:v>
                </c:pt>
                <c:pt idx="49">
                  <c:v>30316</c:v>
                </c:pt>
                <c:pt idx="50">
                  <c:v>30347</c:v>
                </c:pt>
                <c:pt idx="51">
                  <c:v>30375</c:v>
                </c:pt>
                <c:pt idx="52">
                  <c:v>30406</c:v>
                </c:pt>
                <c:pt idx="53">
                  <c:v>30436</c:v>
                </c:pt>
                <c:pt idx="54">
                  <c:v>30467</c:v>
                </c:pt>
                <c:pt idx="55">
                  <c:v>30497</c:v>
                </c:pt>
                <c:pt idx="56">
                  <c:v>30528</c:v>
                </c:pt>
                <c:pt idx="57">
                  <c:v>30559</c:v>
                </c:pt>
                <c:pt idx="58">
                  <c:v>30589</c:v>
                </c:pt>
                <c:pt idx="59">
                  <c:v>30620</c:v>
                </c:pt>
                <c:pt idx="60">
                  <c:v>30650</c:v>
                </c:pt>
                <c:pt idx="61">
                  <c:v>30681</c:v>
                </c:pt>
                <c:pt idx="62">
                  <c:v>30712</c:v>
                </c:pt>
                <c:pt idx="63">
                  <c:v>30741</c:v>
                </c:pt>
                <c:pt idx="64">
                  <c:v>30772</c:v>
                </c:pt>
                <c:pt idx="65">
                  <c:v>30802</c:v>
                </c:pt>
                <c:pt idx="66">
                  <c:v>30833</c:v>
                </c:pt>
                <c:pt idx="67">
                  <c:v>30863</c:v>
                </c:pt>
                <c:pt idx="68">
                  <c:v>30894</c:v>
                </c:pt>
                <c:pt idx="69">
                  <c:v>30925</c:v>
                </c:pt>
                <c:pt idx="70">
                  <c:v>30955</c:v>
                </c:pt>
                <c:pt idx="71">
                  <c:v>30986</c:v>
                </c:pt>
                <c:pt idx="72">
                  <c:v>31016</c:v>
                </c:pt>
                <c:pt idx="73">
                  <c:v>31047</c:v>
                </c:pt>
                <c:pt idx="74">
                  <c:v>31078</c:v>
                </c:pt>
                <c:pt idx="75">
                  <c:v>31106</c:v>
                </c:pt>
                <c:pt idx="76">
                  <c:v>31137</c:v>
                </c:pt>
                <c:pt idx="77">
                  <c:v>31167</c:v>
                </c:pt>
                <c:pt idx="78">
                  <c:v>31198</c:v>
                </c:pt>
                <c:pt idx="79">
                  <c:v>31228</c:v>
                </c:pt>
                <c:pt idx="80">
                  <c:v>31259</c:v>
                </c:pt>
                <c:pt idx="81">
                  <c:v>31290</c:v>
                </c:pt>
                <c:pt idx="82">
                  <c:v>31320</c:v>
                </c:pt>
                <c:pt idx="83">
                  <c:v>31351</c:v>
                </c:pt>
                <c:pt idx="84">
                  <c:v>31381</c:v>
                </c:pt>
                <c:pt idx="85">
                  <c:v>31412</c:v>
                </c:pt>
                <c:pt idx="86">
                  <c:v>31443</c:v>
                </c:pt>
                <c:pt idx="87">
                  <c:v>31471</c:v>
                </c:pt>
                <c:pt idx="88">
                  <c:v>31502</c:v>
                </c:pt>
                <c:pt idx="89">
                  <c:v>31532</c:v>
                </c:pt>
                <c:pt idx="90">
                  <c:v>31563</c:v>
                </c:pt>
                <c:pt idx="91">
                  <c:v>31593</c:v>
                </c:pt>
                <c:pt idx="92">
                  <c:v>31624</c:v>
                </c:pt>
                <c:pt idx="93">
                  <c:v>31655</c:v>
                </c:pt>
                <c:pt idx="94">
                  <c:v>31685</c:v>
                </c:pt>
                <c:pt idx="95">
                  <c:v>31716</c:v>
                </c:pt>
                <c:pt idx="96">
                  <c:v>31746</c:v>
                </c:pt>
                <c:pt idx="97">
                  <c:v>31777</c:v>
                </c:pt>
                <c:pt idx="98">
                  <c:v>31808</c:v>
                </c:pt>
                <c:pt idx="99">
                  <c:v>31836</c:v>
                </c:pt>
                <c:pt idx="100">
                  <c:v>31867</c:v>
                </c:pt>
                <c:pt idx="101">
                  <c:v>31897</c:v>
                </c:pt>
                <c:pt idx="102">
                  <c:v>31928</c:v>
                </c:pt>
                <c:pt idx="103">
                  <c:v>31958</c:v>
                </c:pt>
                <c:pt idx="104">
                  <c:v>31989</c:v>
                </c:pt>
                <c:pt idx="105">
                  <c:v>32020</c:v>
                </c:pt>
                <c:pt idx="106">
                  <c:v>32050</c:v>
                </c:pt>
                <c:pt idx="107">
                  <c:v>32081</c:v>
                </c:pt>
                <c:pt idx="108">
                  <c:v>32111</c:v>
                </c:pt>
                <c:pt idx="109">
                  <c:v>32142</c:v>
                </c:pt>
                <c:pt idx="110">
                  <c:v>32173</c:v>
                </c:pt>
                <c:pt idx="111">
                  <c:v>32202</c:v>
                </c:pt>
                <c:pt idx="112">
                  <c:v>32233</c:v>
                </c:pt>
                <c:pt idx="113">
                  <c:v>32263</c:v>
                </c:pt>
                <c:pt idx="114">
                  <c:v>32294</c:v>
                </c:pt>
                <c:pt idx="115">
                  <c:v>32324</c:v>
                </c:pt>
                <c:pt idx="116">
                  <c:v>32355</c:v>
                </c:pt>
                <c:pt idx="117">
                  <c:v>32386</c:v>
                </c:pt>
                <c:pt idx="118">
                  <c:v>32416</c:v>
                </c:pt>
                <c:pt idx="119">
                  <c:v>32447</c:v>
                </c:pt>
                <c:pt idx="120">
                  <c:v>32477</c:v>
                </c:pt>
                <c:pt idx="121">
                  <c:v>32508</c:v>
                </c:pt>
                <c:pt idx="122">
                  <c:v>32539</c:v>
                </c:pt>
                <c:pt idx="123">
                  <c:v>32567</c:v>
                </c:pt>
                <c:pt idx="124">
                  <c:v>32598</c:v>
                </c:pt>
                <c:pt idx="125">
                  <c:v>32628</c:v>
                </c:pt>
                <c:pt idx="126">
                  <c:v>32659</c:v>
                </c:pt>
                <c:pt idx="127">
                  <c:v>32689</c:v>
                </c:pt>
                <c:pt idx="128">
                  <c:v>32720</c:v>
                </c:pt>
                <c:pt idx="129">
                  <c:v>32751</c:v>
                </c:pt>
                <c:pt idx="130">
                  <c:v>32781</c:v>
                </c:pt>
                <c:pt idx="131">
                  <c:v>32812</c:v>
                </c:pt>
                <c:pt idx="132">
                  <c:v>32842</c:v>
                </c:pt>
                <c:pt idx="133">
                  <c:v>32873</c:v>
                </c:pt>
                <c:pt idx="134">
                  <c:v>32904</c:v>
                </c:pt>
                <c:pt idx="135">
                  <c:v>32932</c:v>
                </c:pt>
                <c:pt idx="136">
                  <c:v>32963</c:v>
                </c:pt>
                <c:pt idx="137">
                  <c:v>32993</c:v>
                </c:pt>
                <c:pt idx="138">
                  <c:v>33024</c:v>
                </c:pt>
                <c:pt idx="139">
                  <c:v>33054</c:v>
                </c:pt>
                <c:pt idx="140">
                  <c:v>33085</c:v>
                </c:pt>
                <c:pt idx="141">
                  <c:v>33116</c:v>
                </c:pt>
                <c:pt idx="142">
                  <c:v>33146</c:v>
                </c:pt>
                <c:pt idx="143">
                  <c:v>33177</c:v>
                </c:pt>
                <c:pt idx="144">
                  <c:v>33207</c:v>
                </c:pt>
                <c:pt idx="145">
                  <c:v>33238</c:v>
                </c:pt>
                <c:pt idx="146">
                  <c:v>33269</c:v>
                </c:pt>
                <c:pt idx="147">
                  <c:v>33297</c:v>
                </c:pt>
                <c:pt idx="148">
                  <c:v>33328</c:v>
                </c:pt>
                <c:pt idx="149">
                  <c:v>33358</c:v>
                </c:pt>
                <c:pt idx="150">
                  <c:v>33389</c:v>
                </c:pt>
                <c:pt idx="151">
                  <c:v>33419</c:v>
                </c:pt>
                <c:pt idx="152">
                  <c:v>33450</c:v>
                </c:pt>
                <c:pt idx="153">
                  <c:v>33481</c:v>
                </c:pt>
                <c:pt idx="154">
                  <c:v>33511</c:v>
                </c:pt>
                <c:pt idx="155">
                  <c:v>33542</c:v>
                </c:pt>
                <c:pt idx="156">
                  <c:v>33572</c:v>
                </c:pt>
                <c:pt idx="157">
                  <c:v>33603</c:v>
                </c:pt>
                <c:pt idx="158">
                  <c:v>33634</c:v>
                </c:pt>
                <c:pt idx="159">
                  <c:v>33663</c:v>
                </c:pt>
                <c:pt idx="160">
                  <c:v>33694</c:v>
                </c:pt>
                <c:pt idx="161">
                  <c:v>33724</c:v>
                </c:pt>
                <c:pt idx="162">
                  <c:v>33755</c:v>
                </c:pt>
                <c:pt idx="163">
                  <c:v>33785</c:v>
                </c:pt>
                <c:pt idx="164">
                  <c:v>33816</c:v>
                </c:pt>
                <c:pt idx="165">
                  <c:v>33847</c:v>
                </c:pt>
                <c:pt idx="166">
                  <c:v>33877</c:v>
                </c:pt>
                <c:pt idx="167">
                  <c:v>33908</c:v>
                </c:pt>
                <c:pt idx="168">
                  <c:v>33938</c:v>
                </c:pt>
                <c:pt idx="169">
                  <c:v>33969</c:v>
                </c:pt>
                <c:pt idx="170">
                  <c:v>34000</c:v>
                </c:pt>
                <c:pt idx="171">
                  <c:v>34028</c:v>
                </c:pt>
                <c:pt idx="172">
                  <c:v>34059</c:v>
                </c:pt>
                <c:pt idx="173">
                  <c:v>34089</c:v>
                </c:pt>
                <c:pt idx="174">
                  <c:v>34120</c:v>
                </c:pt>
                <c:pt idx="175">
                  <c:v>34150</c:v>
                </c:pt>
                <c:pt idx="176">
                  <c:v>34181</c:v>
                </c:pt>
                <c:pt idx="177">
                  <c:v>34212</c:v>
                </c:pt>
                <c:pt idx="178">
                  <c:v>34242</c:v>
                </c:pt>
                <c:pt idx="179">
                  <c:v>34273</c:v>
                </c:pt>
                <c:pt idx="180">
                  <c:v>34303</c:v>
                </c:pt>
                <c:pt idx="181">
                  <c:v>34334</c:v>
                </c:pt>
                <c:pt idx="182">
                  <c:v>34365</c:v>
                </c:pt>
                <c:pt idx="183">
                  <c:v>34393</c:v>
                </c:pt>
                <c:pt idx="184">
                  <c:v>34424</c:v>
                </c:pt>
                <c:pt idx="185">
                  <c:v>34454</c:v>
                </c:pt>
                <c:pt idx="186">
                  <c:v>34485</c:v>
                </c:pt>
                <c:pt idx="187">
                  <c:v>34515</c:v>
                </c:pt>
                <c:pt idx="188">
                  <c:v>34546</c:v>
                </c:pt>
                <c:pt idx="189">
                  <c:v>34577</c:v>
                </c:pt>
                <c:pt idx="190">
                  <c:v>34607</c:v>
                </c:pt>
                <c:pt idx="191">
                  <c:v>34638</c:v>
                </c:pt>
                <c:pt idx="192">
                  <c:v>34668</c:v>
                </c:pt>
                <c:pt idx="193">
                  <c:v>34699</c:v>
                </c:pt>
                <c:pt idx="194">
                  <c:v>34730</c:v>
                </c:pt>
                <c:pt idx="195">
                  <c:v>34758</c:v>
                </c:pt>
                <c:pt idx="196">
                  <c:v>34789</c:v>
                </c:pt>
                <c:pt idx="197">
                  <c:v>34819</c:v>
                </c:pt>
                <c:pt idx="198">
                  <c:v>34850</c:v>
                </c:pt>
                <c:pt idx="199">
                  <c:v>34880</c:v>
                </c:pt>
                <c:pt idx="200">
                  <c:v>34911</c:v>
                </c:pt>
                <c:pt idx="201">
                  <c:v>34942</c:v>
                </c:pt>
                <c:pt idx="202">
                  <c:v>34972</c:v>
                </c:pt>
                <c:pt idx="203">
                  <c:v>35003</c:v>
                </c:pt>
                <c:pt idx="204">
                  <c:v>35033</c:v>
                </c:pt>
                <c:pt idx="205">
                  <c:v>35064</c:v>
                </c:pt>
                <c:pt idx="206">
                  <c:v>35095</c:v>
                </c:pt>
                <c:pt idx="207">
                  <c:v>35124</c:v>
                </c:pt>
                <c:pt idx="208">
                  <c:v>35155</c:v>
                </c:pt>
                <c:pt idx="209">
                  <c:v>35185</c:v>
                </c:pt>
                <c:pt idx="210">
                  <c:v>35216</c:v>
                </c:pt>
                <c:pt idx="211">
                  <c:v>35246</c:v>
                </c:pt>
                <c:pt idx="212">
                  <c:v>35277</c:v>
                </c:pt>
                <c:pt idx="213">
                  <c:v>35308</c:v>
                </c:pt>
                <c:pt idx="214">
                  <c:v>35338</c:v>
                </c:pt>
                <c:pt idx="215">
                  <c:v>35369</c:v>
                </c:pt>
                <c:pt idx="216">
                  <c:v>35399</c:v>
                </c:pt>
                <c:pt idx="217">
                  <c:v>35430</c:v>
                </c:pt>
                <c:pt idx="218">
                  <c:v>35461</c:v>
                </c:pt>
                <c:pt idx="219">
                  <c:v>35489</c:v>
                </c:pt>
                <c:pt idx="220">
                  <c:v>35520</c:v>
                </c:pt>
                <c:pt idx="221">
                  <c:v>35550</c:v>
                </c:pt>
                <c:pt idx="222">
                  <c:v>35581</c:v>
                </c:pt>
                <c:pt idx="223">
                  <c:v>35611</c:v>
                </c:pt>
                <c:pt idx="224">
                  <c:v>35642</c:v>
                </c:pt>
                <c:pt idx="225">
                  <c:v>35673</c:v>
                </c:pt>
                <c:pt idx="226">
                  <c:v>35703</c:v>
                </c:pt>
                <c:pt idx="227">
                  <c:v>35734</c:v>
                </c:pt>
                <c:pt idx="228">
                  <c:v>35764</c:v>
                </c:pt>
                <c:pt idx="229">
                  <c:v>35795</c:v>
                </c:pt>
                <c:pt idx="230">
                  <c:v>35826</c:v>
                </c:pt>
                <c:pt idx="231">
                  <c:v>35854</c:v>
                </c:pt>
                <c:pt idx="232">
                  <c:v>35885</c:v>
                </c:pt>
                <c:pt idx="233">
                  <c:v>35915</c:v>
                </c:pt>
                <c:pt idx="234">
                  <c:v>35946</c:v>
                </c:pt>
                <c:pt idx="235">
                  <c:v>35976</c:v>
                </c:pt>
                <c:pt idx="236">
                  <c:v>36007</c:v>
                </c:pt>
                <c:pt idx="237">
                  <c:v>36038</c:v>
                </c:pt>
                <c:pt idx="238">
                  <c:v>36068</c:v>
                </c:pt>
                <c:pt idx="239">
                  <c:v>36099</c:v>
                </c:pt>
                <c:pt idx="240">
                  <c:v>36129</c:v>
                </c:pt>
                <c:pt idx="241">
                  <c:v>36160</c:v>
                </c:pt>
                <c:pt idx="242">
                  <c:v>36191</c:v>
                </c:pt>
                <c:pt idx="243">
                  <c:v>36219</c:v>
                </c:pt>
                <c:pt idx="244">
                  <c:v>36250</c:v>
                </c:pt>
                <c:pt idx="245">
                  <c:v>36280</c:v>
                </c:pt>
                <c:pt idx="246">
                  <c:v>36311</c:v>
                </c:pt>
                <c:pt idx="247">
                  <c:v>36341</c:v>
                </c:pt>
                <c:pt idx="248">
                  <c:v>36372</c:v>
                </c:pt>
                <c:pt idx="249">
                  <c:v>36403</c:v>
                </c:pt>
                <c:pt idx="250">
                  <c:v>36433</c:v>
                </c:pt>
                <c:pt idx="251">
                  <c:v>36464</c:v>
                </c:pt>
                <c:pt idx="252">
                  <c:v>36494</c:v>
                </c:pt>
                <c:pt idx="253">
                  <c:v>36525</c:v>
                </c:pt>
                <c:pt idx="254">
                  <c:v>36556</c:v>
                </c:pt>
                <c:pt idx="255">
                  <c:v>36585</c:v>
                </c:pt>
                <c:pt idx="256">
                  <c:v>36616</c:v>
                </c:pt>
                <c:pt idx="257">
                  <c:v>36646</c:v>
                </c:pt>
                <c:pt idx="258">
                  <c:v>36677</c:v>
                </c:pt>
                <c:pt idx="259">
                  <c:v>36707</c:v>
                </c:pt>
                <c:pt idx="260">
                  <c:v>36738</c:v>
                </c:pt>
                <c:pt idx="261">
                  <c:v>36769</c:v>
                </c:pt>
                <c:pt idx="262">
                  <c:v>36799</c:v>
                </c:pt>
                <c:pt idx="263">
                  <c:v>36830</c:v>
                </c:pt>
                <c:pt idx="264">
                  <c:v>36860</c:v>
                </c:pt>
                <c:pt idx="265">
                  <c:v>36891</c:v>
                </c:pt>
                <c:pt idx="266">
                  <c:v>36922</c:v>
                </c:pt>
                <c:pt idx="267">
                  <c:v>36950</c:v>
                </c:pt>
                <c:pt idx="268">
                  <c:v>36981</c:v>
                </c:pt>
                <c:pt idx="269">
                  <c:v>37011</c:v>
                </c:pt>
                <c:pt idx="270">
                  <c:v>37042</c:v>
                </c:pt>
                <c:pt idx="271">
                  <c:v>37072</c:v>
                </c:pt>
                <c:pt idx="272">
                  <c:v>37103</c:v>
                </c:pt>
                <c:pt idx="273">
                  <c:v>37134</c:v>
                </c:pt>
                <c:pt idx="274">
                  <c:v>37164</c:v>
                </c:pt>
                <c:pt idx="275">
                  <c:v>37195</c:v>
                </c:pt>
                <c:pt idx="276">
                  <c:v>37225</c:v>
                </c:pt>
                <c:pt idx="277">
                  <c:v>37256</c:v>
                </c:pt>
                <c:pt idx="278">
                  <c:v>37287</c:v>
                </c:pt>
                <c:pt idx="279">
                  <c:v>37315</c:v>
                </c:pt>
                <c:pt idx="280">
                  <c:v>37346</c:v>
                </c:pt>
                <c:pt idx="281">
                  <c:v>37376</c:v>
                </c:pt>
                <c:pt idx="282">
                  <c:v>37407</c:v>
                </c:pt>
                <c:pt idx="283">
                  <c:v>37437</c:v>
                </c:pt>
                <c:pt idx="284">
                  <c:v>37468</c:v>
                </c:pt>
                <c:pt idx="285">
                  <c:v>37499</c:v>
                </c:pt>
                <c:pt idx="286">
                  <c:v>37529</c:v>
                </c:pt>
                <c:pt idx="287">
                  <c:v>37560</c:v>
                </c:pt>
                <c:pt idx="288">
                  <c:v>37590</c:v>
                </c:pt>
                <c:pt idx="289">
                  <c:v>37621</c:v>
                </c:pt>
                <c:pt idx="290">
                  <c:v>37652</c:v>
                </c:pt>
                <c:pt idx="291">
                  <c:v>37680</c:v>
                </c:pt>
                <c:pt idx="292">
                  <c:v>37711</c:v>
                </c:pt>
                <c:pt idx="293">
                  <c:v>37741</c:v>
                </c:pt>
                <c:pt idx="294">
                  <c:v>37772</c:v>
                </c:pt>
                <c:pt idx="295">
                  <c:v>37802</c:v>
                </c:pt>
                <c:pt idx="296">
                  <c:v>37833</c:v>
                </c:pt>
                <c:pt idx="297">
                  <c:v>37864</c:v>
                </c:pt>
                <c:pt idx="298">
                  <c:v>37894</c:v>
                </c:pt>
                <c:pt idx="299">
                  <c:v>37925</c:v>
                </c:pt>
                <c:pt idx="300">
                  <c:v>37955</c:v>
                </c:pt>
                <c:pt idx="301">
                  <c:v>37986</c:v>
                </c:pt>
                <c:pt idx="302">
                  <c:v>38017</c:v>
                </c:pt>
                <c:pt idx="303">
                  <c:v>38046</c:v>
                </c:pt>
                <c:pt idx="304">
                  <c:v>38077</c:v>
                </c:pt>
                <c:pt idx="305">
                  <c:v>38107</c:v>
                </c:pt>
                <c:pt idx="306">
                  <c:v>38138</c:v>
                </c:pt>
                <c:pt idx="307">
                  <c:v>38168</c:v>
                </c:pt>
                <c:pt idx="308">
                  <c:v>38199</c:v>
                </c:pt>
                <c:pt idx="309">
                  <c:v>38230</c:v>
                </c:pt>
                <c:pt idx="310">
                  <c:v>38260</c:v>
                </c:pt>
                <c:pt idx="311">
                  <c:v>38291</c:v>
                </c:pt>
                <c:pt idx="312">
                  <c:v>38321</c:v>
                </c:pt>
                <c:pt idx="313">
                  <c:v>38352</c:v>
                </c:pt>
                <c:pt idx="314">
                  <c:v>38383</c:v>
                </c:pt>
                <c:pt idx="315">
                  <c:v>38411</c:v>
                </c:pt>
                <c:pt idx="316">
                  <c:v>38442</c:v>
                </c:pt>
                <c:pt idx="317">
                  <c:v>38472</c:v>
                </c:pt>
                <c:pt idx="318">
                  <c:v>38503</c:v>
                </c:pt>
                <c:pt idx="319">
                  <c:v>38533</c:v>
                </c:pt>
                <c:pt idx="320">
                  <c:v>38564</c:v>
                </c:pt>
                <c:pt idx="321">
                  <c:v>38595</c:v>
                </c:pt>
                <c:pt idx="322">
                  <c:v>38625</c:v>
                </c:pt>
                <c:pt idx="323">
                  <c:v>38656</c:v>
                </c:pt>
                <c:pt idx="324">
                  <c:v>38686</c:v>
                </c:pt>
                <c:pt idx="325">
                  <c:v>38717</c:v>
                </c:pt>
                <c:pt idx="326">
                  <c:v>38748</c:v>
                </c:pt>
                <c:pt idx="327">
                  <c:v>38776</c:v>
                </c:pt>
                <c:pt idx="328">
                  <c:v>38807</c:v>
                </c:pt>
                <c:pt idx="329">
                  <c:v>38837</c:v>
                </c:pt>
                <c:pt idx="330">
                  <c:v>38868</c:v>
                </c:pt>
                <c:pt idx="331">
                  <c:v>38898</c:v>
                </c:pt>
                <c:pt idx="332">
                  <c:v>38929</c:v>
                </c:pt>
                <c:pt idx="333">
                  <c:v>38960</c:v>
                </c:pt>
                <c:pt idx="334">
                  <c:v>38990</c:v>
                </c:pt>
                <c:pt idx="335">
                  <c:v>39021</c:v>
                </c:pt>
                <c:pt idx="336">
                  <c:v>39051</c:v>
                </c:pt>
                <c:pt idx="337">
                  <c:v>39082</c:v>
                </c:pt>
                <c:pt idx="338">
                  <c:v>39113</c:v>
                </c:pt>
                <c:pt idx="339">
                  <c:v>39141</c:v>
                </c:pt>
                <c:pt idx="340">
                  <c:v>39172</c:v>
                </c:pt>
                <c:pt idx="341">
                  <c:v>39202</c:v>
                </c:pt>
                <c:pt idx="342">
                  <c:v>39233</c:v>
                </c:pt>
                <c:pt idx="343">
                  <c:v>39263</c:v>
                </c:pt>
                <c:pt idx="344">
                  <c:v>39294</c:v>
                </c:pt>
                <c:pt idx="345">
                  <c:v>39325</c:v>
                </c:pt>
                <c:pt idx="346">
                  <c:v>39355</c:v>
                </c:pt>
                <c:pt idx="347">
                  <c:v>39386</c:v>
                </c:pt>
                <c:pt idx="348">
                  <c:v>39416</c:v>
                </c:pt>
                <c:pt idx="349">
                  <c:v>39447</c:v>
                </c:pt>
                <c:pt idx="350">
                  <c:v>39478</c:v>
                </c:pt>
                <c:pt idx="351">
                  <c:v>39507</c:v>
                </c:pt>
                <c:pt idx="352">
                  <c:v>39538</c:v>
                </c:pt>
                <c:pt idx="353">
                  <c:v>39568</c:v>
                </c:pt>
                <c:pt idx="354">
                  <c:v>39599</c:v>
                </c:pt>
                <c:pt idx="355">
                  <c:v>39629</c:v>
                </c:pt>
                <c:pt idx="356">
                  <c:v>39660</c:v>
                </c:pt>
                <c:pt idx="357">
                  <c:v>39691</c:v>
                </c:pt>
                <c:pt idx="358">
                  <c:v>39721</c:v>
                </c:pt>
                <c:pt idx="359">
                  <c:v>39752</c:v>
                </c:pt>
                <c:pt idx="360">
                  <c:v>39782</c:v>
                </c:pt>
                <c:pt idx="361">
                  <c:v>39813</c:v>
                </c:pt>
                <c:pt idx="362">
                  <c:v>39844</c:v>
                </c:pt>
                <c:pt idx="363">
                  <c:v>39872</c:v>
                </c:pt>
                <c:pt idx="364">
                  <c:v>39903</c:v>
                </c:pt>
                <c:pt idx="365">
                  <c:v>39933</c:v>
                </c:pt>
                <c:pt idx="366">
                  <c:v>39964</c:v>
                </c:pt>
                <c:pt idx="367">
                  <c:v>39994</c:v>
                </c:pt>
                <c:pt idx="368">
                  <c:v>40025</c:v>
                </c:pt>
                <c:pt idx="369">
                  <c:v>40056</c:v>
                </c:pt>
                <c:pt idx="370">
                  <c:v>40086</c:v>
                </c:pt>
                <c:pt idx="371">
                  <c:v>40092</c:v>
                </c:pt>
                <c:pt idx="372">
                  <c:v>40093</c:v>
                </c:pt>
                <c:pt idx="373">
                  <c:v>40094</c:v>
                </c:pt>
                <c:pt idx="374">
                  <c:v>40095</c:v>
                </c:pt>
                <c:pt idx="375">
                  <c:v>40096</c:v>
                </c:pt>
                <c:pt idx="376">
                  <c:v>40097</c:v>
                </c:pt>
                <c:pt idx="377">
                  <c:v>40098</c:v>
                </c:pt>
                <c:pt idx="378">
                  <c:v>40099</c:v>
                </c:pt>
                <c:pt idx="379">
                  <c:v>40100</c:v>
                </c:pt>
                <c:pt idx="380">
                  <c:v>40101</c:v>
                </c:pt>
                <c:pt idx="381">
                  <c:v>40102</c:v>
                </c:pt>
                <c:pt idx="382">
                  <c:v>40103</c:v>
                </c:pt>
                <c:pt idx="383">
                  <c:v>40104</c:v>
                </c:pt>
                <c:pt idx="384">
                  <c:v>40105</c:v>
                </c:pt>
                <c:pt idx="385">
                  <c:v>40106</c:v>
                </c:pt>
                <c:pt idx="386">
                  <c:v>40107</c:v>
                </c:pt>
                <c:pt idx="387">
                  <c:v>40108</c:v>
                </c:pt>
                <c:pt idx="388">
                  <c:v>40109</c:v>
                </c:pt>
                <c:pt idx="389">
                  <c:v>40110</c:v>
                </c:pt>
                <c:pt idx="390">
                  <c:v>40111</c:v>
                </c:pt>
                <c:pt idx="391">
                  <c:v>40112</c:v>
                </c:pt>
                <c:pt idx="392">
                  <c:v>40113</c:v>
                </c:pt>
                <c:pt idx="393">
                  <c:v>40114</c:v>
                </c:pt>
                <c:pt idx="394">
                  <c:v>40115</c:v>
                </c:pt>
                <c:pt idx="395">
                  <c:v>40116</c:v>
                </c:pt>
                <c:pt idx="396">
                  <c:v>40117</c:v>
                </c:pt>
                <c:pt idx="397">
                  <c:v>40118</c:v>
                </c:pt>
                <c:pt idx="398">
                  <c:v>40119</c:v>
                </c:pt>
                <c:pt idx="399">
                  <c:v>40120</c:v>
                </c:pt>
                <c:pt idx="400">
                  <c:v>40121</c:v>
                </c:pt>
                <c:pt idx="401">
                  <c:v>40122</c:v>
                </c:pt>
                <c:pt idx="402">
                  <c:v>40123</c:v>
                </c:pt>
                <c:pt idx="403">
                  <c:v>40124</c:v>
                </c:pt>
                <c:pt idx="404">
                  <c:v>40125</c:v>
                </c:pt>
                <c:pt idx="405">
                  <c:v>40126</c:v>
                </c:pt>
                <c:pt idx="406">
                  <c:v>40127</c:v>
                </c:pt>
                <c:pt idx="407">
                  <c:v>40128</c:v>
                </c:pt>
                <c:pt idx="408">
                  <c:v>40129</c:v>
                </c:pt>
                <c:pt idx="409">
                  <c:v>40130</c:v>
                </c:pt>
                <c:pt idx="410">
                  <c:v>40131</c:v>
                </c:pt>
                <c:pt idx="411">
                  <c:v>40132</c:v>
                </c:pt>
                <c:pt idx="412">
                  <c:v>40133</c:v>
                </c:pt>
                <c:pt idx="413">
                  <c:v>40134</c:v>
                </c:pt>
                <c:pt idx="414">
                  <c:v>40135</c:v>
                </c:pt>
                <c:pt idx="415">
                  <c:v>40136</c:v>
                </c:pt>
                <c:pt idx="416">
                  <c:v>40137</c:v>
                </c:pt>
                <c:pt idx="417">
                  <c:v>40138</c:v>
                </c:pt>
                <c:pt idx="418">
                  <c:v>40139</c:v>
                </c:pt>
                <c:pt idx="419">
                  <c:v>40140</c:v>
                </c:pt>
                <c:pt idx="420">
                  <c:v>40141</c:v>
                </c:pt>
                <c:pt idx="421">
                  <c:v>40142</c:v>
                </c:pt>
                <c:pt idx="422">
                  <c:v>40143</c:v>
                </c:pt>
                <c:pt idx="423">
                  <c:v>40144</c:v>
                </c:pt>
                <c:pt idx="424">
                  <c:v>40145</c:v>
                </c:pt>
                <c:pt idx="425">
                  <c:v>40146</c:v>
                </c:pt>
                <c:pt idx="426">
                  <c:v>40147</c:v>
                </c:pt>
                <c:pt idx="427">
                  <c:v>40148</c:v>
                </c:pt>
                <c:pt idx="428">
                  <c:v>40149</c:v>
                </c:pt>
                <c:pt idx="429">
                  <c:v>40150</c:v>
                </c:pt>
                <c:pt idx="430">
                  <c:v>40151</c:v>
                </c:pt>
                <c:pt idx="431">
                  <c:v>40152</c:v>
                </c:pt>
                <c:pt idx="432">
                  <c:v>40153</c:v>
                </c:pt>
                <c:pt idx="433">
                  <c:v>40154</c:v>
                </c:pt>
                <c:pt idx="434">
                  <c:v>40155</c:v>
                </c:pt>
                <c:pt idx="435">
                  <c:v>40156</c:v>
                </c:pt>
                <c:pt idx="436">
                  <c:v>40157</c:v>
                </c:pt>
                <c:pt idx="437">
                  <c:v>40158</c:v>
                </c:pt>
                <c:pt idx="438">
                  <c:v>40159</c:v>
                </c:pt>
                <c:pt idx="439">
                  <c:v>40160</c:v>
                </c:pt>
                <c:pt idx="440">
                  <c:v>40161</c:v>
                </c:pt>
                <c:pt idx="441">
                  <c:v>40162</c:v>
                </c:pt>
                <c:pt idx="442">
                  <c:v>40163</c:v>
                </c:pt>
                <c:pt idx="443">
                  <c:v>40164</c:v>
                </c:pt>
                <c:pt idx="444">
                  <c:v>40165</c:v>
                </c:pt>
                <c:pt idx="445">
                  <c:v>40166</c:v>
                </c:pt>
                <c:pt idx="446">
                  <c:v>40167</c:v>
                </c:pt>
                <c:pt idx="447">
                  <c:v>40168</c:v>
                </c:pt>
                <c:pt idx="448">
                  <c:v>40169</c:v>
                </c:pt>
                <c:pt idx="449">
                  <c:v>40170</c:v>
                </c:pt>
                <c:pt idx="450">
                  <c:v>40171</c:v>
                </c:pt>
                <c:pt idx="451">
                  <c:v>40172</c:v>
                </c:pt>
                <c:pt idx="452">
                  <c:v>40173</c:v>
                </c:pt>
                <c:pt idx="453">
                  <c:v>40174</c:v>
                </c:pt>
                <c:pt idx="454">
                  <c:v>40175</c:v>
                </c:pt>
                <c:pt idx="455">
                  <c:v>40176</c:v>
                </c:pt>
                <c:pt idx="456">
                  <c:v>40177</c:v>
                </c:pt>
                <c:pt idx="457">
                  <c:v>40178</c:v>
                </c:pt>
                <c:pt idx="458">
                  <c:v>40179</c:v>
                </c:pt>
                <c:pt idx="459">
                  <c:v>40180</c:v>
                </c:pt>
                <c:pt idx="460">
                  <c:v>40181</c:v>
                </c:pt>
                <c:pt idx="461">
                  <c:v>40182</c:v>
                </c:pt>
                <c:pt idx="462">
                  <c:v>40183</c:v>
                </c:pt>
                <c:pt idx="463">
                  <c:v>40184</c:v>
                </c:pt>
                <c:pt idx="464">
                  <c:v>40185</c:v>
                </c:pt>
                <c:pt idx="465">
                  <c:v>40186</c:v>
                </c:pt>
                <c:pt idx="466">
                  <c:v>40187</c:v>
                </c:pt>
                <c:pt idx="467">
                  <c:v>40188</c:v>
                </c:pt>
                <c:pt idx="468">
                  <c:v>40189</c:v>
                </c:pt>
                <c:pt idx="469">
                  <c:v>40190</c:v>
                </c:pt>
                <c:pt idx="470">
                  <c:v>40191</c:v>
                </c:pt>
                <c:pt idx="471">
                  <c:v>40192</c:v>
                </c:pt>
                <c:pt idx="472">
                  <c:v>40193</c:v>
                </c:pt>
                <c:pt idx="473">
                  <c:v>40194</c:v>
                </c:pt>
                <c:pt idx="474">
                  <c:v>40195</c:v>
                </c:pt>
                <c:pt idx="475">
                  <c:v>40196</c:v>
                </c:pt>
                <c:pt idx="476">
                  <c:v>40197</c:v>
                </c:pt>
                <c:pt idx="477">
                  <c:v>40198</c:v>
                </c:pt>
                <c:pt idx="478">
                  <c:v>40199</c:v>
                </c:pt>
                <c:pt idx="479">
                  <c:v>40200</c:v>
                </c:pt>
                <c:pt idx="480">
                  <c:v>40201</c:v>
                </c:pt>
                <c:pt idx="481">
                  <c:v>40202</c:v>
                </c:pt>
                <c:pt idx="482">
                  <c:v>40203</c:v>
                </c:pt>
                <c:pt idx="483">
                  <c:v>40204</c:v>
                </c:pt>
                <c:pt idx="484">
                  <c:v>40205</c:v>
                </c:pt>
                <c:pt idx="485">
                  <c:v>40206</c:v>
                </c:pt>
                <c:pt idx="486">
                  <c:v>40207</c:v>
                </c:pt>
                <c:pt idx="487">
                  <c:v>40208</c:v>
                </c:pt>
                <c:pt idx="488">
                  <c:v>40209</c:v>
                </c:pt>
                <c:pt idx="489">
                  <c:v>40210</c:v>
                </c:pt>
                <c:pt idx="490">
                  <c:v>40211</c:v>
                </c:pt>
                <c:pt idx="491">
                  <c:v>40212</c:v>
                </c:pt>
                <c:pt idx="492">
                  <c:v>40213</c:v>
                </c:pt>
                <c:pt idx="493">
                  <c:v>40214</c:v>
                </c:pt>
                <c:pt idx="494">
                  <c:v>40215</c:v>
                </c:pt>
                <c:pt idx="495">
                  <c:v>40216</c:v>
                </c:pt>
                <c:pt idx="496">
                  <c:v>40217</c:v>
                </c:pt>
                <c:pt idx="497">
                  <c:v>40218</c:v>
                </c:pt>
                <c:pt idx="498">
                  <c:v>40219</c:v>
                </c:pt>
                <c:pt idx="499">
                  <c:v>40220</c:v>
                </c:pt>
                <c:pt idx="500">
                  <c:v>40221</c:v>
                </c:pt>
                <c:pt idx="501">
                  <c:v>40222</c:v>
                </c:pt>
                <c:pt idx="502">
                  <c:v>40223</c:v>
                </c:pt>
                <c:pt idx="503">
                  <c:v>40224</c:v>
                </c:pt>
                <c:pt idx="504">
                  <c:v>40225</c:v>
                </c:pt>
                <c:pt idx="505">
                  <c:v>40226</c:v>
                </c:pt>
                <c:pt idx="506">
                  <c:v>40227</c:v>
                </c:pt>
                <c:pt idx="507">
                  <c:v>40228</c:v>
                </c:pt>
                <c:pt idx="508">
                  <c:v>40229</c:v>
                </c:pt>
                <c:pt idx="509">
                  <c:v>40230</c:v>
                </c:pt>
                <c:pt idx="510">
                  <c:v>40231</c:v>
                </c:pt>
                <c:pt idx="511">
                  <c:v>40232</c:v>
                </c:pt>
                <c:pt idx="512">
                  <c:v>40233</c:v>
                </c:pt>
                <c:pt idx="513">
                  <c:v>40234</c:v>
                </c:pt>
                <c:pt idx="514">
                  <c:v>40235</c:v>
                </c:pt>
                <c:pt idx="515">
                  <c:v>40236</c:v>
                </c:pt>
                <c:pt idx="516">
                  <c:v>40237</c:v>
                </c:pt>
                <c:pt idx="517">
                  <c:v>40238</c:v>
                </c:pt>
                <c:pt idx="518">
                  <c:v>40239</c:v>
                </c:pt>
                <c:pt idx="519">
                  <c:v>40240</c:v>
                </c:pt>
                <c:pt idx="520">
                  <c:v>40241</c:v>
                </c:pt>
                <c:pt idx="521">
                  <c:v>40242</c:v>
                </c:pt>
                <c:pt idx="522">
                  <c:v>40243</c:v>
                </c:pt>
                <c:pt idx="523">
                  <c:v>40244</c:v>
                </c:pt>
                <c:pt idx="524">
                  <c:v>40245</c:v>
                </c:pt>
                <c:pt idx="525">
                  <c:v>40246</c:v>
                </c:pt>
                <c:pt idx="526">
                  <c:v>40247</c:v>
                </c:pt>
                <c:pt idx="527">
                  <c:v>40248</c:v>
                </c:pt>
                <c:pt idx="528">
                  <c:v>40249</c:v>
                </c:pt>
                <c:pt idx="529">
                  <c:v>40250</c:v>
                </c:pt>
                <c:pt idx="530">
                  <c:v>40251</c:v>
                </c:pt>
                <c:pt idx="531">
                  <c:v>40252</c:v>
                </c:pt>
                <c:pt idx="532">
                  <c:v>40253</c:v>
                </c:pt>
                <c:pt idx="533">
                  <c:v>40254</c:v>
                </c:pt>
                <c:pt idx="534">
                  <c:v>40255</c:v>
                </c:pt>
                <c:pt idx="535">
                  <c:v>40256</c:v>
                </c:pt>
                <c:pt idx="536">
                  <c:v>40257</c:v>
                </c:pt>
                <c:pt idx="537">
                  <c:v>40258</c:v>
                </c:pt>
                <c:pt idx="538">
                  <c:v>40259</c:v>
                </c:pt>
                <c:pt idx="539">
                  <c:v>40260</c:v>
                </c:pt>
                <c:pt idx="540">
                  <c:v>40261</c:v>
                </c:pt>
                <c:pt idx="541">
                  <c:v>40262</c:v>
                </c:pt>
                <c:pt idx="542">
                  <c:v>40263</c:v>
                </c:pt>
                <c:pt idx="543">
                  <c:v>40264</c:v>
                </c:pt>
                <c:pt idx="544">
                  <c:v>40265</c:v>
                </c:pt>
                <c:pt idx="545">
                  <c:v>40266</c:v>
                </c:pt>
                <c:pt idx="546">
                  <c:v>40267</c:v>
                </c:pt>
                <c:pt idx="547">
                  <c:v>40268</c:v>
                </c:pt>
                <c:pt idx="548">
                  <c:v>40269</c:v>
                </c:pt>
                <c:pt idx="549">
                  <c:v>40270</c:v>
                </c:pt>
                <c:pt idx="550">
                  <c:v>40271</c:v>
                </c:pt>
                <c:pt idx="551">
                  <c:v>40272</c:v>
                </c:pt>
                <c:pt idx="552">
                  <c:v>40273</c:v>
                </c:pt>
                <c:pt idx="553">
                  <c:v>40274</c:v>
                </c:pt>
                <c:pt idx="554">
                  <c:v>40275</c:v>
                </c:pt>
                <c:pt idx="555">
                  <c:v>40276</c:v>
                </c:pt>
                <c:pt idx="556">
                  <c:v>40277</c:v>
                </c:pt>
                <c:pt idx="557">
                  <c:v>40278</c:v>
                </c:pt>
                <c:pt idx="558">
                  <c:v>40279</c:v>
                </c:pt>
                <c:pt idx="559">
                  <c:v>40280</c:v>
                </c:pt>
                <c:pt idx="560">
                  <c:v>40281</c:v>
                </c:pt>
                <c:pt idx="561">
                  <c:v>40282</c:v>
                </c:pt>
                <c:pt idx="562">
                  <c:v>40283</c:v>
                </c:pt>
                <c:pt idx="563">
                  <c:v>40284</c:v>
                </c:pt>
                <c:pt idx="564">
                  <c:v>40285</c:v>
                </c:pt>
                <c:pt idx="565">
                  <c:v>40286</c:v>
                </c:pt>
                <c:pt idx="566">
                  <c:v>40287</c:v>
                </c:pt>
                <c:pt idx="567">
                  <c:v>40288</c:v>
                </c:pt>
                <c:pt idx="568">
                  <c:v>40289</c:v>
                </c:pt>
                <c:pt idx="569">
                  <c:v>40290</c:v>
                </c:pt>
                <c:pt idx="570">
                  <c:v>40291</c:v>
                </c:pt>
                <c:pt idx="571">
                  <c:v>40292</c:v>
                </c:pt>
                <c:pt idx="572">
                  <c:v>40293</c:v>
                </c:pt>
                <c:pt idx="573">
                  <c:v>40294</c:v>
                </c:pt>
                <c:pt idx="574">
                  <c:v>40295</c:v>
                </c:pt>
                <c:pt idx="575">
                  <c:v>40296</c:v>
                </c:pt>
                <c:pt idx="576">
                  <c:v>40297</c:v>
                </c:pt>
                <c:pt idx="577">
                  <c:v>40298</c:v>
                </c:pt>
                <c:pt idx="578">
                  <c:v>40299</c:v>
                </c:pt>
                <c:pt idx="579">
                  <c:v>40300</c:v>
                </c:pt>
                <c:pt idx="580">
                  <c:v>40301</c:v>
                </c:pt>
                <c:pt idx="581">
                  <c:v>40302</c:v>
                </c:pt>
                <c:pt idx="582">
                  <c:v>40303</c:v>
                </c:pt>
                <c:pt idx="583">
                  <c:v>40304</c:v>
                </c:pt>
                <c:pt idx="584">
                  <c:v>40305</c:v>
                </c:pt>
                <c:pt idx="585">
                  <c:v>40306</c:v>
                </c:pt>
                <c:pt idx="586">
                  <c:v>40307</c:v>
                </c:pt>
                <c:pt idx="587">
                  <c:v>40308</c:v>
                </c:pt>
                <c:pt idx="588">
                  <c:v>40309</c:v>
                </c:pt>
                <c:pt idx="589">
                  <c:v>40310</c:v>
                </c:pt>
                <c:pt idx="590">
                  <c:v>40311</c:v>
                </c:pt>
                <c:pt idx="591">
                  <c:v>40312</c:v>
                </c:pt>
                <c:pt idx="592">
                  <c:v>40313</c:v>
                </c:pt>
                <c:pt idx="593">
                  <c:v>40314</c:v>
                </c:pt>
                <c:pt idx="594">
                  <c:v>40315</c:v>
                </c:pt>
                <c:pt idx="595">
                  <c:v>40316</c:v>
                </c:pt>
                <c:pt idx="596">
                  <c:v>40317</c:v>
                </c:pt>
                <c:pt idx="597">
                  <c:v>40318</c:v>
                </c:pt>
                <c:pt idx="598">
                  <c:v>40319</c:v>
                </c:pt>
                <c:pt idx="599">
                  <c:v>40320</c:v>
                </c:pt>
                <c:pt idx="600">
                  <c:v>40321</c:v>
                </c:pt>
                <c:pt idx="601">
                  <c:v>40322</c:v>
                </c:pt>
                <c:pt idx="602">
                  <c:v>40323</c:v>
                </c:pt>
                <c:pt idx="603">
                  <c:v>40324</c:v>
                </c:pt>
                <c:pt idx="604">
                  <c:v>40325</c:v>
                </c:pt>
                <c:pt idx="605">
                  <c:v>40326</c:v>
                </c:pt>
                <c:pt idx="606">
                  <c:v>40327</c:v>
                </c:pt>
                <c:pt idx="607">
                  <c:v>40328</c:v>
                </c:pt>
                <c:pt idx="608">
                  <c:v>40329</c:v>
                </c:pt>
                <c:pt idx="609">
                  <c:v>40330</c:v>
                </c:pt>
                <c:pt idx="610">
                  <c:v>40331</c:v>
                </c:pt>
                <c:pt idx="611">
                  <c:v>40332</c:v>
                </c:pt>
                <c:pt idx="612">
                  <c:v>40333</c:v>
                </c:pt>
                <c:pt idx="613">
                  <c:v>40334</c:v>
                </c:pt>
                <c:pt idx="614">
                  <c:v>40335</c:v>
                </c:pt>
                <c:pt idx="615">
                  <c:v>40336</c:v>
                </c:pt>
                <c:pt idx="616">
                  <c:v>40337</c:v>
                </c:pt>
                <c:pt idx="617">
                  <c:v>40338</c:v>
                </c:pt>
                <c:pt idx="618">
                  <c:v>40339</c:v>
                </c:pt>
                <c:pt idx="619">
                  <c:v>40340</c:v>
                </c:pt>
                <c:pt idx="620">
                  <c:v>40341</c:v>
                </c:pt>
                <c:pt idx="621">
                  <c:v>40342</c:v>
                </c:pt>
                <c:pt idx="622">
                  <c:v>40343</c:v>
                </c:pt>
                <c:pt idx="623">
                  <c:v>40344</c:v>
                </c:pt>
                <c:pt idx="624">
                  <c:v>40345</c:v>
                </c:pt>
                <c:pt idx="625">
                  <c:v>40346</c:v>
                </c:pt>
                <c:pt idx="626">
                  <c:v>40347</c:v>
                </c:pt>
                <c:pt idx="627">
                  <c:v>40348</c:v>
                </c:pt>
                <c:pt idx="628">
                  <c:v>40349</c:v>
                </c:pt>
                <c:pt idx="629">
                  <c:v>40350</c:v>
                </c:pt>
                <c:pt idx="630">
                  <c:v>40351</c:v>
                </c:pt>
                <c:pt idx="631">
                  <c:v>40352</c:v>
                </c:pt>
                <c:pt idx="632">
                  <c:v>40353</c:v>
                </c:pt>
                <c:pt idx="633">
                  <c:v>40354</c:v>
                </c:pt>
                <c:pt idx="634">
                  <c:v>40355</c:v>
                </c:pt>
                <c:pt idx="635">
                  <c:v>40356</c:v>
                </c:pt>
                <c:pt idx="636">
                  <c:v>40357</c:v>
                </c:pt>
                <c:pt idx="637">
                  <c:v>40358</c:v>
                </c:pt>
                <c:pt idx="638">
                  <c:v>40359</c:v>
                </c:pt>
                <c:pt idx="639">
                  <c:v>40360</c:v>
                </c:pt>
                <c:pt idx="640">
                  <c:v>40361</c:v>
                </c:pt>
                <c:pt idx="641">
                  <c:v>40362</c:v>
                </c:pt>
                <c:pt idx="642">
                  <c:v>40363</c:v>
                </c:pt>
                <c:pt idx="643">
                  <c:v>40364</c:v>
                </c:pt>
                <c:pt idx="644">
                  <c:v>40365</c:v>
                </c:pt>
                <c:pt idx="645">
                  <c:v>40366</c:v>
                </c:pt>
                <c:pt idx="646">
                  <c:v>40367</c:v>
                </c:pt>
                <c:pt idx="647">
                  <c:v>40368</c:v>
                </c:pt>
                <c:pt idx="648">
                  <c:v>40369</c:v>
                </c:pt>
                <c:pt idx="649">
                  <c:v>40370</c:v>
                </c:pt>
                <c:pt idx="650">
                  <c:v>40371</c:v>
                </c:pt>
                <c:pt idx="651">
                  <c:v>40372</c:v>
                </c:pt>
                <c:pt idx="652">
                  <c:v>40373</c:v>
                </c:pt>
                <c:pt idx="653">
                  <c:v>40374</c:v>
                </c:pt>
                <c:pt idx="654">
                  <c:v>40375</c:v>
                </c:pt>
                <c:pt idx="655">
                  <c:v>40376</c:v>
                </c:pt>
                <c:pt idx="656">
                  <c:v>40377</c:v>
                </c:pt>
                <c:pt idx="657">
                  <c:v>40378</c:v>
                </c:pt>
                <c:pt idx="658">
                  <c:v>40379</c:v>
                </c:pt>
                <c:pt idx="659">
                  <c:v>40380</c:v>
                </c:pt>
                <c:pt idx="660">
                  <c:v>40381</c:v>
                </c:pt>
                <c:pt idx="661">
                  <c:v>40382</c:v>
                </c:pt>
                <c:pt idx="662">
                  <c:v>40383</c:v>
                </c:pt>
                <c:pt idx="663">
                  <c:v>40384</c:v>
                </c:pt>
                <c:pt idx="664">
                  <c:v>40385</c:v>
                </c:pt>
                <c:pt idx="665">
                  <c:v>40386</c:v>
                </c:pt>
                <c:pt idx="666">
                  <c:v>40387</c:v>
                </c:pt>
                <c:pt idx="667">
                  <c:v>40388</c:v>
                </c:pt>
                <c:pt idx="668">
                  <c:v>40389</c:v>
                </c:pt>
                <c:pt idx="669">
                  <c:v>40390</c:v>
                </c:pt>
                <c:pt idx="670">
                  <c:v>40391</c:v>
                </c:pt>
                <c:pt idx="671">
                  <c:v>40392</c:v>
                </c:pt>
                <c:pt idx="672">
                  <c:v>40393</c:v>
                </c:pt>
                <c:pt idx="673">
                  <c:v>40394</c:v>
                </c:pt>
                <c:pt idx="674">
                  <c:v>40395</c:v>
                </c:pt>
                <c:pt idx="675">
                  <c:v>40396</c:v>
                </c:pt>
                <c:pt idx="676">
                  <c:v>40397</c:v>
                </c:pt>
                <c:pt idx="677">
                  <c:v>40398</c:v>
                </c:pt>
                <c:pt idx="678">
                  <c:v>40399</c:v>
                </c:pt>
                <c:pt idx="679">
                  <c:v>40400</c:v>
                </c:pt>
                <c:pt idx="680">
                  <c:v>40401</c:v>
                </c:pt>
                <c:pt idx="681">
                  <c:v>40402</c:v>
                </c:pt>
                <c:pt idx="682">
                  <c:v>40403</c:v>
                </c:pt>
                <c:pt idx="683">
                  <c:v>40404</c:v>
                </c:pt>
                <c:pt idx="684">
                  <c:v>40405</c:v>
                </c:pt>
                <c:pt idx="685">
                  <c:v>40406</c:v>
                </c:pt>
                <c:pt idx="686">
                  <c:v>40407</c:v>
                </c:pt>
                <c:pt idx="687">
                  <c:v>40408</c:v>
                </c:pt>
                <c:pt idx="688">
                  <c:v>40409</c:v>
                </c:pt>
                <c:pt idx="689">
                  <c:v>40410</c:v>
                </c:pt>
                <c:pt idx="690">
                  <c:v>40411</c:v>
                </c:pt>
                <c:pt idx="691">
                  <c:v>40412</c:v>
                </c:pt>
                <c:pt idx="692">
                  <c:v>40413</c:v>
                </c:pt>
                <c:pt idx="693">
                  <c:v>40414</c:v>
                </c:pt>
                <c:pt idx="694">
                  <c:v>40415</c:v>
                </c:pt>
                <c:pt idx="695">
                  <c:v>40416</c:v>
                </c:pt>
                <c:pt idx="696">
                  <c:v>40417</c:v>
                </c:pt>
                <c:pt idx="697">
                  <c:v>40418</c:v>
                </c:pt>
                <c:pt idx="698">
                  <c:v>40419</c:v>
                </c:pt>
                <c:pt idx="699">
                  <c:v>40420</c:v>
                </c:pt>
                <c:pt idx="700">
                  <c:v>40421</c:v>
                </c:pt>
                <c:pt idx="701">
                  <c:v>40422</c:v>
                </c:pt>
                <c:pt idx="702">
                  <c:v>40423</c:v>
                </c:pt>
                <c:pt idx="703">
                  <c:v>40424</c:v>
                </c:pt>
                <c:pt idx="704">
                  <c:v>40425</c:v>
                </c:pt>
                <c:pt idx="705">
                  <c:v>40426</c:v>
                </c:pt>
                <c:pt idx="706">
                  <c:v>40427</c:v>
                </c:pt>
                <c:pt idx="707">
                  <c:v>40428</c:v>
                </c:pt>
                <c:pt idx="708">
                  <c:v>40429</c:v>
                </c:pt>
                <c:pt idx="709">
                  <c:v>40430</c:v>
                </c:pt>
                <c:pt idx="710">
                  <c:v>40431</c:v>
                </c:pt>
                <c:pt idx="711">
                  <c:v>40432</c:v>
                </c:pt>
                <c:pt idx="712">
                  <c:v>40433</c:v>
                </c:pt>
                <c:pt idx="713">
                  <c:v>40434</c:v>
                </c:pt>
                <c:pt idx="714">
                  <c:v>40435</c:v>
                </c:pt>
                <c:pt idx="715">
                  <c:v>40436</c:v>
                </c:pt>
                <c:pt idx="716">
                  <c:v>40437</c:v>
                </c:pt>
                <c:pt idx="717">
                  <c:v>40438</c:v>
                </c:pt>
                <c:pt idx="718">
                  <c:v>40439</c:v>
                </c:pt>
                <c:pt idx="719">
                  <c:v>40440</c:v>
                </c:pt>
                <c:pt idx="720">
                  <c:v>40441</c:v>
                </c:pt>
                <c:pt idx="721">
                  <c:v>40442</c:v>
                </c:pt>
                <c:pt idx="722">
                  <c:v>40443</c:v>
                </c:pt>
                <c:pt idx="723">
                  <c:v>40444</c:v>
                </c:pt>
                <c:pt idx="724">
                  <c:v>40445</c:v>
                </c:pt>
                <c:pt idx="725">
                  <c:v>40446</c:v>
                </c:pt>
                <c:pt idx="726">
                  <c:v>40447</c:v>
                </c:pt>
                <c:pt idx="727">
                  <c:v>40448</c:v>
                </c:pt>
                <c:pt idx="728">
                  <c:v>40449</c:v>
                </c:pt>
                <c:pt idx="729">
                  <c:v>40450</c:v>
                </c:pt>
                <c:pt idx="730">
                  <c:v>40451</c:v>
                </c:pt>
                <c:pt idx="731">
                  <c:v>40452</c:v>
                </c:pt>
                <c:pt idx="732">
                  <c:v>40453</c:v>
                </c:pt>
                <c:pt idx="733">
                  <c:v>40454</c:v>
                </c:pt>
                <c:pt idx="734">
                  <c:v>40455</c:v>
                </c:pt>
                <c:pt idx="735">
                  <c:v>40456</c:v>
                </c:pt>
                <c:pt idx="736">
                  <c:v>40457</c:v>
                </c:pt>
                <c:pt idx="737">
                  <c:v>40458</c:v>
                </c:pt>
                <c:pt idx="738">
                  <c:v>40459</c:v>
                </c:pt>
                <c:pt idx="739">
                  <c:v>40460</c:v>
                </c:pt>
                <c:pt idx="740">
                  <c:v>40461</c:v>
                </c:pt>
                <c:pt idx="741">
                  <c:v>40462</c:v>
                </c:pt>
                <c:pt idx="742">
                  <c:v>40463</c:v>
                </c:pt>
                <c:pt idx="743">
                  <c:v>40464</c:v>
                </c:pt>
                <c:pt idx="744">
                  <c:v>40465</c:v>
                </c:pt>
                <c:pt idx="745">
                  <c:v>40466</c:v>
                </c:pt>
                <c:pt idx="746">
                  <c:v>40467</c:v>
                </c:pt>
                <c:pt idx="747">
                  <c:v>40468</c:v>
                </c:pt>
                <c:pt idx="748">
                  <c:v>40469</c:v>
                </c:pt>
                <c:pt idx="749">
                  <c:v>40470</c:v>
                </c:pt>
                <c:pt idx="750">
                  <c:v>40471</c:v>
                </c:pt>
                <c:pt idx="751">
                  <c:v>40472</c:v>
                </c:pt>
                <c:pt idx="752">
                  <c:v>40473</c:v>
                </c:pt>
                <c:pt idx="753">
                  <c:v>40474</c:v>
                </c:pt>
                <c:pt idx="754">
                  <c:v>40475</c:v>
                </c:pt>
                <c:pt idx="755">
                  <c:v>40476</c:v>
                </c:pt>
                <c:pt idx="756">
                  <c:v>40477</c:v>
                </c:pt>
                <c:pt idx="757">
                  <c:v>40478</c:v>
                </c:pt>
                <c:pt idx="758">
                  <c:v>40479</c:v>
                </c:pt>
                <c:pt idx="759">
                  <c:v>40480</c:v>
                </c:pt>
                <c:pt idx="760">
                  <c:v>40481</c:v>
                </c:pt>
                <c:pt idx="761">
                  <c:v>40482</c:v>
                </c:pt>
                <c:pt idx="762">
                  <c:v>40483</c:v>
                </c:pt>
                <c:pt idx="763">
                  <c:v>40484</c:v>
                </c:pt>
                <c:pt idx="764">
                  <c:v>40485</c:v>
                </c:pt>
                <c:pt idx="765">
                  <c:v>40486</c:v>
                </c:pt>
                <c:pt idx="766">
                  <c:v>40487</c:v>
                </c:pt>
                <c:pt idx="767">
                  <c:v>40488</c:v>
                </c:pt>
                <c:pt idx="768">
                  <c:v>40489</c:v>
                </c:pt>
                <c:pt idx="769">
                  <c:v>40490</c:v>
                </c:pt>
                <c:pt idx="770">
                  <c:v>40491</c:v>
                </c:pt>
                <c:pt idx="771">
                  <c:v>40492</c:v>
                </c:pt>
                <c:pt idx="772">
                  <c:v>40493</c:v>
                </c:pt>
                <c:pt idx="773">
                  <c:v>40494</c:v>
                </c:pt>
                <c:pt idx="774">
                  <c:v>40495</c:v>
                </c:pt>
                <c:pt idx="775">
                  <c:v>40496</c:v>
                </c:pt>
                <c:pt idx="776">
                  <c:v>40497</c:v>
                </c:pt>
                <c:pt idx="777">
                  <c:v>40498</c:v>
                </c:pt>
                <c:pt idx="778">
                  <c:v>40499</c:v>
                </c:pt>
                <c:pt idx="779">
                  <c:v>40500</c:v>
                </c:pt>
                <c:pt idx="780">
                  <c:v>40501</c:v>
                </c:pt>
                <c:pt idx="781">
                  <c:v>40502</c:v>
                </c:pt>
                <c:pt idx="782">
                  <c:v>40503</c:v>
                </c:pt>
                <c:pt idx="783">
                  <c:v>40504</c:v>
                </c:pt>
                <c:pt idx="784">
                  <c:v>40505</c:v>
                </c:pt>
                <c:pt idx="785">
                  <c:v>40506</c:v>
                </c:pt>
                <c:pt idx="786">
                  <c:v>40507</c:v>
                </c:pt>
                <c:pt idx="787">
                  <c:v>40508</c:v>
                </c:pt>
                <c:pt idx="788">
                  <c:v>40509</c:v>
                </c:pt>
                <c:pt idx="789">
                  <c:v>40510</c:v>
                </c:pt>
                <c:pt idx="790">
                  <c:v>40511</c:v>
                </c:pt>
                <c:pt idx="791">
                  <c:v>40512</c:v>
                </c:pt>
                <c:pt idx="792">
                  <c:v>40513</c:v>
                </c:pt>
                <c:pt idx="793">
                  <c:v>40514</c:v>
                </c:pt>
                <c:pt idx="794">
                  <c:v>40515</c:v>
                </c:pt>
                <c:pt idx="795">
                  <c:v>40516</c:v>
                </c:pt>
                <c:pt idx="796">
                  <c:v>40517</c:v>
                </c:pt>
                <c:pt idx="797">
                  <c:v>40518</c:v>
                </c:pt>
                <c:pt idx="798">
                  <c:v>40519</c:v>
                </c:pt>
                <c:pt idx="799">
                  <c:v>40520</c:v>
                </c:pt>
                <c:pt idx="800">
                  <c:v>40521</c:v>
                </c:pt>
                <c:pt idx="801">
                  <c:v>40522</c:v>
                </c:pt>
                <c:pt idx="802">
                  <c:v>40523</c:v>
                </c:pt>
                <c:pt idx="803">
                  <c:v>40524</c:v>
                </c:pt>
                <c:pt idx="804">
                  <c:v>40525</c:v>
                </c:pt>
                <c:pt idx="805">
                  <c:v>40526</c:v>
                </c:pt>
                <c:pt idx="806">
                  <c:v>40527</c:v>
                </c:pt>
                <c:pt idx="807">
                  <c:v>40528</c:v>
                </c:pt>
                <c:pt idx="808">
                  <c:v>40529</c:v>
                </c:pt>
                <c:pt idx="809">
                  <c:v>40530</c:v>
                </c:pt>
                <c:pt idx="810">
                  <c:v>40531</c:v>
                </c:pt>
                <c:pt idx="811">
                  <c:v>40532</c:v>
                </c:pt>
                <c:pt idx="812">
                  <c:v>40533</c:v>
                </c:pt>
                <c:pt idx="813">
                  <c:v>40534</c:v>
                </c:pt>
                <c:pt idx="814">
                  <c:v>40535</c:v>
                </c:pt>
                <c:pt idx="815">
                  <c:v>40536</c:v>
                </c:pt>
                <c:pt idx="816">
                  <c:v>40537</c:v>
                </c:pt>
                <c:pt idx="817">
                  <c:v>40538</c:v>
                </c:pt>
                <c:pt idx="818">
                  <c:v>40539</c:v>
                </c:pt>
                <c:pt idx="819">
                  <c:v>40540</c:v>
                </c:pt>
                <c:pt idx="820">
                  <c:v>40541</c:v>
                </c:pt>
                <c:pt idx="821">
                  <c:v>40542</c:v>
                </c:pt>
                <c:pt idx="822">
                  <c:v>40543</c:v>
                </c:pt>
                <c:pt idx="823">
                  <c:v>40544</c:v>
                </c:pt>
                <c:pt idx="824">
                  <c:v>40545</c:v>
                </c:pt>
                <c:pt idx="825">
                  <c:v>40546</c:v>
                </c:pt>
                <c:pt idx="826">
                  <c:v>40547</c:v>
                </c:pt>
                <c:pt idx="827">
                  <c:v>40548</c:v>
                </c:pt>
                <c:pt idx="828">
                  <c:v>40549</c:v>
                </c:pt>
                <c:pt idx="829">
                  <c:v>40550</c:v>
                </c:pt>
                <c:pt idx="830">
                  <c:v>40551</c:v>
                </c:pt>
                <c:pt idx="831">
                  <c:v>40552</c:v>
                </c:pt>
                <c:pt idx="832">
                  <c:v>40553</c:v>
                </c:pt>
                <c:pt idx="833">
                  <c:v>40554</c:v>
                </c:pt>
                <c:pt idx="834">
                  <c:v>40555</c:v>
                </c:pt>
                <c:pt idx="835">
                  <c:v>40556</c:v>
                </c:pt>
                <c:pt idx="836">
                  <c:v>40557</c:v>
                </c:pt>
                <c:pt idx="837">
                  <c:v>40558</c:v>
                </c:pt>
                <c:pt idx="838">
                  <c:v>40559</c:v>
                </c:pt>
                <c:pt idx="839">
                  <c:v>40560</c:v>
                </c:pt>
                <c:pt idx="840">
                  <c:v>40561</c:v>
                </c:pt>
                <c:pt idx="841">
                  <c:v>40562</c:v>
                </c:pt>
                <c:pt idx="842">
                  <c:v>40563</c:v>
                </c:pt>
                <c:pt idx="843">
                  <c:v>40564</c:v>
                </c:pt>
                <c:pt idx="844">
                  <c:v>40565</c:v>
                </c:pt>
                <c:pt idx="845">
                  <c:v>40566</c:v>
                </c:pt>
                <c:pt idx="846">
                  <c:v>40567</c:v>
                </c:pt>
                <c:pt idx="847">
                  <c:v>40568</c:v>
                </c:pt>
                <c:pt idx="848">
                  <c:v>40569</c:v>
                </c:pt>
                <c:pt idx="849">
                  <c:v>40570</c:v>
                </c:pt>
                <c:pt idx="850">
                  <c:v>40571</c:v>
                </c:pt>
                <c:pt idx="851">
                  <c:v>40572</c:v>
                </c:pt>
                <c:pt idx="852">
                  <c:v>40573</c:v>
                </c:pt>
                <c:pt idx="853">
                  <c:v>40574</c:v>
                </c:pt>
                <c:pt idx="854">
                  <c:v>40575</c:v>
                </c:pt>
                <c:pt idx="855">
                  <c:v>40576</c:v>
                </c:pt>
                <c:pt idx="856">
                  <c:v>40577</c:v>
                </c:pt>
                <c:pt idx="857">
                  <c:v>40578</c:v>
                </c:pt>
                <c:pt idx="858">
                  <c:v>40579</c:v>
                </c:pt>
                <c:pt idx="859">
                  <c:v>40580</c:v>
                </c:pt>
                <c:pt idx="860">
                  <c:v>40581</c:v>
                </c:pt>
                <c:pt idx="861">
                  <c:v>40582</c:v>
                </c:pt>
                <c:pt idx="862">
                  <c:v>40583</c:v>
                </c:pt>
                <c:pt idx="863">
                  <c:v>40584</c:v>
                </c:pt>
                <c:pt idx="864">
                  <c:v>40585</c:v>
                </c:pt>
                <c:pt idx="865">
                  <c:v>40586</c:v>
                </c:pt>
                <c:pt idx="866">
                  <c:v>40587</c:v>
                </c:pt>
                <c:pt idx="867">
                  <c:v>40588</c:v>
                </c:pt>
                <c:pt idx="868">
                  <c:v>40589</c:v>
                </c:pt>
                <c:pt idx="869">
                  <c:v>40590</c:v>
                </c:pt>
                <c:pt idx="870">
                  <c:v>40591</c:v>
                </c:pt>
                <c:pt idx="871">
                  <c:v>40592</c:v>
                </c:pt>
                <c:pt idx="872">
                  <c:v>40593</c:v>
                </c:pt>
                <c:pt idx="873">
                  <c:v>40594</c:v>
                </c:pt>
                <c:pt idx="874">
                  <c:v>40595</c:v>
                </c:pt>
                <c:pt idx="875">
                  <c:v>40596</c:v>
                </c:pt>
                <c:pt idx="876">
                  <c:v>40597</c:v>
                </c:pt>
                <c:pt idx="877">
                  <c:v>40598</c:v>
                </c:pt>
                <c:pt idx="878">
                  <c:v>40599</c:v>
                </c:pt>
                <c:pt idx="879">
                  <c:v>40600</c:v>
                </c:pt>
                <c:pt idx="880">
                  <c:v>40601</c:v>
                </c:pt>
                <c:pt idx="881">
                  <c:v>40602</c:v>
                </c:pt>
                <c:pt idx="882">
                  <c:v>40603</c:v>
                </c:pt>
                <c:pt idx="883">
                  <c:v>40604</c:v>
                </c:pt>
                <c:pt idx="884">
                  <c:v>40605</c:v>
                </c:pt>
                <c:pt idx="885">
                  <c:v>40606</c:v>
                </c:pt>
                <c:pt idx="886">
                  <c:v>40607</c:v>
                </c:pt>
                <c:pt idx="887">
                  <c:v>40608</c:v>
                </c:pt>
                <c:pt idx="888">
                  <c:v>40609</c:v>
                </c:pt>
                <c:pt idx="889">
                  <c:v>40610</c:v>
                </c:pt>
                <c:pt idx="890">
                  <c:v>40611</c:v>
                </c:pt>
                <c:pt idx="891">
                  <c:v>40612</c:v>
                </c:pt>
                <c:pt idx="892">
                  <c:v>40613</c:v>
                </c:pt>
                <c:pt idx="893">
                  <c:v>40614</c:v>
                </c:pt>
                <c:pt idx="894">
                  <c:v>40615</c:v>
                </c:pt>
                <c:pt idx="895">
                  <c:v>40616</c:v>
                </c:pt>
                <c:pt idx="896">
                  <c:v>40617</c:v>
                </c:pt>
                <c:pt idx="897">
                  <c:v>40618</c:v>
                </c:pt>
                <c:pt idx="898">
                  <c:v>40619</c:v>
                </c:pt>
                <c:pt idx="899">
                  <c:v>40620</c:v>
                </c:pt>
                <c:pt idx="900">
                  <c:v>40621</c:v>
                </c:pt>
                <c:pt idx="901">
                  <c:v>40622</c:v>
                </c:pt>
                <c:pt idx="902">
                  <c:v>40623</c:v>
                </c:pt>
                <c:pt idx="903">
                  <c:v>40624</c:v>
                </c:pt>
                <c:pt idx="904">
                  <c:v>40625</c:v>
                </c:pt>
                <c:pt idx="905">
                  <c:v>40626</c:v>
                </c:pt>
                <c:pt idx="906">
                  <c:v>40627</c:v>
                </c:pt>
                <c:pt idx="907">
                  <c:v>40628</c:v>
                </c:pt>
                <c:pt idx="908">
                  <c:v>40629</c:v>
                </c:pt>
                <c:pt idx="909">
                  <c:v>40630</c:v>
                </c:pt>
                <c:pt idx="910">
                  <c:v>40631</c:v>
                </c:pt>
                <c:pt idx="911">
                  <c:v>40632</c:v>
                </c:pt>
                <c:pt idx="912">
                  <c:v>40633</c:v>
                </c:pt>
                <c:pt idx="913">
                  <c:v>40634</c:v>
                </c:pt>
                <c:pt idx="914">
                  <c:v>40635</c:v>
                </c:pt>
                <c:pt idx="915">
                  <c:v>40636</c:v>
                </c:pt>
                <c:pt idx="916">
                  <c:v>40637</c:v>
                </c:pt>
                <c:pt idx="917">
                  <c:v>40638</c:v>
                </c:pt>
                <c:pt idx="918">
                  <c:v>40639</c:v>
                </c:pt>
                <c:pt idx="919">
                  <c:v>40640</c:v>
                </c:pt>
                <c:pt idx="920">
                  <c:v>40641</c:v>
                </c:pt>
                <c:pt idx="921">
                  <c:v>40642</c:v>
                </c:pt>
                <c:pt idx="922">
                  <c:v>40643</c:v>
                </c:pt>
                <c:pt idx="923">
                  <c:v>40644</c:v>
                </c:pt>
                <c:pt idx="924">
                  <c:v>40645</c:v>
                </c:pt>
                <c:pt idx="925">
                  <c:v>40646</c:v>
                </c:pt>
                <c:pt idx="926">
                  <c:v>40647</c:v>
                </c:pt>
                <c:pt idx="927">
                  <c:v>40648</c:v>
                </c:pt>
                <c:pt idx="928">
                  <c:v>40649</c:v>
                </c:pt>
                <c:pt idx="929">
                  <c:v>40650</c:v>
                </c:pt>
                <c:pt idx="930">
                  <c:v>40651</c:v>
                </c:pt>
                <c:pt idx="931">
                  <c:v>40652</c:v>
                </c:pt>
                <c:pt idx="932">
                  <c:v>40653</c:v>
                </c:pt>
                <c:pt idx="933">
                  <c:v>40654</c:v>
                </c:pt>
                <c:pt idx="934">
                  <c:v>40655</c:v>
                </c:pt>
                <c:pt idx="935">
                  <c:v>40656</c:v>
                </c:pt>
                <c:pt idx="936">
                  <c:v>40657</c:v>
                </c:pt>
                <c:pt idx="937">
                  <c:v>40658</c:v>
                </c:pt>
                <c:pt idx="938">
                  <c:v>40659</c:v>
                </c:pt>
                <c:pt idx="939">
                  <c:v>40660</c:v>
                </c:pt>
                <c:pt idx="940">
                  <c:v>40661</c:v>
                </c:pt>
                <c:pt idx="941">
                  <c:v>40662</c:v>
                </c:pt>
                <c:pt idx="942">
                  <c:v>40663</c:v>
                </c:pt>
                <c:pt idx="943">
                  <c:v>40664</c:v>
                </c:pt>
                <c:pt idx="944">
                  <c:v>40665</c:v>
                </c:pt>
                <c:pt idx="945">
                  <c:v>40666</c:v>
                </c:pt>
                <c:pt idx="946">
                  <c:v>40667</c:v>
                </c:pt>
                <c:pt idx="947">
                  <c:v>40668</c:v>
                </c:pt>
                <c:pt idx="948">
                  <c:v>40669</c:v>
                </c:pt>
                <c:pt idx="949">
                  <c:v>40670</c:v>
                </c:pt>
                <c:pt idx="950">
                  <c:v>40671</c:v>
                </c:pt>
                <c:pt idx="951">
                  <c:v>40672</c:v>
                </c:pt>
                <c:pt idx="952">
                  <c:v>40673</c:v>
                </c:pt>
                <c:pt idx="953">
                  <c:v>40674</c:v>
                </c:pt>
                <c:pt idx="954">
                  <c:v>40675</c:v>
                </c:pt>
                <c:pt idx="955">
                  <c:v>40676</c:v>
                </c:pt>
                <c:pt idx="956">
                  <c:v>40677</c:v>
                </c:pt>
                <c:pt idx="957">
                  <c:v>40678</c:v>
                </c:pt>
                <c:pt idx="958">
                  <c:v>40679</c:v>
                </c:pt>
                <c:pt idx="959">
                  <c:v>40680</c:v>
                </c:pt>
                <c:pt idx="960">
                  <c:v>40681</c:v>
                </c:pt>
                <c:pt idx="961">
                  <c:v>40682</c:v>
                </c:pt>
                <c:pt idx="962">
                  <c:v>40683</c:v>
                </c:pt>
                <c:pt idx="963">
                  <c:v>40684</c:v>
                </c:pt>
                <c:pt idx="964">
                  <c:v>40685</c:v>
                </c:pt>
                <c:pt idx="965">
                  <c:v>40686</c:v>
                </c:pt>
                <c:pt idx="966">
                  <c:v>40687</c:v>
                </c:pt>
                <c:pt idx="967">
                  <c:v>40688</c:v>
                </c:pt>
                <c:pt idx="968">
                  <c:v>40689</c:v>
                </c:pt>
                <c:pt idx="969">
                  <c:v>40690</c:v>
                </c:pt>
                <c:pt idx="970">
                  <c:v>40691</c:v>
                </c:pt>
                <c:pt idx="971">
                  <c:v>40692</c:v>
                </c:pt>
                <c:pt idx="972">
                  <c:v>40693</c:v>
                </c:pt>
                <c:pt idx="973">
                  <c:v>40694</c:v>
                </c:pt>
                <c:pt idx="974">
                  <c:v>40695</c:v>
                </c:pt>
                <c:pt idx="975">
                  <c:v>40696</c:v>
                </c:pt>
                <c:pt idx="976">
                  <c:v>40697</c:v>
                </c:pt>
                <c:pt idx="977">
                  <c:v>40698</c:v>
                </c:pt>
                <c:pt idx="978">
                  <c:v>40699</c:v>
                </c:pt>
                <c:pt idx="979">
                  <c:v>40700</c:v>
                </c:pt>
                <c:pt idx="980">
                  <c:v>40701</c:v>
                </c:pt>
                <c:pt idx="981">
                  <c:v>40702</c:v>
                </c:pt>
                <c:pt idx="982">
                  <c:v>40703</c:v>
                </c:pt>
                <c:pt idx="983">
                  <c:v>40704</c:v>
                </c:pt>
                <c:pt idx="984">
                  <c:v>40705</c:v>
                </c:pt>
                <c:pt idx="985">
                  <c:v>40706</c:v>
                </c:pt>
                <c:pt idx="986">
                  <c:v>40707</c:v>
                </c:pt>
                <c:pt idx="987">
                  <c:v>40708</c:v>
                </c:pt>
                <c:pt idx="988">
                  <c:v>40709</c:v>
                </c:pt>
                <c:pt idx="989">
                  <c:v>40710</c:v>
                </c:pt>
                <c:pt idx="990">
                  <c:v>40711</c:v>
                </c:pt>
                <c:pt idx="991">
                  <c:v>40712</c:v>
                </c:pt>
                <c:pt idx="992">
                  <c:v>40713</c:v>
                </c:pt>
                <c:pt idx="993">
                  <c:v>40714</c:v>
                </c:pt>
                <c:pt idx="994">
                  <c:v>40715</c:v>
                </c:pt>
                <c:pt idx="995">
                  <c:v>40716</c:v>
                </c:pt>
                <c:pt idx="996">
                  <c:v>40717</c:v>
                </c:pt>
                <c:pt idx="997">
                  <c:v>40718</c:v>
                </c:pt>
                <c:pt idx="998">
                  <c:v>40719</c:v>
                </c:pt>
                <c:pt idx="999">
                  <c:v>40720</c:v>
                </c:pt>
                <c:pt idx="1000">
                  <c:v>40721</c:v>
                </c:pt>
                <c:pt idx="1001">
                  <c:v>40722</c:v>
                </c:pt>
                <c:pt idx="1002">
                  <c:v>40723</c:v>
                </c:pt>
                <c:pt idx="1003">
                  <c:v>40724</c:v>
                </c:pt>
                <c:pt idx="1004">
                  <c:v>40725</c:v>
                </c:pt>
                <c:pt idx="1005">
                  <c:v>40726</c:v>
                </c:pt>
                <c:pt idx="1006">
                  <c:v>40727</c:v>
                </c:pt>
                <c:pt idx="1007">
                  <c:v>40728</c:v>
                </c:pt>
                <c:pt idx="1008">
                  <c:v>40729</c:v>
                </c:pt>
                <c:pt idx="1009">
                  <c:v>40730</c:v>
                </c:pt>
                <c:pt idx="1010">
                  <c:v>40731</c:v>
                </c:pt>
                <c:pt idx="1011">
                  <c:v>40732</c:v>
                </c:pt>
                <c:pt idx="1012">
                  <c:v>40733</c:v>
                </c:pt>
                <c:pt idx="1013">
                  <c:v>40734</c:v>
                </c:pt>
                <c:pt idx="1014">
                  <c:v>40735</c:v>
                </c:pt>
                <c:pt idx="1015">
                  <c:v>40736</c:v>
                </c:pt>
                <c:pt idx="1016">
                  <c:v>40737</c:v>
                </c:pt>
                <c:pt idx="1017">
                  <c:v>40738</c:v>
                </c:pt>
                <c:pt idx="1018">
                  <c:v>40739</c:v>
                </c:pt>
                <c:pt idx="1019">
                  <c:v>40740</c:v>
                </c:pt>
                <c:pt idx="1020">
                  <c:v>40741</c:v>
                </c:pt>
                <c:pt idx="1021">
                  <c:v>40742</c:v>
                </c:pt>
                <c:pt idx="1022">
                  <c:v>40743</c:v>
                </c:pt>
                <c:pt idx="1023">
                  <c:v>40744</c:v>
                </c:pt>
                <c:pt idx="1024">
                  <c:v>40745</c:v>
                </c:pt>
                <c:pt idx="1025">
                  <c:v>40746</c:v>
                </c:pt>
                <c:pt idx="1026">
                  <c:v>40747</c:v>
                </c:pt>
                <c:pt idx="1027">
                  <c:v>40748</c:v>
                </c:pt>
                <c:pt idx="1028">
                  <c:v>40749</c:v>
                </c:pt>
                <c:pt idx="1029">
                  <c:v>40750</c:v>
                </c:pt>
                <c:pt idx="1030">
                  <c:v>40751</c:v>
                </c:pt>
                <c:pt idx="1031">
                  <c:v>40752</c:v>
                </c:pt>
                <c:pt idx="1032">
                  <c:v>40753</c:v>
                </c:pt>
                <c:pt idx="1033">
                  <c:v>40754</c:v>
                </c:pt>
                <c:pt idx="1034">
                  <c:v>40755</c:v>
                </c:pt>
                <c:pt idx="1035">
                  <c:v>40756</c:v>
                </c:pt>
                <c:pt idx="1036">
                  <c:v>40757</c:v>
                </c:pt>
                <c:pt idx="1037">
                  <c:v>40758</c:v>
                </c:pt>
                <c:pt idx="1038">
                  <c:v>40759</c:v>
                </c:pt>
                <c:pt idx="1039">
                  <c:v>40760</c:v>
                </c:pt>
                <c:pt idx="1040">
                  <c:v>40761</c:v>
                </c:pt>
                <c:pt idx="1041">
                  <c:v>40762</c:v>
                </c:pt>
                <c:pt idx="1042">
                  <c:v>40763</c:v>
                </c:pt>
                <c:pt idx="1043">
                  <c:v>40764</c:v>
                </c:pt>
                <c:pt idx="1044">
                  <c:v>40765</c:v>
                </c:pt>
                <c:pt idx="1045">
                  <c:v>40766</c:v>
                </c:pt>
                <c:pt idx="1046">
                  <c:v>40767</c:v>
                </c:pt>
                <c:pt idx="1047">
                  <c:v>40768</c:v>
                </c:pt>
                <c:pt idx="1048">
                  <c:v>40769</c:v>
                </c:pt>
                <c:pt idx="1049">
                  <c:v>40770</c:v>
                </c:pt>
                <c:pt idx="1050">
                  <c:v>40771</c:v>
                </c:pt>
                <c:pt idx="1051">
                  <c:v>40772</c:v>
                </c:pt>
                <c:pt idx="1052">
                  <c:v>40773</c:v>
                </c:pt>
                <c:pt idx="1053">
                  <c:v>40774</c:v>
                </c:pt>
                <c:pt idx="1054">
                  <c:v>40775</c:v>
                </c:pt>
                <c:pt idx="1055">
                  <c:v>40776</c:v>
                </c:pt>
                <c:pt idx="1056">
                  <c:v>40777</c:v>
                </c:pt>
                <c:pt idx="1057">
                  <c:v>40778</c:v>
                </c:pt>
                <c:pt idx="1058">
                  <c:v>40779</c:v>
                </c:pt>
                <c:pt idx="1059">
                  <c:v>40780</c:v>
                </c:pt>
                <c:pt idx="1060">
                  <c:v>40781</c:v>
                </c:pt>
                <c:pt idx="1061">
                  <c:v>40782</c:v>
                </c:pt>
                <c:pt idx="1062">
                  <c:v>40783</c:v>
                </c:pt>
                <c:pt idx="1063">
                  <c:v>40784</c:v>
                </c:pt>
                <c:pt idx="1064">
                  <c:v>40785</c:v>
                </c:pt>
                <c:pt idx="1065">
                  <c:v>40786</c:v>
                </c:pt>
                <c:pt idx="1066">
                  <c:v>40787</c:v>
                </c:pt>
                <c:pt idx="1067">
                  <c:v>40788</c:v>
                </c:pt>
                <c:pt idx="1068">
                  <c:v>40789</c:v>
                </c:pt>
                <c:pt idx="1069">
                  <c:v>40790</c:v>
                </c:pt>
                <c:pt idx="1070">
                  <c:v>40791</c:v>
                </c:pt>
                <c:pt idx="1071">
                  <c:v>40792</c:v>
                </c:pt>
                <c:pt idx="1072">
                  <c:v>40793</c:v>
                </c:pt>
                <c:pt idx="1073">
                  <c:v>40794</c:v>
                </c:pt>
                <c:pt idx="1074">
                  <c:v>40795</c:v>
                </c:pt>
                <c:pt idx="1075">
                  <c:v>40796</c:v>
                </c:pt>
                <c:pt idx="1076">
                  <c:v>40797</c:v>
                </c:pt>
                <c:pt idx="1077">
                  <c:v>40798</c:v>
                </c:pt>
                <c:pt idx="1078">
                  <c:v>40799</c:v>
                </c:pt>
                <c:pt idx="1079">
                  <c:v>40800</c:v>
                </c:pt>
                <c:pt idx="1080">
                  <c:v>40801</c:v>
                </c:pt>
                <c:pt idx="1081">
                  <c:v>40802</c:v>
                </c:pt>
                <c:pt idx="1082">
                  <c:v>40803</c:v>
                </c:pt>
                <c:pt idx="1083">
                  <c:v>40804</c:v>
                </c:pt>
                <c:pt idx="1084">
                  <c:v>40805</c:v>
                </c:pt>
                <c:pt idx="1085">
                  <c:v>40806</c:v>
                </c:pt>
                <c:pt idx="1086">
                  <c:v>40807</c:v>
                </c:pt>
                <c:pt idx="1087">
                  <c:v>40808</c:v>
                </c:pt>
                <c:pt idx="1088">
                  <c:v>40809</c:v>
                </c:pt>
                <c:pt idx="1089">
                  <c:v>40810</c:v>
                </c:pt>
                <c:pt idx="1090">
                  <c:v>40811</c:v>
                </c:pt>
                <c:pt idx="1091">
                  <c:v>40812</c:v>
                </c:pt>
                <c:pt idx="1092">
                  <c:v>40813</c:v>
                </c:pt>
                <c:pt idx="1093">
                  <c:v>40814</c:v>
                </c:pt>
                <c:pt idx="1094">
                  <c:v>40815</c:v>
                </c:pt>
                <c:pt idx="1095">
                  <c:v>40816</c:v>
                </c:pt>
                <c:pt idx="1096">
                  <c:v>40817</c:v>
                </c:pt>
                <c:pt idx="1097">
                  <c:v>40818</c:v>
                </c:pt>
                <c:pt idx="1098">
                  <c:v>40819</c:v>
                </c:pt>
                <c:pt idx="1099">
                  <c:v>40820</c:v>
                </c:pt>
                <c:pt idx="1100">
                  <c:v>40821</c:v>
                </c:pt>
                <c:pt idx="1101">
                  <c:v>40822</c:v>
                </c:pt>
                <c:pt idx="1102">
                  <c:v>40823</c:v>
                </c:pt>
                <c:pt idx="1103">
                  <c:v>40824</c:v>
                </c:pt>
                <c:pt idx="1104">
                  <c:v>40825</c:v>
                </c:pt>
                <c:pt idx="1105">
                  <c:v>40826</c:v>
                </c:pt>
                <c:pt idx="1106">
                  <c:v>40827</c:v>
                </c:pt>
                <c:pt idx="1107">
                  <c:v>40828</c:v>
                </c:pt>
                <c:pt idx="1108">
                  <c:v>40829</c:v>
                </c:pt>
                <c:pt idx="1109">
                  <c:v>40830</c:v>
                </c:pt>
                <c:pt idx="1110">
                  <c:v>40831</c:v>
                </c:pt>
                <c:pt idx="1111">
                  <c:v>40832</c:v>
                </c:pt>
                <c:pt idx="1112">
                  <c:v>40833</c:v>
                </c:pt>
                <c:pt idx="1113">
                  <c:v>40834</c:v>
                </c:pt>
                <c:pt idx="1114">
                  <c:v>40835</c:v>
                </c:pt>
                <c:pt idx="1115">
                  <c:v>40836</c:v>
                </c:pt>
                <c:pt idx="1116">
                  <c:v>40837</c:v>
                </c:pt>
                <c:pt idx="1117">
                  <c:v>40838</c:v>
                </c:pt>
                <c:pt idx="1118">
                  <c:v>40839</c:v>
                </c:pt>
                <c:pt idx="1119">
                  <c:v>40840</c:v>
                </c:pt>
                <c:pt idx="1120">
                  <c:v>40841</c:v>
                </c:pt>
                <c:pt idx="1121">
                  <c:v>40842</c:v>
                </c:pt>
                <c:pt idx="1122">
                  <c:v>40843</c:v>
                </c:pt>
                <c:pt idx="1123">
                  <c:v>40844</c:v>
                </c:pt>
                <c:pt idx="1124">
                  <c:v>40845</c:v>
                </c:pt>
                <c:pt idx="1125">
                  <c:v>40846</c:v>
                </c:pt>
                <c:pt idx="1126">
                  <c:v>40847</c:v>
                </c:pt>
                <c:pt idx="1127">
                  <c:v>40848</c:v>
                </c:pt>
                <c:pt idx="1128">
                  <c:v>40849</c:v>
                </c:pt>
                <c:pt idx="1129">
                  <c:v>40850</c:v>
                </c:pt>
                <c:pt idx="1130">
                  <c:v>40851</c:v>
                </c:pt>
                <c:pt idx="1131">
                  <c:v>40852</c:v>
                </c:pt>
                <c:pt idx="1132">
                  <c:v>40853</c:v>
                </c:pt>
                <c:pt idx="1133">
                  <c:v>40854</c:v>
                </c:pt>
                <c:pt idx="1134">
                  <c:v>40855</c:v>
                </c:pt>
                <c:pt idx="1135">
                  <c:v>40856</c:v>
                </c:pt>
                <c:pt idx="1136">
                  <c:v>40857</c:v>
                </c:pt>
                <c:pt idx="1137">
                  <c:v>40858</c:v>
                </c:pt>
                <c:pt idx="1138">
                  <c:v>40859</c:v>
                </c:pt>
                <c:pt idx="1139">
                  <c:v>40860</c:v>
                </c:pt>
                <c:pt idx="1140">
                  <c:v>40861</c:v>
                </c:pt>
                <c:pt idx="1141">
                  <c:v>40862</c:v>
                </c:pt>
                <c:pt idx="1142">
                  <c:v>40863</c:v>
                </c:pt>
                <c:pt idx="1143">
                  <c:v>40864</c:v>
                </c:pt>
                <c:pt idx="1144">
                  <c:v>40865</c:v>
                </c:pt>
                <c:pt idx="1145">
                  <c:v>40866</c:v>
                </c:pt>
                <c:pt idx="1146">
                  <c:v>40867</c:v>
                </c:pt>
                <c:pt idx="1147">
                  <c:v>40868</c:v>
                </c:pt>
                <c:pt idx="1148">
                  <c:v>40869</c:v>
                </c:pt>
                <c:pt idx="1149">
                  <c:v>40870</c:v>
                </c:pt>
                <c:pt idx="1150">
                  <c:v>40871</c:v>
                </c:pt>
                <c:pt idx="1151">
                  <c:v>40872</c:v>
                </c:pt>
                <c:pt idx="1152">
                  <c:v>40873</c:v>
                </c:pt>
                <c:pt idx="1153">
                  <c:v>40874</c:v>
                </c:pt>
                <c:pt idx="1154">
                  <c:v>40875</c:v>
                </c:pt>
                <c:pt idx="1155">
                  <c:v>40876</c:v>
                </c:pt>
                <c:pt idx="1156">
                  <c:v>40877</c:v>
                </c:pt>
                <c:pt idx="1157">
                  <c:v>40878</c:v>
                </c:pt>
                <c:pt idx="1158">
                  <c:v>40879</c:v>
                </c:pt>
                <c:pt idx="1159">
                  <c:v>40880</c:v>
                </c:pt>
                <c:pt idx="1160">
                  <c:v>40881</c:v>
                </c:pt>
                <c:pt idx="1161">
                  <c:v>40882</c:v>
                </c:pt>
                <c:pt idx="1162">
                  <c:v>40883</c:v>
                </c:pt>
                <c:pt idx="1163">
                  <c:v>40884</c:v>
                </c:pt>
                <c:pt idx="1164">
                  <c:v>40885</c:v>
                </c:pt>
                <c:pt idx="1165">
                  <c:v>40886</c:v>
                </c:pt>
                <c:pt idx="1166">
                  <c:v>40887</c:v>
                </c:pt>
                <c:pt idx="1167">
                  <c:v>40888</c:v>
                </c:pt>
                <c:pt idx="1168">
                  <c:v>40889</c:v>
                </c:pt>
                <c:pt idx="1169">
                  <c:v>40890</c:v>
                </c:pt>
                <c:pt idx="1170">
                  <c:v>40891</c:v>
                </c:pt>
                <c:pt idx="1171">
                  <c:v>40892</c:v>
                </c:pt>
                <c:pt idx="1172">
                  <c:v>40893</c:v>
                </c:pt>
                <c:pt idx="1173">
                  <c:v>40894</c:v>
                </c:pt>
                <c:pt idx="1174">
                  <c:v>40895</c:v>
                </c:pt>
                <c:pt idx="1175">
                  <c:v>40896</c:v>
                </c:pt>
                <c:pt idx="1176">
                  <c:v>40897</c:v>
                </c:pt>
                <c:pt idx="1177">
                  <c:v>40898</c:v>
                </c:pt>
                <c:pt idx="1178">
                  <c:v>40899</c:v>
                </c:pt>
                <c:pt idx="1179">
                  <c:v>40900</c:v>
                </c:pt>
                <c:pt idx="1180">
                  <c:v>40901</c:v>
                </c:pt>
                <c:pt idx="1181">
                  <c:v>40902</c:v>
                </c:pt>
                <c:pt idx="1182">
                  <c:v>40903</c:v>
                </c:pt>
                <c:pt idx="1183">
                  <c:v>40904</c:v>
                </c:pt>
                <c:pt idx="1184">
                  <c:v>40905</c:v>
                </c:pt>
                <c:pt idx="1185">
                  <c:v>40906</c:v>
                </c:pt>
                <c:pt idx="1186">
                  <c:v>40907</c:v>
                </c:pt>
                <c:pt idx="1187">
                  <c:v>40908</c:v>
                </c:pt>
                <c:pt idx="1188">
                  <c:v>40909</c:v>
                </c:pt>
                <c:pt idx="1189">
                  <c:v>40910</c:v>
                </c:pt>
                <c:pt idx="1190">
                  <c:v>40911</c:v>
                </c:pt>
                <c:pt idx="1191">
                  <c:v>40912</c:v>
                </c:pt>
                <c:pt idx="1192">
                  <c:v>40913</c:v>
                </c:pt>
                <c:pt idx="1193">
                  <c:v>40914</c:v>
                </c:pt>
                <c:pt idx="1194">
                  <c:v>40915</c:v>
                </c:pt>
                <c:pt idx="1195">
                  <c:v>40916</c:v>
                </c:pt>
                <c:pt idx="1196">
                  <c:v>40917</c:v>
                </c:pt>
                <c:pt idx="1197">
                  <c:v>40918</c:v>
                </c:pt>
                <c:pt idx="1198">
                  <c:v>40919</c:v>
                </c:pt>
                <c:pt idx="1199">
                  <c:v>40920</c:v>
                </c:pt>
                <c:pt idx="1200">
                  <c:v>40921</c:v>
                </c:pt>
                <c:pt idx="1201">
                  <c:v>40922</c:v>
                </c:pt>
                <c:pt idx="1202">
                  <c:v>40923</c:v>
                </c:pt>
                <c:pt idx="1203">
                  <c:v>40924</c:v>
                </c:pt>
                <c:pt idx="1204">
                  <c:v>40925</c:v>
                </c:pt>
                <c:pt idx="1205">
                  <c:v>40926</c:v>
                </c:pt>
                <c:pt idx="1206">
                  <c:v>40927</c:v>
                </c:pt>
                <c:pt idx="1207">
                  <c:v>40928</c:v>
                </c:pt>
                <c:pt idx="1208">
                  <c:v>40929</c:v>
                </c:pt>
                <c:pt idx="1209">
                  <c:v>40930</c:v>
                </c:pt>
                <c:pt idx="1210">
                  <c:v>40931</c:v>
                </c:pt>
                <c:pt idx="1211">
                  <c:v>40932</c:v>
                </c:pt>
                <c:pt idx="1212">
                  <c:v>40933</c:v>
                </c:pt>
                <c:pt idx="1213">
                  <c:v>40934</c:v>
                </c:pt>
                <c:pt idx="1214">
                  <c:v>40935</c:v>
                </c:pt>
                <c:pt idx="1215">
                  <c:v>40936</c:v>
                </c:pt>
                <c:pt idx="1216">
                  <c:v>40937</c:v>
                </c:pt>
                <c:pt idx="1217">
                  <c:v>40938</c:v>
                </c:pt>
                <c:pt idx="1218">
                  <c:v>40939</c:v>
                </c:pt>
                <c:pt idx="1219">
                  <c:v>40940</c:v>
                </c:pt>
                <c:pt idx="1220">
                  <c:v>40941</c:v>
                </c:pt>
                <c:pt idx="1221">
                  <c:v>40942</c:v>
                </c:pt>
                <c:pt idx="1222">
                  <c:v>40943</c:v>
                </c:pt>
                <c:pt idx="1223">
                  <c:v>40944</c:v>
                </c:pt>
                <c:pt idx="1224">
                  <c:v>40945</c:v>
                </c:pt>
                <c:pt idx="1225">
                  <c:v>40946</c:v>
                </c:pt>
                <c:pt idx="1226">
                  <c:v>40947</c:v>
                </c:pt>
                <c:pt idx="1227">
                  <c:v>40948</c:v>
                </c:pt>
                <c:pt idx="1228">
                  <c:v>40949</c:v>
                </c:pt>
                <c:pt idx="1229">
                  <c:v>40950</c:v>
                </c:pt>
                <c:pt idx="1230">
                  <c:v>40951</c:v>
                </c:pt>
                <c:pt idx="1231">
                  <c:v>40952</c:v>
                </c:pt>
                <c:pt idx="1232">
                  <c:v>40953</c:v>
                </c:pt>
                <c:pt idx="1233">
                  <c:v>40954</c:v>
                </c:pt>
                <c:pt idx="1234">
                  <c:v>40955</c:v>
                </c:pt>
                <c:pt idx="1235">
                  <c:v>40956</c:v>
                </c:pt>
                <c:pt idx="1236">
                  <c:v>40957</c:v>
                </c:pt>
                <c:pt idx="1237">
                  <c:v>40958</c:v>
                </c:pt>
                <c:pt idx="1238">
                  <c:v>40959</c:v>
                </c:pt>
                <c:pt idx="1239">
                  <c:v>40960</c:v>
                </c:pt>
                <c:pt idx="1240">
                  <c:v>40961</c:v>
                </c:pt>
                <c:pt idx="1241">
                  <c:v>40962</c:v>
                </c:pt>
                <c:pt idx="1242">
                  <c:v>40963</c:v>
                </c:pt>
                <c:pt idx="1243">
                  <c:v>40964</c:v>
                </c:pt>
                <c:pt idx="1244">
                  <c:v>40965</c:v>
                </c:pt>
                <c:pt idx="1245">
                  <c:v>40966</c:v>
                </c:pt>
                <c:pt idx="1246">
                  <c:v>40967</c:v>
                </c:pt>
                <c:pt idx="1247">
                  <c:v>40968</c:v>
                </c:pt>
                <c:pt idx="1248">
                  <c:v>40969</c:v>
                </c:pt>
                <c:pt idx="1249">
                  <c:v>40970</c:v>
                </c:pt>
                <c:pt idx="1250">
                  <c:v>40971</c:v>
                </c:pt>
                <c:pt idx="1251">
                  <c:v>40972</c:v>
                </c:pt>
                <c:pt idx="1252">
                  <c:v>40973</c:v>
                </c:pt>
                <c:pt idx="1253">
                  <c:v>40974</c:v>
                </c:pt>
                <c:pt idx="1254">
                  <c:v>40975</c:v>
                </c:pt>
                <c:pt idx="1255">
                  <c:v>40976</c:v>
                </c:pt>
                <c:pt idx="1256">
                  <c:v>40977</c:v>
                </c:pt>
                <c:pt idx="1257">
                  <c:v>40978</c:v>
                </c:pt>
                <c:pt idx="1258">
                  <c:v>40979</c:v>
                </c:pt>
                <c:pt idx="1259">
                  <c:v>40980</c:v>
                </c:pt>
                <c:pt idx="1260">
                  <c:v>40981</c:v>
                </c:pt>
                <c:pt idx="1261">
                  <c:v>40982</c:v>
                </c:pt>
                <c:pt idx="1262">
                  <c:v>40983</c:v>
                </c:pt>
                <c:pt idx="1263">
                  <c:v>40984</c:v>
                </c:pt>
                <c:pt idx="1264">
                  <c:v>40985</c:v>
                </c:pt>
                <c:pt idx="1265">
                  <c:v>40986</c:v>
                </c:pt>
                <c:pt idx="1266">
                  <c:v>40987</c:v>
                </c:pt>
                <c:pt idx="1267">
                  <c:v>40988</c:v>
                </c:pt>
                <c:pt idx="1268">
                  <c:v>40989</c:v>
                </c:pt>
                <c:pt idx="1269">
                  <c:v>40990</c:v>
                </c:pt>
                <c:pt idx="1270">
                  <c:v>40991</c:v>
                </c:pt>
                <c:pt idx="1271">
                  <c:v>40992</c:v>
                </c:pt>
                <c:pt idx="1272">
                  <c:v>40993</c:v>
                </c:pt>
                <c:pt idx="1273">
                  <c:v>40994</c:v>
                </c:pt>
                <c:pt idx="1274">
                  <c:v>40995</c:v>
                </c:pt>
                <c:pt idx="1275">
                  <c:v>40996</c:v>
                </c:pt>
                <c:pt idx="1276">
                  <c:v>40997</c:v>
                </c:pt>
                <c:pt idx="1277">
                  <c:v>40998</c:v>
                </c:pt>
                <c:pt idx="1278">
                  <c:v>40999</c:v>
                </c:pt>
                <c:pt idx="1279">
                  <c:v>41000</c:v>
                </c:pt>
                <c:pt idx="1280">
                  <c:v>41001</c:v>
                </c:pt>
                <c:pt idx="1281">
                  <c:v>41002</c:v>
                </c:pt>
                <c:pt idx="1282">
                  <c:v>41003</c:v>
                </c:pt>
                <c:pt idx="1283">
                  <c:v>41004</c:v>
                </c:pt>
                <c:pt idx="1284">
                  <c:v>41005</c:v>
                </c:pt>
                <c:pt idx="1285">
                  <c:v>41006</c:v>
                </c:pt>
                <c:pt idx="1286">
                  <c:v>41007</c:v>
                </c:pt>
                <c:pt idx="1287">
                  <c:v>41008</c:v>
                </c:pt>
                <c:pt idx="1288">
                  <c:v>41009</c:v>
                </c:pt>
                <c:pt idx="1289">
                  <c:v>41010</c:v>
                </c:pt>
                <c:pt idx="1290">
                  <c:v>41011</c:v>
                </c:pt>
                <c:pt idx="1291">
                  <c:v>41012</c:v>
                </c:pt>
                <c:pt idx="1292">
                  <c:v>41013</c:v>
                </c:pt>
                <c:pt idx="1293">
                  <c:v>41014</c:v>
                </c:pt>
                <c:pt idx="1294">
                  <c:v>41015</c:v>
                </c:pt>
                <c:pt idx="1295">
                  <c:v>41016</c:v>
                </c:pt>
                <c:pt idx="1296">
                  <c:v>41017</c:v>
                </c:pt>
                <c:pt idx="1297">
                  <c:v>41018</c:v>
                </c:pt>
                <c:pt idx="1298">
                  <c:v>41019</c:v>
                </c:pt>
                <c:pt idx="1299">
                  <c:v>41020</c:v>
                </c:pt>
                <c:pt idx="1300">
                  <c:v>41021</c:v>
                </c:pt>
                <c:pt idx="1301">
                  <c:v>41022</c:v>
                </c:pt>
                <c:pt idx="1302">
                  <c:v>41023</c:v>
                </c:pt>
                <c:pt idx="1303">
                  <c:v>41024</c:v>
                </c:pt>
                <c:pt idx="1304">
                  <c:v>41025</c:v>
                </c:pt>
                <c:pt idx="1305">
                  <c:v>41026</c:v>
                </c:pt>
                <c:pt idx="1306">
                  <c:v>41027</c:v>
                </c:pt>
                <c:pt idx="1307">
                  <c:v>41028</c:v>
                </c:pt>
                <c:pt idx="1308">
                  <c:v>41029</c:v>
                </c:pt>
                <c:pt idx="1309">
                  <c:v>41030</c:v>
                </c:pt>
                <c:pt idx="1310">
                  <c:v>41031</c:v>
                </c:pt>
                <c:pt idx="1311">
                  <c:v>41032</c:v>
                </c:pt>
                <c:pt idx="1312">
                  <c:v>41033</c:v>
                </c:pt>
                <c:pt idx="1313">
                  <c:v>41034</c:v>
                </c:pt>
                <c:pt idx="1314">
                  <c:v>41035</c:v>
                </c:pt>
                <c:pt idx="1315">
                  <c:v>41036</c:v>
                </c:pt>
                <c:pt idx="1316">
                  <c:v>41037</c:v>
                </c:pt>
                <c:pt idx="1317">
                  <c:v>41038</c:v>
                </c:pt>
                <c:pt idx="1318">
                  <c:v>41039</c:v>
                </c:pt>
                <c:pt idx="1319">
                  <c:v>41040</c:v>
                </c:pt>
                <c:pt idx="1320">
                  <c:v>41041</c:v>
                </c:pt>
                <c:pt idx="1321">
                  <c:v>41042</c:v>
                </c:pt>
                <c:pt idx="1322">
                  <c:v>41043</c:v>
                </c:pt>
                <c:pt idx="1323">
                  <c:v>41044</c:v>
                </c:pt>
                <c:pt idx="1324">
                  <c:v>41045</c:v>
                </c:pt>
                <c:pt idx="1325">
                  <c:v>41046</c:v>
                </c:pt>
                <c:pt idx="1326">
                  <c:v>41047</c:v>
                </c:pt>
                <c:pt idx="1327">
                  <c:v>41048</c:v>
                </c:pt>
                <c:pt idx="1328">
                  <c:v>41049</c:v>
                </c:pt>
                <c:pt idx="1329">
                  <c:v>41050</c:v>
                </c:pt>
                <c:pt idx="1330">
                  <c:v>41051</c:v>
                </c:pt>
                <c:pt idx="1331">
                  <c:v>41052</c:v>
                </c:pt>
                <c:pt idx="1332">
                  <c:v>41053</c:v>
                </c:pt>
                <c:pt idx="1333">
                  <c:v>41054</c:v>
                </c:pt>
                <c:pt idx="1334">
                  <c:v>41055</c:v>
                </c:pt>
                <c:pt idx="1335">
                  <c:v>41056</c:v>
                </c:pt>
                <c:pt idx="1336">
                  <c:v>41057</c:v>
                </c:pt>
                <c:pt idx="1337">
                  <c:v>41058</c:v>
                </c:pt>
                <c:pt idx="1338">
                  <c:v>41059</c:v>
                </c:pt>
                <c:pt idx="1339">
                  <c:v>41060</c:v>
                </c:pt>
                <c:pt idx="1340">
                  <c:v>41061</c:v>
                </c:pt>
                <c:pt idx="1341">
                  <c:v>41062</c:v>
                </c:pt>
                <c:pt idx="1342">
                  <c:v>41063</c:v>
                </c:pt>
                <c:pt idx="1343">
                  <c:v>41064</c:v>
                </c:pt>
                <c:pt idx="1344">
                  <c:v>41065</c:v>
                </c:pt>
                <c:pt idx="1345">
                  <c:v>41066</c:v>
                </c:pt>
                <c:pt idx="1346">
                  <c:v>41067</c:v>
                </c:pt>
                <c:pt idx="1347">
                  <c:v>41068</c:v>
                </c:pt>
                <c:pt idx="1348">
                  <c:v>41069</c:v>
                </c:pt>
                <c:pt idx="1349">
                  <c:v>41070</c:v>
                </c:pt>
                <c:pt idx="1350">
                  <c:v>41071</c:v>
                </c:pt>
                <c:pt idx="1351">
                  <c:v>41072</c:v>
                </c:pt>
                <c:pt idx="1352">
                  <c:v>41073</c:v>
                </c:pt>
                <c:pt idx="1353">
                  <c:v>41074</c:v>
                </c:pt>
                <c:pt idx="1354">
                  <c:v>41075</c:v>
                </c:pt>
                <c:pt idx="1355">
                  <c:v>41076</c:v>
                </c:pt>
                <c:pt idx="1356">
                  <c:v>41077</c:v>
                </c:pt>
                <c:pt idx="1357">
                  <c:v>41078</c:v>
                </c:pt>
                <c:pt idx="1358">
                  <c:v>41079</c:v>
                </c:pt>
                <c:pt idx="1359">
                  <c:v>41080</c:v>
                </c:pt>
                <c:pt idx="1360">
                  <c:v>41081</c:v>
                </c:pt>
                <c:pt idx="1361">
                  <c:v>41082</c:v>
                </c:pt>
                <c:pt idx="1362">
                  <c:v>41083</c:v>
                </c:pt>
                <c:pt idx="1363">
                  <c:v>41084</c:v>
                </c:pt>
                <c:pt idx="1364">
                  <c:v>41085</c:v>
                </c:pt>
                <c:pt idx="1365">
                  <c:v>41086</c:v>
                </c:pt>
                <c:pt idx="1366">
                  <c:v>41087</c:v>
                </c:pt>
                <c:pt idx="1367">
                  <c:v>41088</c:v>
                </c:pt>
                <c:pt idx="1368">
                  <c:v>41089</c:v>
                </c:pt>
                <c:pt idx="1369">
                  <c:v>41090</c:v>
                </c:pt>
                <c:pt idx="1370">
                  <c:v>41091</c:v>
                </c:pt>
                <c:pt idx="1371">
                  <c:v>41092</c:v>
                </c:pt>
                <c:pt idx="1372">
                  <c:v>41093</c:v>
                </c:pt>
                <c:pt idx="1373">
                  <c:v>41094</c:v>
                </c:pt>
                <c:pt idx="1374">
                  <c:v>41095</c:v>
                </c:pt>
                <c:pt idx="1375">
                  <c:v>41096</c:v>
                </c:pt>
                <c:pt idx="1376">
                  <c:v>41097</c:v>
                </c:pt>
                <c:pt idx="1377">
                  <c:v>41098</c:v>
                </c:pt>
                <c:pt idx="1378">
                  <c:v>41099</c:v>
                </c:pt>
                <c:pt idx="1379">
                  <c:v>41100</c:v>
                </c:pt>
                <c:pt idx="1380">
                  <c:v>41101</c:v>
                </c:pt>
                <c:pt idx="1381">
                  <c:v>41102</c:v>
                </c:pt>
                <c:pt idx="1382">
                  <c:v>41103</c:v>
                </c:pt>
                <c:pt idx="1383">
                  <c:v>41104</c:v>
                </c:pt>
                <c:pt idx="1384">
                  <c:v>41105</c:v>
                </c:pt>
                <c:pt idx="1385">
                  <c:v>41106</c:v>
                </c:pt>
                <c:pt idx="1386">
                  <c:v>41107</c:v>
                </c:pt>
                <c:pt idx="1387">
                  <c:v>41108</c:v>
                </c:pt>
                <c:pt idx="1388">
                  <c:v>41109</c:v>
                </c:pt>
                <c:pt idx="1389">
                  <c:v>41110</c:v>
                </c:pt>
                <c:pt idx="1390">
                  <c:v>41111</c:v>
                </c:pt>
                <c:pt idx="1391">
                  <c:v>41112</c:v>
                </c:pt>
                <c:pt idx="1392">
                  <c:v>41113</c:v>
                </c:pt>
                <c:pt idx="1393">
                  <c:v>41114</c:v>
                </c:pt>
                <c:pt idx="1394">
                  <c:v>41115</c:v>
                </c:pt>
                <c:pt idx="1395">
                  <c:v>41116</c:v>
                </c:pt>
                <c:pt idx="1396">
                  <c:v>41117</c:v>
                </c:pt>
                <c:pt idx="1397">
                  <c:v>41118</c:v>
                </c:pt>
                <c:pt idx="1398">
                  <c:v>41119</c:v>
                </c:pt>
                <c:pt idx="1399">
                  <c:v>41120</c:v>
                </c:pt>
                <c:pt idx="1400">
                  <c:v>41121</c:v>
                </c:pt>
                <c:pt idx="1401">
                  <c:v>41122</c:v>
                </c:pt>
                <c:pt idx="1402">
                  <c:v>41123</c:v>
                </c:pt>
                <c:pt idx="1403">
                  <c:v>41124</c:v>
                </c:pt>
                <c:pt idx="1404">
                  <c:v>41125</c:v>
                </c:pt>
                <c:pt idx="1405">
                  <c:v>41126</c:v>
                </c:pt>
                <c:pt idx="1406">
                  <c:v>41127</c:v>
                </c:pt>
                <c:pt idx="1407">
                  <c:v>41128</c:v>
                </c:pt>
                <c:pt idx="1408">
                  <c:v>41129</c:v>
                </c:pt>
                <c:pt idx="1409">
                  <c:v>41130</c:v>
                </c:pt>
                <c:pt idx="1410">
                  <c:v>41131</c:v>
                </c:pt>
                <c:pt idx="1411">
                  <c:v>41132</c:v>
                </c:pt>
                <c:pt idx="1412">
                  <c:v>41133</c:v>
                </c:pt>
                <c:pt idx="1413">
                  <c:v>41134</c:v>
                </c:pt>
                <c:pt idx="1414">
                  <c:v>41135</c:v>
                </c:pt>
                <c:pt idx="1415">
                  <c:v>41136</c:v>
                </c:pt>
                <c:pt idx="1416">
                  <c:v>41137</c:v>
                </c:pt>
                <c:pt idx="1417">
                  <c:v>41138</c:v>
                </c:pt>
                <c:pt idx="1418">
                  <c:v>41139</c:v>
                </c:pt>
                <c:pt idx="1419">
                  <c:v>41140</c:v>
                </c:pt>
                <c:pt idx="1420">
                  <c:v>41141</c:v>
                </c:pt>
                <c:pt idx="1421">
                  <c:v>41142</c:v>
                </c:pt>
                <c:pt idx="1422">
                  <c:v>41143</c:v>
                </c:pt>
                <c:pt idx="1423">
                  <c:v>41144</c:v>
                </c:pt>
                <c:pt idx="1424">
                  <c:v>41145</c:v>
                </c:pt>
                <c:pt idx="1425">
                  <c:v>41146</c:v>
                </c:pt>
                <c:pt idx="1426">
                  <c:v>41147</c:v>
                </c:pt>
                <c:pt idx="1427">
                  <c:v>41148</c:v>
                </c:pt>
                <c:pt idx="1428">
                  <c:v>41149</c:v>
                </c:pt>
                <c:pt idx="1429">
                  <c:v>41150</c:v>
                </c:pt>
                <c:pt idx="1430">
                  <c:v>41151</c:v>
                </c:pt>
                <c:pt idx="1431">
                  <c:v>41152</c:v>
                </c:pt>
                <c:pt idx="1432">
                  <c:v>41153</c:v>
                </c:pt>
                <c:pt idx="1433">
                  <c:v>41154</c:v>
                </c:pt>
                <c:pt idx="1434">
                  <c:v>41155</c:v>
                </c:pt>
                <c:pt idx="1435">
                  <c:v>41156</c:v>
                </c:pt>
                <c:pt idx="1436">
                  <c:v>41157</c:v>
                </c:pt>
                <c:pt idx="1437">
                  <c:v>41158</c:v>
                </c:pt>
                <c:pt idx="1438">
                  <c:v>41159</c:v>
                </c:pt>
                <c:pt idx="1439">
                  <c:v>41160</c:v>
                </c:pt>
                <c:pt idx="1440">
                  <c:v>41161</c:v>
                </c:pt>
                <c:pt idx="1441">
                  <c:v>41162</c:v>
                </c:pt>
                <c:pt idx="1442">
                  <c:v>41163</c:v>
                </c:pt>
                <c:pt idx="1443">
                  <c:v>41164</c:v>
                </c:pt>
                <c:pt idx="1444">
                  <c:v>41165</c:v>
                </c:pt>
                <c:pt idx="1445">
                  <c:v>41166</c:v>
                </c:pt>
                <c:pt idx="1446">
                  <c:v>41167</c:v>
                </c:pt>
                <c:pt idx="1447">
                  <c:v>41168</c:v>
                </c:pt>
                <c:pt idx="1448">
                  <c:v>41169</c:v>
                </c:pt>
                <c:pt idx="1449">
                  <c:v>41170</c:v>
                </c:pt>
                <c:pt idx="1450">
                  <c:v>41171</c:v>
                </c:pt>
                <c:pt idx="1451">
                  <c:v>41172</c:v>
                </c:pt>
                <c:pt idx="1452">
                  <c:v>41173</c:v>
                </c:pt>
                <c:pt idx="1453">
                  <c:v>41174</c:v>
                </c:pt>
                <c:pt idx="1454">
                  <c:v>41175</c:v>
                </c:pt>
                <c:pt idx="1455">
                  <c:v>41176</c:v>
                </c:pt>
                <c:pt idx="1456">
                  <c:v>41177</c:v>
                </c:pt>
                <c:pt idx="1457">
                  <c:v>41178</c:v>
                </c:pt>
                <c:pt idx="1458">
                  <c:v>41179</c:v>
                </c:pt>
                <c:pt idx="1459">
                  <c:v>41180</c:v>
                </c:pt>
                <c:pt idx="1460">
                  <c:v>41181</c:v>
                </c:pt>
                <c:pt idx="1461">
                  <c:v>41182</c:v>
                </c:pt>
                <c:pt idx="1462">
                  <c:v>41183</c:v>
                </c:pt>
                <c:pt idx="1463">
                  <c:v>41184</c:v>
                </c:pt>
                <c:pt idx="1464">
                  <c:v>41185</c:v>
                </c:pt>
                <c:pt idx="1465">
                  <c:v>41186</c:v>
                </c:pt>
                <c:pt idx="1466">
                  <c:v>41187</c:v>
                </c:pt>
                <c:pt idx="1467">
                  <c:v>41188</c:v>
                </c:pt>
                <c:pt idx="1468">
                  <c:v>41189</c:v>
                </c:pt>
                <c:pt idx="1469">
                  <c:v>41190</c:v>
                </c:pt>
                <c:pt idx="1470">
                  <c:v>41191</c:v>
                </c:pt>
                <c:pt idx="1471">
                  <c:v>41192</c:v>
                </c:pt>
                <c:pt idx="1472">
                  <c:v>41193</c:v>
                </c:pt>
                <c:pt idx="1473">
                  <c:v>41194</c:v>
                </c:pt>
                <c:pt idx="1474">
                  <c:v>41195</c:v>
                </c:pt>
                <c:pt idx="1475">
                  <c:v>41196</c:v>
                </c:pt>
                <c:pt idx="1476">
                  <c:v>41197</c:v>
                </c:pt>
                <c:pt idx="1477">
                  <c:v>41198</c:v>
                </c:pt>
                <c:pt idx="1478">
                  <c:v>41199</c:v>
                </c:pt>
                <c:pt idx="1479">
                  <c:v>41200</c:v>
                </c:pt>
                <c:pt idx="1480">
                  <c:v>41201</c:v>
                </c:pt>
                <c:pt idx="1481">
                  <c:v>41202</c:v>
                </c:pt>
                <c:pt idx="1482">
                  <c:v>41203</c:v>
                </c:pt>
                <c:pt idx="1483">
                  <c:v>41204</c:v>
                </c:pt>
                <c:pt idx="1484">
                  <c:v>41205</c:v>
                </c:pt>
                <c:pt idx="1485">
                  <c:v>41206</c:v>
                </c:pt>
                <c:pt idx="1486">
                  <c:v>41207</c:v>
                </c:pt>
                <c:pt idx="1487">
                  <c:v>41208</c:v>
                </c:pt>
                <c:pt idx="1488">
                  <c:v>41209</c:v>
                </c:pt>
                <c:pt idx="1489">
                  <c:v>41210</c:v>
                </c:pt>
                <c:pt idx="1490">
                  <c:v>41211</c:v>
                </c:pt>
                <c:pt idx="1491">
                  <c:v>41212</c:v>
                </c:pt>
                <c:pt idx="1492">
                  <c:v>41213</c:v>
                </c:pt>
                <c:pt idx="1493">
                  <c:v>41214</c:v>
                </c:pt>
                <c:pt idx="1494">
                  <c:v>41215</c:v>
                </c:pt>
                <c:pt idx="1495">
                  <c:v>41216</c:v>
                </c:pt>
                <c:pt idx="1496">
                  <c:v>41217</c:v>
                </c:pt>
                <c:pt idx="1497">
                  <c:v>41218</c:v>
                </c:pt>
                <c:pt idx="1498">
                  <c:v>41219</c:v>
                </c:pt>
                <c:pt idx="1499">
                  <c:v>41220</c:v>
                </c:pt>
                <c:pt idx="1500">
                  <c:v>41221</c:v>
                </c:pt>
                <c:pt idx="1501">
                  <c:v>41222</c:v>
                </c:pt>
                <c:pt idx="1502">
                  <c:v>41223</c:v>
                </c:pt>
                <c:pt idx="1503">
                  <c:v>41224</c:v>
                </c:pt>
                <c:pt idx="1504">
                  <c:v>41225</c:v>
                </c:pt>
                <c:pt idx="1505">
                  <c:v>41226</c:v>
                </c:pt>
                <c:pt idx="1506">
                  <c:v>41227</c:v>
                </c:pt>
                <c:pt idx="1507">
                  <c:v>41228</c:v>
                </c:pt>
                <c:pt idx="1508">
                  <c:v>41229</c:v>
                </c:pt>
                <c:pt idx="1509">
                  <c:v>41230</c:v>
                </c:pt>
                <c:pt idx="1510">
                  <c:v>41231</c:v>
                </c:pt>
                <c:pt idx="1511">
                  <c:v>41232</c:v>
                </c:pt>
                <c:pt idx="1512">
                  <c:v>41233</c:v>
                </c:pt>
                <c:pt idx="1513">
                  <c:v>41234</c:v>
                </c:pt>
                <c:pt idx="1514">
                  <c:v>41235</c:v>
                </c:pt>
                <c:pt idx="1515">
                  <c:v>41236</c:v>
                </c:pt>
                <c:pt idx="1516">
                  <c:v>41237</c:v>
                </c:pt>
                <c:pt idx="1517">
                  <c:v>41238</c:v>
                </c:pt>
                <c:pt idx="1518">
                  <c:v>41239</c:v>
                </c:pt>
                <c:pt idx="1519">
                  <c:v>41240</c:v>
                </c:pt>
                <c:pt idx="1520">
                  <c:v>41241</c:v>
                </c:pt>
                <c:pt idx="1521">
                  <c:v>41242</c:v>
                </c:pt>
                <c:pt idx="1522">
                  <c:v>41243</c:v>
                </c:pt>
                <c:pt idx="1523">
                  <c:v>41244</c:v>
                </c:pt>
                <c:pt idx="1524">
                  <c:v>41245</c:v>
                </c:pt>
                <c:pt idx="1525">
                  <c:v>41246</c:v>
                </c:pt>
                <c:pt idx="1526">
                  <c:v>41247</c:v>
                </c:pt>
                <c:pt idx="1527">
                  <c:v>41248</c:v>
                </c:pt>
                <c:pt idx="1528">
                  <c:v>41249</c:v>
                </c:pt>
                <c:pt idx="1529">
                  <c:v>41250</c:v>
                </c:pt>
                <c:pt idx="1530">
                  <c:v>41251</c:v>
                </c:pt>
                <c:pt idx="1531">
                  <c:v>41252</c:v>
                </c:pt>
                <c:pt idx="1532">
                  <c:v>41253</c:v>
                </c:pt>
                <c:pt idx="1533">
                  <c:v>41254</c:v>
                </c:pt>
                <c:pt idx="1534">
                  <c:v>41255</c:v>
                </c:pt>
                <c:pt idx="1535">
                  <c:v>41256</c:v>
                </c:pt>
                <c:pt idx="1536">
                  <c:v>41257</c:v>
                </c:pt>
                <c:pt idx="1537">
                  <c:v>41258</c:v>
                </c:pt>
                <c:pt idx="1538">
                  <c:v>41259</c:v>
                </c:pt>
                <c:pt idx="1539">
                  <c:v>41260</c:v>
                </c:pt>
                <c:pt idx="1540">
                  <c:v>41261</c:v>
                </c:pt>
                <c:pt idx="1541">
                  <c:v>41262</c:v>
                </c:pt>
                <c:pt idx="1542">
                  <c:v>41263</c:v>
                </c:pt>
                <c:pt idx="1543">
                  <c:v>41264</c:v>
                </c:pt>
                <c:pt idx="1544">
                  <c:v>41265</c:v>
                </c:pt>
                <c:pt idx="1545">
                  <c:v>41266</c:v>
                </c:pt>
                <c:pt idx="1546">
                  <c:v>41267</c:v>
                </c:pt>
                <c:pt idx="1547">
                  <c:v>41268</c:v>
                </c:pt>
                <c:pt idx="1548">
                  <c:v>41269</c:v>
                </c:pt>
                <c:pt idx="1549">
                  <c:v>41270</c:v>
                </c:pt>
                <c:pt idx="1550">
                  <c:v>41271</c:v>
                </c:pt>
                <c:pt idx="1551">
                  <c:v>41272</c:v>
                </c:pt>
                <c:pt idx="1552">
                  <c:v>41273</c:v>
                </c:pt>
                <c:pt idx="1553">
                  <c:v>41274</c:v>
                </c:pt>
                <c:pt idx="1554">
                  <c:v>41275</c:v>
                </c:pt>
                <c:pt idx="1555">
                  <c:v>41276</c:v>
                </c:pt>
                <c:pt idx="1556">
                  <c:v>41277</c:v>
                </c:pt>
                <c:pt idx="1557">
                  <c:v>41278</c:v>
                </c:pt>
                <c:pt idx="1558">
                  <c:v>41279</c:v>
                </c:pt>
                <c:pt idx="1559">
                  <c:v>41280</c:v>
                </c:pt>
                <c:pt idx="1560">
                  <c:v>41281</c:v>
                </c:pt>
                <c:pt idx="1561">
                  <c:v>41282</c:v>
                </c:pt>
                <c:pt idx="1562">
                  <c:v>41283</c:v>
                </c:pt>
                <c:pt idx="1563">
                  <c:v>41284</c:v>
                </c:pt>
                <c:pt idx="1564">
                  <c:v>41285</c:v>
                </c:pt>
                <c:pt idx="1565">
                  <c:v>41286</c:v>
                </c:pt>
                <c:pt idx="1566">
                  <c:v>41287</c:v>
                </c:pt>
                <c:pt idx="1567">
                  <c:v>41288</c:v>
                </c:pt>
                <c:pt idx="1568">
                  <c:v>41289</c:v>
                </c:pt>
                <c:pt idx="1569">
                  <c:v>41290</c:v>
                </c:pt>
                <c:pt idx="1570">
                  <c:v>41291</c:v>
                </c:pt>
                <c:pt idx="1571">
                  <c:v>41292</c:v>
                </c:pt>
                <c:pt idx="1572">
                  <c:v>41293</c:v>
                </c:pt>
                <c:pt idx="1573">
                  <c:v>41294</c:v>
                </c:pt>
                <c:pt idx="1574">
                  <c:v>41295</c:v>
                </c:pt>
                <c:pt idx="1575">
                  <c:v>41296</c:v>
                </c:pt>
                <c:pt idx="1576">
                  <c:v>41297</c:v>
                </c:pt>
                <c:pt idx="1577">
                  <c:v>41298</c:v>
                </c:pt>
                <c:pt idx="1578">
                  <c:v>41299</c:v>
                </c:pt>
                <c:pt idx="1579">
                  <c:v>41300</c:v>
                </c:pt>
                <c:pt idx="1580">
                  <c:v>41301</c:v>
                </c:pt>
                <c:pt idx="1581">
                  <c:v>41302</c:v>
                </c:pt>
                <c:pt idx="1582">
                  <c:v>41303</c:v>
                </c:pt>
                <c:pt idx="1583">
                  <c:v>41304</c:v>
                </c:pt>
                <c:pt idx="1584">
                  <c:v>41305</c:v>
                </c:pt>
                <c:pt idx="1585">
                  <c:v>41306</c:v>
                </c:pt>
                <c:pt idx="1586">
                  <c:v>41307</c:v>
                </c:pt>
                <c:pt idx="1587">
                  <c:v>41308</c:v>
                </c:pt>
                <c:pt idx="1588">
                  <c:v>41309</c:v>
                </c:pt>
                <c:pt idx="1589">
                  <c:v>41310</c:v>
                </c:pt>
                <c:pt idx="1590">
                  <c:v>41311</c:v>
                </c:pt>
                <c:pt idx="1591">
                  <c:v>41312</c:v>
                </c:pt>
                <c:pt idx="1592">
                  <c:v>41313</c:v>
                </c:pt>
                <c:pt idx="1593">
                  <c:v>41314</c:v>
                </c:pt>
                <c:pt idx="1594">
                  <c:v>41315</c:v>
                </c:pt>
                <c:pt idx="1595">
                  <c:v>41316</c:v>
                </c:pt>
                <c:pt idx="1596">
                  <c:v>41317</c:v>
                </c:pt>
                <c:pt idx="1597">
                  <c:v>41318</c:v>
                </c:pt>
                <c:pt idx="1598">
                  <c:v>41319</c:v>
                </c:pt>
                <c:pt idx="1599">
                  <c:v>41320</c:v>
                </c:pt>
                <c:pt idx="1600">
                  <c:v>41321</c:v>
                </c:pt>
                <c:pt idx="1601">
                  <c:v>41322</c:v>
                </c:pt>
                <c:pt idx="1602">
                  <c:v>41323</c:v>
                </c:pt>
                <c:pt idx="1603">
                  <c:v>41324</c:v>
                </c:pt>
                <c:pt idx="1604">
                  <c:v>41325</c:v>
                </c:pt>
                <c:pt idx="1605">
                  <c:v>41326</c:v>
                </c:pt>
                <c:pt idx="1606">
                  <c:v>41327</c:v>
                </c:pt>
                <c:pt idx="1607">
                  <c:v>41328</c:v>
                </c:pt>
                <c:pt idx="1608">
                  <c:v>41329</c:v>
                </c:pt>
                <c:pt idx="1609">
                  <c:v>41330</c:v>
                </c:pt>
                <c:pt idx="1610">
                  <c:v>41331</c:v>
                </c:pt>
                <c:pt idx="1611">
                  <c:v>41332</c:v>
                </c:pt>
                <c:pt idx="1612">
                  <c:v>41333</c:v>
                </c:pt>
                <c:pt idx="1613">
                  <c:v>41334</c:v>
                </c:pt>
                <c:pt idx="1614">
                  <c:v>41335</c:v>
                </c:pt>
                <c:pt idx="1615">
                  <c:v>41336</c:v>
                </c:pt>
                <c:pt idx="1616">
                  <c:v>41337</c:v>
                </c:pt>
                <c:pt idx="1617">
                  <c:v>41338</c:v>
                </c:pt>
                <c:pt idx="1618">
                  <c:v>41339</c:v>
                </c:pt>
                <c:pt idx="1619">
                  <c:v>41340</c:v>
                </c:pt>
                <c:pt idx="1620">
                  <c:v>41341</c:v>
                </c:pt>
                <c:pt idx="1621">
                  <c:v>41342</c:v>
                </c:pt>
                <c:pt idx="1622">
                  <c:v>41343</c:v>
                </c:pt>
                <c:pt idx="1623">
                  <c:v>41344</c:v>
                </c:pt>
                <c:pt idx="1624">
                  <c:v>41345</c:v>
                </c:pt>
                <c:pt idx="1625">
                  <c:v>41346</c:v>
                </c:pt>
                <c:pt idx="1626">
                  <c:v>41347</c:v>
                </c:pt>
                <c:pt idx="1627">
                  <c:v>41348</c:v>
                </c:pt>
                <c:pt idx="1628">
                  <c:v>41349</c:v>
                </c:pt>
                <c:pt idx="1629">
                  <c:v>41350</c:v>
                </c:pt>
                <c:pt idx="1630">
                  <c:v>41351</c:v>
                </c:pt>
                <c:pt idx="1631">
                  <c:v>41352</c:v>
                </c:pt>
                <c:pt idx="1632">
                  <c:v>41353</c:v>
                </c:pt>
                <c:pt idx="1633">
                  <c:v>41354</c:v>
                </c:pt>
                <c:pt idx="1634">
                  <c:v>41355</c:v>
                </c:pt>
                <c:pt idx="1635">
                  <c:v>41356</c:v>
                </c:pt>
                <c:pt idx="1636">
                  <c:v>41357</c:v>
                </c:pt>
                <c:pt idx="1637">
                  <c:v>41358</c:v>
                </c:pt>
                <c:pt idx="1638">
                  <c:v>41359</c:v>
                </c:pt>
                <c:pt idx="1639">
                  <c:v>41360</c:v>
                </c:pt>
                <c:pt idx="1640">
                  <c:v>41361</c:v>
                </c:pt>
                <c:pt idx="1641">
                  <c:v>41362</c:v>
                </c:pt>
                <c:pt idx="1642">
                  <c:v>41363</c:v>
                </c:pt>
                <c:pt idx="1643">
                  <c:v>41364</c:v>
                </c:pt>
                <c:pt idx="1644">
                  <c:v>41365</c:v>
                </c:pt>
                <c:pt idx="1645">
                  <c:v>41366</c:v>
                </c:pt>
                <c:pt idx="1646">
                  <c:v>41367</c:v>
                </c:pt>
                <c:pt idx="1647">
                  <c:v>41368</c:v>
                </c:pt>
                <c:pt idx="1648">
                  <c:v>41369</c:v>
                </c:pt>
                <c:pt idx="1649">
                  <c:v>41370</c:v>
                </c:pt>
                <c:pt idx="1650">
                  <c:v>41371</c:v>
                </c:pt>
                <c:pt idx="1651">
                  <c:v>41372</c:v>
                </c:pt>
                <c:pt idx="1652">
                  <c:v>41373</c:v>
                </c:pt>
                <c:pt idx="1653">
                  <c:v>41374</c:v>
                </c:pt>
                <c:pt idx="1654">
                  <c:v>41375</c:v>
                </c:pt>
                <c:pt idx="1655">
                  <c:v>41376</c:v>
                </c:pt>
                <c:pt idx="1656">
                  <c:v>41377</c:v>
                </c:pt>
                <c:pt idx="1657">
                  <c:v>41378</c:v>
                </c:pt>
                <c:pt idx="1658">
                  <c:v>41379</c:v>
                </c:pt>
                <c:pt idx="1659">
                  <c:v>41380</c:v>
                </c:pt>
                <c:pt idx="1660">
                  <c:v>41381</c:v>
                </c:pt>
                <c:pt idx="1661">
                  <c:v>41382</c:v>
                </c:pt>
                <c:pt idx="1662">
                  <c:v>41383</c:v>
                </c:pt>
                <c:pt idx="1663">
                  <c:v>41384</c:v>
                </c:pt>
                <c:pt idx="1664">
                  <c:v>41385</c:v>
                </c:pt>
                <c:pt idx="1665">
                  <c:v>41386</c:v>
                </c:pt>
                <c:pt idx="1666">
                  <c:v>41387</c:v>
                </c:pt>
                <c:pt idx="1667">
                  <c:v>41388</c:v>
                </c:pt>
                <c:pt idx="1668">
                  <c:v>41389</c:v>
                </c:pt>
                <c:pt idx="1669">
                  <c:v>41390</c:v>
                </c:pt>
                <c:pt idx="1670">
                  <c:v>41391</c:v>
                </c:pt>
                <c:pt idx="1671">
                  <c:v>41392</c:v>
                </c:pt>
                <c:pt idx="1672">
                  <c:v>41393</c:v>
                </c:pt>
                <c:pt idx="1673">
                  <c:v>41394</c:v>
                </c:pt>
                <c:pt idx="1674">
                  <c:v>41395</c:v>
                </c:pt>
                <c:pt idx="1675">
                  <c:v>41396</c:v>
                </c:pt>
                <c:pt idx="1676">
                  <c:v>41397</c:v>
                </c:pt>
                <c:pt idx="1677">
                  <c:v>41398</c:v>
                </c:pt>
                <c:pt idx="1678">
                  <c:v>41399</c:v>
                </c:pt>
                <c:pt idx="1679">
                  <c:v>41400</c:v>
                </c:pt>
                <c:pt idx="1680">
                  <c:v>41401</c:v>
                </c:pt>
                <c:pt idx="1681">
                  <c:v>41402</c:v>
                </c:pt>
                <c:pt idx="1682">
                  <c:v>41403</c:v>
                </c:pt>
                <c:pt idx="1683">
                  <c:v>41404</c:v>
                </c:pt>
                <c:pt idx="1684">
                  <c:v>41405</c:v>
                </c:pt>
                <c:pt idx="1685">
                  <c:v>41406</c:v>
                </c:pt>
                <c:pt idx="1686">
                  <c:v>41407</c:v>
                </c:pt>
                <c:pt idx="1687">
                  <c:v>41408</c:v>
                </c:pt>
                <c:pt idx="1688">
                  <c:v>41409</c:v>
                </c:pt>
                <c:pt idx="1689">
                  <c:v>41410</c:v>
                </c:pt>
                <c:pt idx="1690">
                  <c:v>41411</c:v>
                </c:pt>
                <c:pt idx="1691">
                  <c:v>41412</c:v>
                </c:pt>
                <c:pt idx="1692">
                  <c:v>41413</c:v>
                </c:pt>
                <c:pt idx="1693">
                  <c:v>41414</c:v>
                </c:pt>
                <c:pt idx="1694">
                  <c:v>41415</c:v>
                </c:pt>
                <c:pt idx="1695">
                  <c:v>41416</c:v>
                </c:pt>
                <c:pt idx="1696">
                  <c:v>41417</c:v>
                </c:pt>
                <c:pt idx="1697">
                  <c:v>41418</c:v>
                </c:pt>
                <c:pt idx="1698">
                  <c:v>41419</c:v>
                </c:pt>
                <c:pt idx="1699">
                  <c:v>41420</c:v>
                </c:pt>
                <c:pt idx="1700">
                  <c:v>41421</c:v>
                </c:pt>
                <c:pt idx="1701">
                  <c:v>41422</c:v>
                </c:pt>
                <c:pt idx="1702">
                  <c:v>41423</c:v>
                </c:pt>
                <c:pt idx="1703">
                  <c:v>41424</c:v>
                </c:pt>
                <c:pt idx="1704">
                  <c:v>41425</c:v>
                </c:pt>
                <c:pt idx="1705">
                  <c:v>41426</c:v>
                </c:pt>
                <c:pt idx="1706">
                  <c:v>41427</c:v>
                </c:pt>
                <c:pt idx="1707">
                  <c:v>41428</c:v>
                </c:pt>
                <c:pt idx="1708">
                  <c:v>41429</c:v>
                </c:pt>
                <c:pt idx="1709">
                  <c:v>41430</c:v>
                </c:pt>
                <c:pt idx="1710">
                  <c:v>41431</c:v>
                </c:pt>
                <c:pt idx="1711">
                  <c:v>41432</c:v>
                </c:pt>
                <c:pt idx="1712">
                  <c:v>41433</c:v>
                </c:pt>
                <c:pt idx="1713">
                  <c:v>41434</c:v>
                </c:pt>
                <c:pt idx="1714">
                  <c:v>41435</c:v>
                </c:pt>
                <c:pt idx="1715">
                  <c:v>41436</c:v>
                </c:pt>
                <c:pt idx="1716">
                  <c:v>41437</c:v>
                </c:pt>
                <c:pt idx="1717">
                  <c:v>41438</c:v>
                </c:pt>
                <c:pt idx="1718">
                  <c:v>41439</c:v>
                </c:pt>
                <c:pt idx="1719">
                  <c:v>41440</c:v>
                </c:pt>
                <c:pt idx="1720">
                  <c:v>41441</c:v>
                </c:pt>
                <c:pt idx="1721">
                  <c:v>41442</c:v>
                </c:pt>
                <c:pt idx="1722">
                  <c:v>41443</c:v>
                </c:pt>
                <c:pt idx="1723">
                  <c:v>41444</c:v>
                </c:pt>
                <c:pt idx="1724">
                  <c:v>41445</c:v>
                </c:pt>
                <c:pt idx="1725">
                  <c:v>41446</c:v>
                </c:pt>
                <c:pt idx="1726">
                  <c:v>41447</c:v>
                </c:pt>
                <c:pt idx="1727">
                  <c:v>41448</c:v>
                </c:pt>
                <c:pt idx="1728">
                  <c:v>41449</c:v>
                </c:pt>
                <c:pt idx="1729">
                  <c:v>41450</c:v>
                </c:pt>
                <c:pt idx="1730">
                  <c:v>41451</c:v>
                </c:pt>
                <c:pt idx="1731">
                  <c:v>41452</c:v>
                </c:pt>
                <c:pt idx="1732">
                  <c:v>41453</c:v>
                </c:pt>
                <c:pt idx="1733">
                  <c:v>41454</c:v>
                </c:pt>
                <c:pt idx="1734">
                  <c:v>41455</c:v>
                </c:pt>
                <c:pt idx="1735">
                  <c:v>41456</c:v>
                </c:pt>
                <c:pt idx="1736">
                  <c:v>41457</c:v>
                </c:pt>
                <c:pt idx="1737">
                  <c:v>41458</c:v>
                </c:pt>
                <c:pt idx="1738">
                  <c:v>41459</c:v>
                </c:pt>
                <c:pt idx="1739">
                  <c:v>41460</c:v>
                </c:pt>
                <c:pt idx="1740">
                  <c:v>41461</c:v>
                </c:pt>
                <c:pt idx="1741">
                  <c:v>41462</c:v>
                </c:pt>
                <c:pt idx="1742">
                  <c:v>41463</c:v>
                </c:pt>
                <c:pt idx="1743">
                  <c:v>41464</c:v>
                </c:pt>
                <c:pt idx="1744">
                  <c:v>41465</c:v>
                </c:pt>
                <c:pt idx="1745">
                  <c:v>41466</c:v>
                </c:pt>
                <c:pt idx="1746">
                  <c:v>41467</c:v>
                </c:pt>
                <c:pt idx="1747">
                  <c:v>41468</c:v>
                </c:pt>
                <c:pt idx="1748">
                  <c:v>41469</c:v>
                </c:pt>
                <c:pt idx="1749">
                  <c:v>41470</c:v>
                </c:pt>
                <c:pt idx="1750">
                  <c:v>41471</c:v>
                </c:pt>
                <c:pt idx="1751">
                  <c:v>41472</c:v>
                </c:pt>
                <c:pt idx="1752">
                  <c:v>41473</c:v>
                </c:pt>
                <c:pt idx="1753">
                  <c:v>41474</c:v>
                </c:pt>
                <c:pt idx="1754">
                  <c:v>41475</c:v>
                </c:pt>
                <c:pt idx="1755">
                  <c:v>41476</c:v>
                </c:pt>
                <c:pt idx="1756">
                  <c:v>41477</c:v>
                </c:pt>
                <c:pt idx="1757">
                  <c:v>41478</c:v>
                </c:pt>
                <c:pt idx="1758">
                  <c:v>41479</c:v>
                </c:pt>
                <c:pt idx="1759">
                  <c:v>41480</c:v>
                </c:pt>
                <c:pt idx="1760">
                  <c:v>41481</c:v>
                </c:pt>
                <c:pt idx="1761">
                  <c:v>41482</c:v>
                </c:pt>
                <c:pt idx="1762">
                  <c:v>41483</c:v>
                </c:pt>
                <c:pt idx="1763">
                  <c:v>41484</c:v>
                </c:pt>
                <c:pt idx="1764">
                  <c:v>41485</c:v>
                </c:pt>
                <c:pt idx="1765">
                  <c:v>41486</c:v>
                </c:pt>
                <c:pt idx="1766">
                  <c:v>41487</c:v>
                </c:pt>
                <c:pt idx="1767">
                  <c:v>41488</c:v>
                </c:pt>
                <c:pt idx="1768">
                  <c:v>41489</c:v>
                </c:pt>
                <c:pt idx="1769">
                  <c:v>41490</c:v>
                </c:pt>
                <c:pt idx="1770">
                  <c:v>41491</c:v>
                </c:pt>
                <c:pt idx="1771">
                  <c:v>41492</c:v>
                </c:pt>
                <c:pt idx="1772">
                  <c:v>41493</c:v>
                </c:pt>
                <c:pt idx="1773">
                  <c:v>41494</c:v>
                </c:pt>
                <c:pt idx="1774">
                  <c:v>41495</c:v>
                </c:pt>
                <c:pt idx="1775">
                  <c:v>41496</c:v>
                </c:pt>
                <c:pt idx="1776">
                  <c:v>41497</c:v>
                </c:pt>
                <c:pt idx="1777">
                  <c:v>41498</c:v>
                </c:pt>
                <c:pt idx="1778">
                  <c:v>41499</c:v>
                </c:pt>
                <c:pt idx="1779">
                  <c:v>41500</c:v>
                </c:pt>
                <c:pt idx="1780">
                  <c:v>41501</c:v>
                </c:pt>
                <c:pt idx="1781">
                  <c:v>41502</c:v>
                </c:pt>
                <c:pt idx="1782">
                  <c:v>41503</c:v>
                </c:pt>
                <c:pt idx="1783">
                  <c:v>41504</c:v>
                </c:pt>
                <c:pt idx="1784">
                  <c:v>41505</c:v>
                </c:pt>
                <c:pt idx="1785">
                  <c:v>41506</c:v>
                </c:pt>
                <c:pt idx="1786">
                  <c:v>41507</c:v>
                </c:pt>
                <c:pt idx="1787">
                  <c:v>41508</c:v>
                </c:pt>
                <c:pt idx="1788">
                  <c:v>41509</c:v>
                </c:pt>
                <c:pt idx="1789">
                  <c:v>41510</c:v>
                </c:pt>
                <c:pt idx="1790">
                  <c:v>41511</c:v>
                </c:pt>
                <c:pt idx="1791">
                  <c:v>41512</c:v>
                </c:pt>
                <c:pt idx="1792">
                  <c:v>41513</c:v>
                </c:pt>
                <c:pt idx="1793">
                  <c:v>41514</c:v>
                </c:pt>
                <c:pt idx="1794">
                  <c:v>41515</c:v>
                </c:pt>
                <c:pt idx="1795">
                  <c:v>41516</c:v>
                </c:pt>
                <c:pt idx="1796">
                  <c:v>41517</c:v>
                </c:pt>
                <c:pt idx="1797">
                  <c:v>41518</c:v>
                </c:pt>
                <c:pt idx="1798">
                  <c:v>41519</c:v>
                </c:pt>
                <c:pt idx="1799">
                  <c:v>41520</c:v>
                </c:pt>
                <c:pt idx="1800">
                  <c:v>41521</c:v>
                </c:pt>
                <c:pt idx="1801">
                  <c:v>41522</c:v>
                </c:pt>
                <c:pt idx="1802">
                  <c:v>41523</c:v>
                </c:pt>
                <c:pt idx="1803">
                  <c:v>41524</c:v>
                </c:pt>
                <c:pt idx="1804">
                  <c:v>41525</c:v>
                </c:pt>
                <c:pt idx="1805">
                  <c:v>41526</c:v>
                </c:pt>
                <c:pt idx="1806">
                  <c:v>41527</c:v>
                </c:pt>
                <c:pt idx="1807">
                  <c:v>41528</c:v>
                </c:pt>
                <c:pt idx="1808">
                  <c:v>41529</c:v>
                </c:pt>
                <c:pt idx="1809">
                  <c:v>41530</c:v>
                </c:pt>
                <c:pt idx="1810">
                  <c:v>41531</c:v>
                </c:pt>
                <c:pt idx="1811">
                  <c:v>41532</c:v>
                </c:pt>
                <c:pt idx="1812">
                  <c:v>41533</c:v>
                </c:pt>
                <c:pt idx="1813">
                  <c:v>41534</c:v>
                </c:pt>
                <c:pt idx="1814">
                  <c:v>41535</c:v>
                </c:pt>
                <c:pt idx="1815">
                  <c:v>41536</c:v>
                </c:pt>
                <c:pt idx="1816">
                  <c:v>41537</c:v>
                </c:pt>
                <c:pt idx="1817">
                  <c:v>41538</c:v>
                </c:pt>
                <c:pt idx="1818">
                  <c:v>41539</c:v>
                </c:pt>
                <c:pt idx="1819">
                  <c:v>41540</c:v>
                </c:pt>
                <c:pt idx="1820">
                  <c:v>41541</c:v>
                </c:pt>
                <c:pt idx="1821">
                  <c:v>41542</c:v>
                </c:pt>
                <c:pt idx="1822">
                  <c:v>41543</c:v>
                </c:pt>
                <c:pt idx="1823">
                  <c:v>41544</c:v>
                </c:pt>
                <c:pt idx="1824">
                  <c:v>41545</c:v>
                </c:pt>
                <c:pt idx="1825">
                  <c:v>41546</c:v>
                </c:pt>
                <c:pt idx="1826">
                  <c:v>41547</c:v>
                </c:pt>
                <c:pt idx="1827">
                  <c:v>41548</c:v>
                </c:pt>
                <c:pt idx="1828">
                  <c:v>41549</c:v>
                </c:pt>
                <c:pt idx="1829">
                  <c:v>41550</c:v>
                </c:pt>
                <c:pt idx="1830">
                  <c:v>41551</c:v>
                </c:pt>
                <c:pt idx="1831">
                  <c:v>41552</c:v>
                </c:pt>
                <c:pt idx="1832">
                  <c:v>41553</c:v>
                </c:pt>
                <c:pt idx="1833">
                  <c:v>41554</c:v>
                </c:pt>
                <c:pt idx="1834">
                  <c:v>41555</c:v>
                </c:pt>
                <c:pt idx="1835">
                  <c:v>41556</c:v>
                </c:pt>
                <c:pt idx="1836">
                  <c:v>41557</c:v>
                </c:pt>
                <c:pt idx="1837">
                  <c:v>41558</c:v>
                </c:pt>
                <c:pt idx="1838">
                  <c:v>41559</c:v>
                </c:pt>
                <c:pt idx="1839">
                  <c:v>41560</c:v>
                </c:pt>
                <c:pt idx="1840">
                  <c:v>41561</c:v>
                </c:pt>
                <c:pt idx="1841">
                  <c:v>41562</c:v>
                </c:pt>
                <c:pt idx="1842">
                  <c:v>41563</c:v>
                </c:pt>
                <c:pt idx="1843">
                  <c:v>41564</c:v>
                </c:pt>
                <c:pt idx="1844">
                  <c:v>41565</c:v>
                </c:pt>
                <c:pt idx="1845">
                  <c:v>41566</c:v>
                </c:pt>
                <c:pt idx="1846">
                  <c:v>41567</c:v>
                </c:pt>
                <c:pt idx="1847">
                  <c:v>41568</c:v>
                </c:pt>
                <c:pt idx="1848">
                  <c:v>41569</c:v>
                </c:pt>
                <c:pt idx="1849">
                  <c:v>41570</c:v>
                </c:pt>
                <c:pt idx="1850">
                  <c:v>41571</c:v>
                </c:pt>
                <c:pt idx="1851">
                  <c:v>41572</c:v>
                </c:pt>
                <c:pt idx="1852">
                  <c:v>41573</c:v>
                </c:pt>
                <c:pt idx="1853">
                  <c:v>41574</c:v>
                </c:pt>
                <c:pt idx="1854">
                  <c:v>41575</c:v>
                </c:pt>
                <c:pt idx="1855">
                  <c:v>41576</c:v>
                </c:pt>
                <c:pt idx="1856">
                  <c:v>41577</c:v>
                </c:pt>
                <c:pt idx="1857">
                  <c:v>41578</c:v>
                </c:pt>
                <c:pt idx="1858">
                  <c:v>41579</c:v>
                </c:pt>
                <c:pt idx="1859">
                  <c:v>41580</c:v>
                </c:pt>
                <c:pt idx="1860">
                  <c:v>41581</c:v>
                </c:pt>
                <c:pt idx="1861">
                  <c:v>41582</c:v>
                </c:pt>
                <c:pt idx="1862">
                  <c:v>41583</c:v>
                </c:pt>
                <c:pt idx="1863">
                  <c:v>41584</c:v>
                </c:pt>
                <c:pt idx="1864">
                  <c:v>41585</c:v>
                </c:pt>
                <c:pt idx="1865">
                  <c:v>41586</c:v>
                </c:pt>
                <c:pt idx="1866">
                  <c:v>41587</c:v>
                </c:pt>
                <c:pt idx="1867">
                  <c:v>41588</c:v>
                </c:pt>
                <c:pt idx="1868">
                  <c:v>41589</c:v>
                </c:pt>
                <c:pt idx="1869">
                  <c:v>41590</c:v>
                </c:pt>
                <c:pt idx="1870">
                  <c:v>41591</c:v>
                </c:pt>
                <c:pt idx="1871">
                  <c:v>41592</c:v>
                </c:pt>
                <c:pt idx="1872">
                  <c:v>41593</c:v>
                </c:pt>
                <c:pt idx="1873">
                  <c:v>41594</c:v>
                </c:pt>
                <c:pt idx="1874">
                  <c:v>41595</c:v>
                </c:pt>
                <c:pt idx="1875">
                  <c:v>41596</c:v>
                </c:pt>
                <c:pt idx="1876">
                  <c:v>41597</c:v>
                </c:pt>
                <c:pt idx="1877">
                  <c:v>41598</c:v>
                </c:pt>
                <c:pt idx="1878">
                  <c:v>41599</c:v>
                </c:pt>
                <c:pt idx="1879">
                  <c:v>41600</c:v>
                </c:pt>
                <c:pt idx="1880">
                  <c:v>41601</c:v>
                </c:pt>
                <c:pt idx="1881">
                  <c:v>41602</c:v>
                </c:pt>
                <c:pt idx="1882">
                  <c:v>41603</c:v>
                </c:pt>
                <c:pt idx="1883">
                  <c:v>41604</c:v>
                </c:pt>
                <c:pt idx="1884">
                  <c:v>41605</c:v>
                </c:pt>
                <c:pt idx="1885">
                  <c:v>41606</c:v>
                </c:pt>
                <c:pt idx="1886">
                  <c:v>41607</c:v>
                </c:pt>
                <c:pt idx="1887">
                  <c:v>41608</c:v>
                </c:pt>
                <c:pt idx="1888">
                  <c:v>41609</c:v>
                </c:pt>
                <c:pt idx="1889">
                  <c:v>41610</c:v>
                </c:pt>
                <c:pt idx="1890">
                  <c:v>41611</c:v>
                </c:pt>
                <c:pt idx="1891">
                  <c:v>41612</c:v>
                </c:pt>
                <c:pt idx="1892">
                  <c:v>41613</c:v>
                </c:pt>
                <c:pt idx="1893">
                  <c:v>41614</c:v>
                </c:pt>
                <c:pt idx="1894">
                  <c:v>41615</c:v>
                </c:pt>
                <c:pt idx="1895">
                  <c:v>41616</c:v>
                </c:pt>
                <c:pt idx="1896">
                  <c:v>41617</c:v>
                </c:pt>
                <c:pt idx="1897">
                  <c:v>41618</c:v>
                </c:pt>
                <c:pt idx="1898">
                  <c:v>41619</c:v>
                </c:pt>
                <c:pt idx="1899">
                  <c:v>41620</c:v>
                </c:pt>
                <c:pt idx="1900">
                  <c:v>41621</c:v>
                </c:pt>
                <c:pt idx="1901">
                  <c:v>41622</c:v>
                </c:pt>
                <c:pt idx="1902">
                  <c:v>41623</c:v>
                </c:pt>
                <c:pt idx="1903">
                  <c:v>41624</c:v>
                </c:pt>
                <c:pt idx="1904">
                  <c:v>41625</c:v>
                </c:pt>
                <c:pt idx="1905">
                  <c:v>41626</c:v>
                </c:pt>
                <c:pt idx="1906">
                  <c:v>41627</c:v>
                </c:pt>
                <c:pt idx="1907">
                  <c:v>41628</c:v>
                </c:pt>
                <c:pt idx="1908">
                  <c:v>41629</c:v>
                </c:pt>
                <c:pt idx="1909">
                  <c:v>41630</c:v>
                </c:pt>
                <c:pt idx="1910">
                  <c:v>41631</c:v>
                </c:pt>
                <c:pt idx="1911">
                  <c:v>41632</c:v>
                </c:pt>
                <c:pt idx="1912">
                  <c:v>41633</c:v>
                </c:pt>
                <c:pt idx="1913">
                  <c:v>41634</c:v>
                </c:pt>
                <c:pt idx="1914">
                  <c:v>41635</c:v>
                </c:pt>
                <c:pt idx="1915">
                  <c:v>41636</c:v>
                </c:pt>
                <c:pt idx="1916">
                  <c:v>41637</c:v>
                </c:pt>
                <c:pt idx="1917">
                  <c:v>41638</c:v>
                </c:pt>
                <c:pt idx="1918">
                  <c:v>41639</c:v>
                </c:pt>
                <c:pt idx="1919">
                  <c:v>41640</c:v>
                </c:pt>
                <c:pt idx="1920">
                  <c:v>41641</c:v>
                </c:pt>
                <c:pt idx="1921">
                  <c:v>41642</c:v>
                </c:pt>
                <c:pt idx="1922">
                  <c:v>41643</c:v>
                </c:pt>
                <c:pt idx="1923">
                  <c:v>41644</c:v>
                </c:pt>
                <c:pt idx="1924">
                  <c:v>41645</c:v>
                </c:pt>
                <c:pt idx="1925">
                  <c:v>41646</c:v>
                </c:pt>
                <c:pt idx="1926">
                  <c:v>41647</c:v>
                </c:pt>
                <c:pt idx="1927">
                  <c:v>41648</c:v>
                </c:pt>
                <c:pt idx="1928">
                  <c:v>41649</c:v>
                </c:pt>
                <c:pt idx="1929">
                  <c:v>41650</c:v>
                </c:pt>
                <c:pt idx="1930">
                  <c:v>41651</c:v>
                </c:pt>
                <c:pt idx="1931">
                  <c:v>41652</c:v>
                </c:pt>
                <c:pt idx="1932">
                  <c:v>41653</c:v>
                </c:pt>
                <c:pt idx="1933">
                  <c:v>41654</c:v>
                </c:pt>
                <c:pt idx="1934">
                  <c:v>41655</c:v>
                </c:pt>
                <c:pt idx="1935">
                  <c:v>41656</c:v>
                </c:pt>
                <c:pt idx="1936">
                  <c:v>41657</c:v>
                </c:pt>
                <c:pt idx="1937">
                  <c:v>41658</c:v>
                </c:pt>
                <c:pt idx="1938">
                  <c:v>41659</c:v>
                </c:pt>
                <c:pt idx="1939">
                  <c:v>41660</c:v>
                </c:pt>
                <c:pt idx="1940">
                  <c:v>41661</c:v>
                </c:pt>
                <c:pt idx="1941">
                  <c:v>41662</c:v>
                </c:pt>
                <c:pt idx="1942">
                  <c:v>41663</c:v>
                </c:pt>
                <c:pt idx="1943">
                  <c:v>41664</c:v>
                </c:pt>
                <c:pt idx="1944">
                  <c:v>41665</c:v>
                </c:pt>
                <c:pt idx="1945">
                  <c:v>41666</c:v>
                </c:pt>
                <c:pt idx="1946">
                  <c:v>41667</c:v>
                </c:pt>
                <c:pt idx="1947">
                  <c:v>41668</c:v>
                </c:pt>
                <c:pt idx="1948">
                  <c:v>41669</c:v>
                </c:pt>
                <c:pt idx="1949">
                  <c:v>41670</c:v>
                </c:pt>
                <c:pt idx="1950">
                  <c:v>41671</c:v>
                </c:pt>
                <c:pt idx="1951">
                  <c:v>41672</c:v>
                </c:pt>
                <c:pt idx="1952">
                  <c:v>41673</c:v>
                </c:pt>
                <c:pt idx="1953">
                  <c:v>41674</c:v>
                </c:pt>
                <c:pt idx="1954">
                  <c:v>41675</c:v>
                </c:pt>
                <c:pt idx="1955">
                  <c:v>41676</c:v>
                </c:pt>
                <c:pt idx="1956">
                  <c:v>41677</c:v>
                </c:pt>
                <c:pt idx="1957">
                  <c:v>41678</c:v>
                </c:pt>
                <c:pt idx="1958">
                  <c:v>41679</c:v>
                </c:pt>
                <c:pt idx="1959">
                  <c:v>41680</c:v>
                </c:pt>
                <c:pt idx="1960">
                  <c:v>41681</c:v>
                </c:pt>
                <c:pt idx="1961">
                  <c:v>41682</c:v>
                </c:pt>
                <c:pt idx="1962">
                  <c:v>41683</c:v>
                </c:pt>
                <c:pt idx="1963">
                  <c:v>41684</c:v>
                </c:pt>
                <c:pt idx="1964">
                  <c:v>41685</c:v>
                </c:pt>
                <c:pt idx="1965">
                  <c:v>41686</c:v>
                </c:pt>
                <c:pt idx="1966">
                  <c:v>41687</c:v>
                </c:pt>
                <c:pt idx="1967">
                  <c:v>41688</c:v>
                </c:pt>
                <c:pt idx="1968">
                  <c:v>41689</c:v>
                </c:pt>
                <c:pt idx="1969">
                  <c:v>41690</c:v>
                </c:pt>
                <c:pt idx="1970">
                  <c:v>41691</c:v>
                </c:pt>
                <c:pt idx="1971">
                  <c:v>41692</c:v>
                </c:pt>
                <c:pt idx="1972">
                  <c:v>41693</c:v>
                </c:pt>
                <c:pt idx="1973">
                  <c:v>41694</c:v>
                </c:pt>
                <c:pt idx="1974">
                  <c:v>41695</c:v>
                </c:pt>
                <c:pt idx="1975">
                  <c:v>41696</c:v>
                </c:pt>
                <c:pt idx="1976">
                  <c:v>41697</c:v>
                </c:pt>
                <c:pt idx="1977">
                  <c:v>41698</c:v>
                </c:pt>
                <c:pt idx="1978">
                  <c:v>41699</c:v>
                </c:pt>
                <c:pt idx="1979">
                  <c:v>41700</c:v>
                </c:pt>
                <c:pt idx="1980">
                  <c:v>41701</c:v>
                </c:pt>
                <c:pt idx="1981">
                  <c:v>41702</c:v>
                </c:pt>
                <c:pt idx="1982">
                  <c:v>41703</c:v>
                </c:pt>
                <c:pt idx="1983">
                  <c:v>41704</c:v>
                </c:pt>
                <c:pt idx="1984">
                  <c:v>41705</c:v>
                </c:pt>
                <c:pt idx="1985">
                  <c:v>41706</c:v>
                </c:pt>
                <c:pt idx="1986">
                  <c:v>41707</c:v>
                </c:pt>
                <c:pt idx="1987">
                  <c:v>41708</c:v>
                </c:pt>
                <c:pt idx="1988">
                  <c:v>41709</c:v>
                </c:pt>
                <c:pt idx="1989">
                  <c:v>41710</c:v>
                </c:pt>
                <c:pt idx="1990">
                  <c:v>41711</c:v>
                </c:pt>
                <c:pt idx="1991">
                  <c:v>41712</c:v>
                </c:pt>
                <c:pt idx="1992">
                  <c:v>41713</c:v>
                </c:pt>
                <c:pt idx="1993">
                  <c:v>41714</c:v>
                </c:pt>
                <c:pt idx="1994">
                  <c:v>41715</c:v>
                </c:pt>
                <c:pt idx="1995">
                  <c:v>41716</c:v>
                </c:pt>
                <c:pt idx="1996">
                  <c:v>41717</c:v>
                </c:pt>
                <c:pt idx="1997">
                  <c:v>41718</c:v>
                </c:pt>
                <c:pt idx="1998">
                  <c:v>41719</c:v>
                </c:pt>
                <c:pt idx="1999">
                  <c:v>41720</c:v>
                </c:pt>
                <c:pt idx="2000">
                  <c:v>41721</c:v>
                </c:pt>
                <c:pt idx="2001">
                  <c:v>41722</c:v>
                </c:pt>
                <c:pt idx="2002">
                  <c:v>41723</c:v>
                </c:pt>
                <c:pt idx="2003">
                  <c:v>41724</c:v>
                </c:pt>
                <c:pt idx="2004">
                  <c:v>41725</c:v>
                </c:pt>
                <c:pt idx="2005">
                  <c:v>41726</c:v>
                </c:pt>
                <c:pt idx="2006">
                  <c:v>41727</c:v>
                </c:pt>
                <c:pt idx="2007">
                  <c:v>41728</c:v>
                </c:pt>
                <c:pt idx="2008">
                  <c:v>41729</c:v>
                </c:pt>
                <c:pt idx="2009">
                  <c:v>41730</c:v>
                </c:pt>
                <c:pt idx="2010">
                  <c:v>41731</c:v>
                </c:pt>
                <c:pt idx="2011">
                  <c:v>41732</c:v>
                </c:pt>
                <c:pt idx="2012">
                  <c:v>41733</c:v>
                </c:pt>
                <c:pt idx="2013">
                  <c:v>41734</c:v>
                </c:pt>
                <c:pt idx="2014">
                  <c:v>41735</c:v>
                </c:pt>
                <c:pt idx="2015">
                  <c:v>41736</c:v>
                </c:pt>
                <c:pt idx="2016">
                  <c:v>41737</c:v>
                </c:pt>
                <c:pt idx="2017">
                  <c:v>41738</c:v>
                </c:pt>
                <c:pt idx="2018">
                  <c:v>41739</c:v>
                </c:pt>
                <c:pt idx="2019">
                  <c:v>41740</c:v>
                </c:pt>
                <c:pt idx="2020">
                  <c:v>41741</c:v>
                </c:pt>
                <c:pt idx="2021">
                  <c:v>41742</c:v>
                </c:pt>
                <c:pt idx="2022">
                  <c:v>41743</c:v>
                </c:pt>
                <c:pt idx="2023">
                  <c:v>41744</c:v>
                </c:pt>
                <c:pt idx="2024">
                  <c:v>41745</c:v>
                </c:pt>
                <c:pt idx="2025">
                  <c:v>41746</c:v>
                </c:pt>
                <c:pt idx="2026">
                  <c:v>41747</c:v>
                </c:pt>
                <c:pt idx="2027">
                  <c:v>41748</c:v>
                </c:pt>
                <c:pt idx="2028">
                  <c:v>41749</c:v>
                </c:pt>
                <c:pt idx="2029">
                  <c:v>41750</c:v>
                </c:pt>
                <c:pt idx="2030">
                  <c:v>41751</c:v>
                </c:pt>
                <c:pt idx="2031">
                  <c:v>41752</c:v>
                </c:pt>
                <c:pt idx="2032">
                  <c:v>41753</c:v>
                </c:pt>
                <c:pt idx="2033">
                  <c:v>41754</c:v>
                </c:pt>
                <c:pt idx="2034">
                  <c:v>41755</c:v>
                </c:pt>
                <c:pt idx="2035">
                  <c:v>41756</c:v>
                </c:pt>
                <c:pt idx="2036">
                  <c:v>41757</c:v>
                </c:pt>
                <c:pt idx="2037">
                  <c:v>41758</c:v>
                </c:pt>
                <c:pt idx="2038">
                  <c:v>41759</c:v>
                </c:pt>
                <c:pt idx="2039">
                  <c:v>41760</c:v>
                </c:pt>
                <c:pt idx="2040">
                  <c:v>41761</c:v>
                </c:pt>
                <c:pt idx="2041">
                  <c:v>41762</c:v>
                </c:pt>
                <c:pt idx="2042">
                  <c:v>41763</c:v>
                </c:pt>
                <c:pt idx="2043">
                  <c:v>41764</c:v>
                </c:pt>
                <c:pt idx="2044">
                  <c:v>41765</c:v>
                </c:pt>
                <c:pt idx="2045">
                  <c:v>41766</c:v>
                </c:pt>
                <c:pt idx="2046">
                  <c:v>41767</c:v>
                </c:pt>
                <c:pt idx="2047">
                  <c:v>41768</c:v>
                </c:pt>
                <c:pt idx="2048">
                  <c:v>41769</c:v>
                </c:pt>
                <c:pt idx="2049">
                  <c:v>41770</c:v>
                </c:pt>
                <c:pt idx="2050">
                  <c:v>41771</c:v>
                </c:pt>
                <c:pt idx="2051">
                  <c:v>41772</c:v>
                </c:pt>
                <c:pt idx="2052">
                  <c:v>41773</c:v>
                </c:pt>
                <c:pt idx="2053">
                  <c:v>41774</c:v>
                </c:pt>
                <c:pt idx="2054">
                  <c:v>41775</c:v>
                </c:pt>
                <c:pt idx="2055">
                  <c:v>41776</c:v>
                </c:pt>
                <c:pt idx="2056">
                  <c:v>41777</c:v>
                </c:pt>
                <c:pt idx="2057">
                  <c:v>41778</c:v>
                </c:pt>
                <c:pt idx="2058">
                  <c:v>41779</c:v>
                </c:pt>
                <c:pt idx="2059">
                  <c:v>41780</c:v>
                </c:pt>
                <c:pt idx="2060">
                  <c:v>41781</c:v>
                </c:pt>
                <c:pt idx="2061">
                  <c:v>41782</c:v>
                </c:pt>
                <c:pt idx="2062">
                  <c:v>41783</c:v>
                </c:pt>
                <c:pt idx="2063">
                  <c:v>41784</c:v>
                </c:pt>
                <c:pt idx="2064">
                  <c:v>41785</c:v>
                </c:pt>
                <c:pt idx="2065">
                  <c:v>41786</c:v>
                </c:pt>
                <c:pt idx="2066">
                  <c:v>41787</c:v>
                </c:pt>
                <c:pt idx="2067">
                  <c:v>41788</c:v>
                </c:pt>
                <c:pt idx="2068">
                  <c:v>41789</c:v>
                </c:pt>
                <c:pt idx="2069">
                  <c:v>41790</c:v>
                </c:pt>
                <c:pt idx="2070">
                  <c:v>41791</c:v>
                </c:pt>
                <c:pt idx="2071">
                  <c:v>41792</c:v>
                </c:pt>
                <c:pt idx="2072">
                  <c:v>41793</c:v>
                </c:pt>
                <c:pt idx="2073">
                  <c:v>41794</c:v>
                </c:pt>
                <c:pt idx="2074">
                  <c:v>41795</c:v>
                </c:pt>
                <c:pt idx="2075">
                  <c:v>41796</c:v>
                </c:pt>
                <c:pt idx="2076">
                  <c:v>41797</c:v>
                </c:pt>
                <c:pt idx="2077">
                  <c:v>41798</c:v>
                </c:pt>
                <c:pt idx="2078">
                  <c:v>41799</c:v>
                </c:pt>
                <c:pt idx="2079">
                  <c:v>41800</c:v>
                </c:pt>
                <c:pt idx="2080">
                  <c:v>41801</c:v>
                </c:pt>
                <c:pt idx="2081">
                  <c:v>41802</c:v>
                </c:pt>
                <c:pt idx="2082">
                  <c:v>41803</c:v>
                </c:pt>
                <c:pt idx="2083">
                  <c:v>41804</c:v>
                </c:pt>
                <c:pt idx="2084">
                  <c:v>41805</c:v>
                </c:pt>
                <c:pt idx="2085">
                  <c:v>41806</c:v>
                </c:pt>
                <c:pt idx="2086">
                  <c:v>41807</c:v>
                </c:pt>
                <c:pt idx="2087">
                  <c:v>41808</c:v>
                </c:pt>
                <c:pt idx="2088">
                  <c:v>41809</c:v>
                </c:pt>
                <c:pt idx="2089">
                  <c:v>41810</c:v>
                </c:pt>
                <c:pt idx="2090">
                  <c:v>41811</c:v>
                </c:pt>
                <c:pt idx="2091">
                  <c:v>41812</c:v>
                </c:pt>
                <c:pt idx="2092">
                  <c:v>41813</c:v>
                </c:pt>
                <c:pt idx="2093">
                  <c:v>41814</c:v>
                </c:pt>
                <c:pt idx="2094">
                  <c:v>41815</c:v>
                </c:pt>
                <c:pt idx="2095">
                  <c:v>41816</c:v>
                </c:pt>
                <c:pt idx="2096">
                  <c:v>41817</c:v>
                </c:pt>
                <c:pt idx="2097">
                  <c:v>41818</c:v>
                </c:pt>
                <c:pt idx="2098">
                  <c:v>41819</c:v>
                </c:pt>
                <c:pt idx="2099">
                  <c:v>41820</c:v>
                </c:pt>
                <c:pt idx="2100">
                  <c:v>41821</c:v>
                </c:pt>
                <c:pt idx="2101">
                  <c:v>41822</c:v>
                </c:pt>
                <c:pt idx="2102">
                  <c:v>41823</c:v>
                </c:pt>
                <c:pt idx="2103">
                  <c:v>41824</c:v>
                </c:pt>
                <c:pt idx="2104">
                  <c:v>41825</c:v>
                </c:pt>
                <c:pt idx="2105">
                  <c:v>41826</c:v>
                </c:pt>
                <c:pt idx="2106">
                  <c:v>41827</c:v>
                </c:pt>
                <c:pt idx="2107">
                  <c:v>41828</c:v>
                </c:pt>
                <c:pt idx="2108">
                  <c:v>41829</c:v>
                </c:pt>
                <c:pt idx="2109">
                  <c:v>41830</c:v>
                </c:pt>
                <c:pt idx="2110">
                  <c:v>41831</c:v>
                </c:pt>
                <c:pt idx="2111">
                  <c:v>41832</c:v>
                </c:pt>
                <c:pt idx="2112">
                  <c:v>41833</c:v>
                </c:pt>
                <c:pt idx="2113">
                  <c:v>41834</c:v>
                </c:pt>
                <c:pt idx="2114">
                  <c:v>41835</c:v>
                </c:pt>
                <c:pt idx="2115">
                  <c:v>41836</c:v>
                </c:pt>
                <c:pt idx="2116">
                  <c:v>41837</c:v>
                </c:pt>
                <c:pt idx="2117">
                  <c:v>41838</c:v>
                </c:pt>
                <c:pt idx="2118">
                  <c:v>41839</c:v>
                </c:pt>
                <c:pt idx="2119">
                  <c:v>41840</c:v>
                </c:pt>
                <c:pt idx="2120">
                  <c:v>41841</c:v>
                </c:pt>
                <c:pt idx="2121">
                  <c:v>41842</c:v>
                </c:pt>
                <c:pt idx="2122">
                  <c:v>41843</c:v>
                </c:pt>
                <c:pt idx="2123">
                  <c:v>41844</c:v>
                </c:pt>
                <c:pt idx="2124">
                  <c:v>41845</c:v>
                </c:pt>
                <c:pt idx="2125">
                  <c:v>41846</c:v>
                </c:pt>
                <c:pt idx="2126">
                  <c:v>41847</c:v>
                </c:pt>
                <c:pt idx="2127">
                  <c:v>41848</c:v>
                </c:pt>
                <c:pt idx="2128">
                  <c:v>41849</c:v>
                </c:pt>
                <c:pt idx="2129">
                  <c:v>41850</c:v>
                </c:pt>
                <c:pt idx="2130">
                  <c:v>41851</c:v>
                </c:pt>
                <c:pt idx="2131">
                  <c:v>41852</c:v>
                </c:pt>
                <c:pt idx="2132">
                  <c:v>41853</c:v>
                </c:pt>
                <c:pt idx="2133">
                  <c:v>41854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41860</c:v>
                </c:pt>
                <c:pt idx="2140">
                  <c:v>41861</c:v>
                </c:pt>
                <c:pt idx="2141">
                  <c:v>41862</c:v>
                </c:pt>
                <c:pt idx="2142">
                  <c:v>41863</c:v>
                </c:pt>
                <c:pt idx="2143">
                  <c:v>41864</c:v>
                </c:pt>
                <c:pt idx="2144">
                  <c:v>41865</c:v>
                </c:pt>
                <c:pt idx="2145">
                  <c:v>41866</c:v>
                </c:pt>
                <c:pt idx="2146">
                  <c:v>41867</c:v>
                </c:pt>
                <c:pt idx="2147">
                  <c:v>41868</c:v>
                </c:pt>
                <c:pt idx="2148">
                  <c:v>41869</c:v>
                </c:pt>
                <c:pt idx="2149">
                  <c:v>41870</c:v>
                </c:pt>
                <c:pt idx="2150">
                  <c:v>41871</c:v>
                </c:pt>
                <c:pt idx="2151">
                  <c:v>41872</c:v>
                </c:pt>
                <c:pt idx="2152">
                  <c:v>41873</c:v>
                </c:pt>
                <c:pt idx="2153">
                  <c:v>41874</c:v>
                </c:pt>
                <c:pt idx="2154">
                  <c:v>41875</c:v>
                </c:pt>
                <c:pt idx="2155">
                  <c:v>41876</c:v>
                </c:pt>
                <c:pt idx="2156">
                  <c:v>41877</c:v>
                </c:pt>
                <c:pt idx="2157">
                  <c:v>41878</c:v>
                </c:pt>
                <c:pt idx="2158">
                  <c:v>41879</c:v>
                </c:pt>
                <c:pt idx="2159">
                  <c:v>41880</c:v>
                </c:pt>
                <c:pt idx="2160">
                  <c:v>41881</c:v>
                </c:pt>
                <c:pt idx="2161">
                  <c:v>41882</c:v>
                </c:pt>
                <c:pt idx="2162">
                  <c:v>41883</c:v>
                </c:pt>
                <c:pt idx="2163">
                  <c:v>41884</c:v>
                </c:pt>
                <c:pt idx="2164">
                  <c:v>41885</c:v>
                </c:pt>
                <c:pt idx="2165">
                  <c:v>41886</c:v>
                </c:pt>
                <c:pt idx="2166">
                  <c:v>41887</c:v>
                </c:pt>
                <c:pt idx="2167">
                  <c:v>41888</c:v>
                </c:pt>
                <c:pt idx="2168">
                  <c:v>41889</c:v>
                </c:pt>
                <c:pt idx="2169">
                  <c:v>41890</c:v>
                </c:pt>
                <c:pt idx="2170">
                  <c:v>41891</c:v>
                </c:pt>
                <c:pt idx="2171">
                  <c:v>41892</c:v>
                </c:pt>
                <c:pt idx="2172">
                  <c:v>41893</c:v>
                </c:pt>
                <c:pt idx="2173">
                  <c:v>41894</c:v>
                </c:pt>
                <c:pt idx="2174">
                  <c:v>41895</c:v>
                </c:pt>
                <c:pt idx="2175">
                  <c:v>41896</c:v>
                </c:pt>
                <c:pt idx="2176">
                  <c:v>41897</c:v>
                </c:pt>
                <c:pt idx="2177">
                  <c:v>41898</c:v>
                </c:pt>
                <c:pt idx="2178">
                  <c:v>41899</c:v>
                </c:pt>
                <c:pt idx="2179">
                  <c:v>41900</c:v>
                </c:pt>
                <c:pt idx="2180">
                  <c:v>41901</c:v>
                </c:pt>
                <c:pt idx="2181">
                  <c:v>41902</c:v>
                </c:pt>
                <c:pt idx="2182">
                  <c:v>41903</c:v>
                </c:pt>
                <c:pt idx="2183">
                  <c:v>41904</c:v>
                </c:pt>
                <c:pt idx="2184">
                  <c:v>41905</c:v>
                </c:pt>
                <c:pt idx="2185">
                  <c:v>41906</c:v>
                </c:pt>
                <c:pt idx="2186">
                  <c:v>41907</c:v>
                </c:pt>
                <c:pt idx="2187">
                  <c:v>41908</c:v>
                </c:pt>
                <c:pt idx="2188">
                  <c:v>41909</c:v>
                </c:pt>
                <c:pt idx="2189">
                  <c:v>41910</c:v>
                </c:pt>
                <c:pt idx="2190">
                  <c:v>41911</c:v>
                </c:pt>
                <c:pt idx="2191">
                  <c:v>41912</c:v>
                </c:pt>
                <c:pt idx="2192">
                  <c:v>41913</c:v>
                </c:pt>
                <c:pt idx="2193">
                  <c:v>41914</c:v>
                </c:pt>
                <c:pt idx="2194">
                  <c:v>41915</c:v>
                </c:pt>
                <c:pt idx="2195">
                  <c:v>41916</c:v>
                </c:pt>
                <c:pt idx="2196">
                  <c:v>41917</c:v>
                </c:pt>
                <c:pt idx="2197">
                  <c:v>41918</c:v>
                </c:pt>
                <c:pt idx="2198">
                  <c:v>41919</c:v>
                </c:pt>
                <c:pt idx="2199">
                  <c:v>41920</c:v>
                </c:pt>
                <c:pt idx="2200">
                  <c:v>41921</c:v>
                </c:pt>
                <c:pt idx="2201">
                  <c:v>41922</c:v>
                </c:pt>
                <c:pt idx="2202">
                  <c:v>41923</c:v>
                </c:pt>
                <c:pt idx="2203">
                  <c:v>41924</c:v>
                </c:pt>
                <c:pt idx="2204">
                  <c:v>41925</c:v>
                </c:pt>
                <c:pt idx="2205">
                  <c:v>41926</c:v>
                </c:pt>
                <c:pt idx="2206">
                  <c:v>41927</c:v>
                </c:pt>
                <c:pt idx="2207">
                  <c:v>41928</c:v>
                </c:pt>
                <c:pt idx="2208">
                  <c:v>41929</c:v>
                </c:pt>
                <c:pt idx="2209">
                  <c:v>41930</c:v>
                </c:pt>
                <c:pt idx="2210">
                  <c:v>41931</c:v>
                </c:pt>
                <c:pt idx="2211">
                  <c:v>41932</c:v>
                </c:pt>
                <c:pt idx="2212">
                  <c:v>41933</c:v>
                </c:pt>
                <c:pt idx="2213">
                  <c:v>41934</c:v>
                </c:pt>
                <c:pt idx="2214">
                  <c:v>41935</c:v>
                </c:pt>
                <c:pt idx="2215">
                  <c:v>41936</c:v>
                </c:pt>
                <c:pt idx="2216">
                  <c:v>41937</c:v>
                </c:pt>
                <c:pt idx="2217">
                  <c:v>41938</c:v>
                </c:pt>
                <c:pt idx="2218">
                  <c:v>41939</c:v>
                </c:pt>
                <c:pt idx="2219">
                  <c:v>41940</c:v>
                </c:pt>
                <c:pt idx="2220">
                  <c:v>41941</c:v>
                </c:pt>
                <c:pt idx="2221">
                  <c:v>41942</c:v>
                </c:pt>
                <c:pt idx="2222">
                  <c:v>41943</c:v>
                </c:pt>
                <c:pt idx="2223">
                  <c:v>41944</c:v>
                </c:pt>
                <c:pt idx="2224">
                  <c:v>41945</c:v>
                </c:pt>
                <c:pt idx="2225">
                  <c:v>41946</c:v>
                </c:pt>
                <c:pt idx="2226">
                  <c:v>41947</c:v>
                </c:pt>
                <c:pt idx="2227">
                  <c:v>41948</c:v>
                </c:pt>
                <c:pt idx="2228">
                  <c:v>41949</c:v>
                </c:pt>
                <c:pt idx="2229">
                  <c:v>41950</c:v>
                </c:pt>
                <c:pt idx="2230">
                  <c:v>41951</c:v>
                </c:pt>
                <c:pt idx="2231">
                  <c:v>41952</c:v>
                </c:pt>
                <c:pt idx="2232">
                  <c:v>41953</c:v>
                </c:pt>
                <c:pt idx="2233">
                  <c:v>41954</c:v>
                </c:pt>
                <c:pt idx="2234">
                  <c:v>41955</c:v>
                </c:pt>
                <c:pt idx="2235">
                  <c:v>41956</c:v>
                </c:pt>
                <c:pt idx="2236">
                  <c:v>41957</c:v>
                </c:pt>
                <c:pt idx="2237">
                  <c:v>41958</c:v>
                </c:pt>
                <c:pt idx="2238">
                  <c:v>41959</c:v>
                </c:pt>
                <c:pt idx="2239">
                  <c:v>41960</c:v>
                </c:pt>
                <c:pt idx="2240">
                  <c:v>41961</c:v>
                </c:pt>
                <c:pt idx="2241">
                  <c:v>41962</c:v>
                </c:pt>
                <c:pt idx="2242">
                  <c:v>41963</c:v>
                </c:pt>
                <c:pt idx="2243">
                  <c:v>41964</c:v>
                </c:pt>
                <c:pt idx="2244">
                  <c:v>41965</c:v>
                </c:pt>
                <c:pt idx="2245">
                  <c:v>41966</c:v>
                </c:pt>
                <c:pt idx="2246">
                  <c:v>41967</c:v>
                </c:pt>
                <c:pt idx="2247">
                  <c:v>41968</c:v>
                </c:pt>
                <c:pt idx="2248">
                  <c:v>41969</c:v>
                </c:pt>
                <c:pt idx="2249">
                  <c:v>41970</c:v>
                </c:pt>
                <c:pt idx="2250">
                  <c:v>41971</c:v>
                </c:pt>
                <c:pt idx="2251">
                  <c:v>41972</c:v>
                </c:pt>
                <c:pt idx="2252">
                  <c:v>41973</c:v>
                </c:pt>
                <c:pt idx="2253">
                  <c:v>41974</c:v>
                </c:pt>
                <c:pt idx="2254">
                  <c:v>41975</c:v>
                </c:pt>
                <c:pt idx="2255">
                  <c:v>41976</c:v>
                </c:pt>
                <c:pt idx="2256">
                  <c:v>41977</c:v>
                </c:pt>
                <c:pt idx="2257">
                  <c:v>41978</c:v>
                </c:pt>
                <c:pt idx="2258">
                  <c:v>41979</c:v>
                </c:pt>
                <c:pt idx="2259">
                  <c:v>41980</c:v>
                </c:pt>
                <c:pt idx="2260">
                  <c:v>41981</c:v>
                </c:pt>
                <c:pt idx="2261">
                  <c:v>41982</c:v>
                </c:pt>
                <c:pt idx="2262">
                  <c:v>41983</c:v>
                </c:pt>
                <c:pt idx="2263">
                  <c:v>41984</c:v>
                </c:pt>
                <c:pt idx="2264">
                  <c:v>41985</c:v>
                </c:pt>
                <c:pt idx="2265">
                  <c:v>41986</c:v>
                </c:pt>
                <c:pt idx="2266">
                  <c:v>41987</c:v>
                </c:pt>
                <c:pt idx="2267">
                  <c:v>41988</c:v>
                </c:pt>
                <c:pt idx="2268">
                  <c:v>41989</c:v>
                </c:pt>
                <c:pt idx="2269">
                  <c:v>41990</c:v>
                </c:pt>
                <c:pt idx="2270">
                  <c:v>41991</c:v>
                </c:pt>
                <c:pt idx="2271">
                  <c:v>41992</c:v>
                </c:pt>
                <c:pt idx="2272">
                  <c:v>41993</c:v>
                </c:pt>
                <c:pt idx="2273">
                  <c:v>41994</c:v>
                </c:pt>
                <c:pt idx="2274">
                  <c:v>41995</c:v>
                </c:pt>
                <c:pt idx="2275">
                  <c:v>41996</c:v>
                </c:pt>
                <c:pt idx="2276">
                  <c:v>41997</c:v>
                </c:pt>
                <c:pt idx="2277">
                  <c:v>41998</c:v>
                </c:pt>
                <c:pt idx="2278">
                  <c:v>41999</c:v>
                </c:pt>
                <c:pt idx="2279">
                  <c:v>42000</c:v>
                </c:pt>
                <c:pt idx="2280">
                  <c:v>42001</c:v>
                </c:pt>
                <c:pt idx="2281">
                  <c:v>42002</c:v>
                </c:pt>
                <c:pt idx="2282">
                  <c:v>42003</c:v>
                </c:pt>
                <c:pt idx="2283">
                  <c:v>42004</c:v>
                </c:pt>
                <c:pt idx="2284">
                  <c:v>42005</c:v>
                </c:pt>
                <c:pt idx="2285">
                  <c:v>42006</c:v>
                </c:pt>
                <c:pt idx="2286">
                  <c:v>42007</c:v>
                </c:pt>
                <c:pt idx="2287">
                  <c:v>42008</c:v>
                </c:pt>
                <c:pt idx="2288">
                  <c:v>42009</c:v>
                </c:pt>
                <c:pt idx="2289">
                  <c:v>42010</c:v>
                </c:pt>
                <c:pt idx="2290">
                  <c:v>42011</c:v>
                </c:pt>
                <c:pt idx="2291">
                  <c:v>42012</c:v>
                </c:pt>
                <c:pt idx="2292">
                  <c:v>42013</c:v>
                </c:pt>
                <c:pt idx="2293">
                  <c:v>42014</c:v>
                </c:pt>
                <c:pt idx="2294">
                  <c:v>42015</c:v>
                </c:pt>
                <c:pt idx="2295">
                  <c:v>42016</c:v>
                </c:pt>
                <c:pt idx="2296">
                  <c:v>42017</c:v>
                </c:pt>
                <c:pt idx="2297">
                  <c:v>42018</c:v>
                </c:pt>
                <c:pt idx="2298">
                  <c:v>42019</c:v>
                </c:pt>
                <c:pt idx="2299">
                  <c:v>42020</c:v>
                </c:pt>
                <c:pt idx="2300">
                  <c:v>42021</c:v>
                </c:pt>
                <c:pt idx="2301">
                  <c:v>42022</c:v>
                </c:pt>
                <c:pt idx="2302">
                  <c:v>42023</c:v>
                </c:pt>
                <c:pt idx="2303">
                  <c:v>42024</c:v>
                </c:pt>
                <c:pt idx="2304">
                  <c:v>42025</c:v>
                </c:pt>
                <c:pt idx="2305">
                  <c:v>42026</c:v>
                </c:pt>
                <c:pt idx="2306">
                  <c:v>42027</c:v>
                </c:pt>
                <c:pt idx="2307">
                  <c:v>42028</c:v>
                </c:pt>
                <c:pt idx="2308">
                  <c:v>42029</c:v>
                </c:pt>
                <c:pt idx="2309">
                  <c:v>42030</c:v>
                </c:pt>
                <c:pt idx="2310">
                  <c:v>42031</c:v>
                </c:pt>
                <c:pt idx="2311">
                  <c:v>42032</c:v>
                </c:pt>
                <c:pt idx="2312">
                  <c:v>42033</c:v>
                </c:pt>
                <c:pt idx="2313">
                  <c:v>42034</c:v>
                </c:pt>
                <c:pt idx="2314">
                  <c:v>42035</c:v>
                </c:pt>
                <c:pt idx="2315">
                  <c:v>42036</c:v>
                </c:pt>
                <c:pt idx="2316">
                  <c:v>42037</c:v>
                </c:pt>
                <c:pt idx="2317">
                  <c:v>42038</c:v>
                </c:pt>
                <c:pt idx="2318">
                  <c:v>42039</c:v>
                </c:pt>
                <c:pt idx="2319">
                  <c:v>42040</c:v>
                </c:pt>
                <c:pt idx="2320">
                  <c:v>42041</c:v>
                </c:pt>
                <c:pt idx="2321">
                  <c:v>42042</c:v>
                </c:pt>
                <c:pt idx="2322">
                  <c:v>42043</c:v>
                </c:pt>
                <c:pt idx="2323">
                  <c:v>42044</c:v>
                </c:pt>
                <c:pt idx="2324">
                  <c:v>42045</c:v>
                </c:pt>
                <c:pt idx="2325">
                  <c:v>42046</c:v>
                </c:pt>
                <c:pt idx="2326">
                  <c:v>42047</c:v>
                </c:pt>
                <c:pt idx="2327">
                  <c:v>42048</c:v>
                </c:pt>
                <c:pt idx="2328">
                  <c:v>42049</c:v>
                </c:pt>
                <c:pt idx="2329">
                  <c:v>42050</c:v>
                </c:pt>
                <c:pt idx="2330">
                  <c:v>42051</c:v>
                </c:pt>
                <c:pt idx="2331">
                  <c:v>42052</c:v>
                </c:pt>
                <c:pt idx="2332">
                  <c:v>42053</c:v>
                </c:pt>
                <c:pt idx="2333">
                  <c:v>42054</c:v>
                </c:pt>
                <c:pt idx="2334">
                  <c:v>42055</c:v>
                </c:pt>
                <c:pt idx="2335">
                  <c:v>42056</c:v>
                </c:pt>
                <c:pt idx="2336">
                  <c:v>42057</c:v>
                </c:pt>
                <c:pt idx="2337">
                  <c:v>42058</c:v>
                </c:pt>
                <c:pt idx="2338">
                  <c:v>42059</c:v>
                </c:pt>
                <c:pt idx="2339">
                  <c:v>42060</c:v>
                </c:pt>
                <c:pt idx="2340">
                  <c:v>42061</c:v>
                </c:pt>
                <c:pt idx="2341">
                  <c:v>42062</c:v>
                </c:pt>
                <c:pt idx="2342">
                  <c:v>42063</c:v>
                </c:pt>
                <c:pt idx="2343">
                  <c:v>42064</c:v>
                </c:pt>
                <c:pt idx="2344">
                  <c:v>42065</c:v>
                </c:pt>
                <c:pt idx="2345">
                  <c:v>42066</c:v>
                </c:pt>
                <c:pt idx="2346">
                  <c:v>42067</c:v>
                </c:pt>
                <c:pt idx="2347">
                  <c:v>42068</c:v>
                </c:pt>
                <c:pt idx="2348">
                  <c:v>42069</c:v>
                </c:pt>
                <c:pt idx="2349">
                  <c:v>42070</c:v>
                </c:pt>
                <c:pt idx="2350">
                  <c:v>42071</c:v>
                </c:pt>
                <c:pt idx="2351">
                  <c:v>42072</c:v>
                </c:pt>
                <c:pt idx="2352">
                  <c:v>42073</c:v>
                </c:pt>
                <c:pt idx="2353">
                  <c:v>42074</c:v>
                </c:pt>
                <c:pt idx="2354">
                  <c:v>42075</c:v>
                </c:pt>
                <c:pt idx="2355">
                  <c:v>42076</c:v>
                </c:pt>
                <c:pt idx="2356">
                  <c:v>42077</c:v>
                </c:pt>
                <c:pt idx="2357">
                  <c:v>42078</c:v>
                </c:pt>
                <c:pt idx="2358">
                  <c:v>42079</c:v>
                </c:pt>
                <c:pt idx="2359">
                  <c:v>42080</c:v>
                </c:pt>
                <c:pt idx="2360">
                  <c:v>42081</c:v>
                </c:pt>
                <c:pt idx="2361">
                  <c:v>42082</c:v>
                </c:pt>
                <c:pt idx="2362">
                  <c:v>42083</c:v>
                </c:pt>
                <c:pt idx="2363">
                  <c:v>42084</c:v>
                </c:pt>
                <c:pt idx="2364">
                  <c:v>42085</c:v>
                </c:pt>
                <c:pt idx="2365">
                  <c:v>42086</c:v>
                </c:pt>
                <c:pt idx="2366">
                  <c:v>42087</c:v>
                </c:pt>
                <c:pt idx="2367">
                  <c:v>42088</c:v>
                </c:pt>
                <c:pt idx="2368">
                  <c:v>42089</c:v>
                </c:pt>
                <c:pt idx="2369">
                  <c:v>42090</c:v>
                </c:pt>
                <c:pt idx="2370">
                  <c:v>42091</c:v>
                </c:pt>
                <c:pt idx="2371">
                  <c:v>42092</c:v>
                </c:pt>
                <c:pt idx="2372">
                  <c:v>42093</c:v>
                </c:pt>
                <c:pt idx="2373">
                  <c:v>42094</c:v>
                </c:pt>
                <c:pt idx="2374">
                  <c:v>42095</c:v>
                </c:pt>
                <c:pt idx="2375">
                  <c:v>42096</c:v>
                </c:pt>
                <c:pt idx="2376">
                  <c:v>42097</c:v>
                </c:pt>
                <c:pt idx="2377">
                  <c:v>42098</c:v>
                </c:pt>
                <c:pt idx="2378">
                  <c:v>42099</c:v>
                </c:pt>
                <c:pt idx="2379">
                  <c:v>42100</c:v>
                </c:pt>
                <c:pt idx="2380">
                  <c:v>42101</c:v>
                </c:pt>
                <c:pt idx="2381">
                  <c:v>42102</c:v>
                </c:pt>
                <c:pt idx="2382">
                  <c:v>42103</c:v>
                </c:pt>
                <c:pt idx="2383">
                  <c:v>42104</c:v>
                </c:pt>
                <c:pt idx="2384">
                  <c:v>42105</c:v>
                </c:pt>
                <c:pt idx="2385">
                  <c:v>42106</c:v>
                </c:pt>
                <c:pt idx="2386">
                  <c:v>42107</c:v>
                </c:pt>
                <c:pt idx="2387">
                  <c:v>42108</c:v>
                </c:pt>
                <c:pt idx="2388">
                  <c:v>42109</c:v>
                </c:pt>
                <c:pt idx="2389">
                  <c:v>42110</c:v>
                </c:pt>
                <c:pt idx="2390">
                  <c:v>42111</c:v>
                </c:pt>
                <c:pt idx="2391">
                  <c:v>42112</c:v>
                </c:pt>
                <c:pt idx="2392">
                  <c:v>42113</c:v>
                </c:pt>
                <c:pt idx="2393">
                  <c:v>42114</c:v>
                </c:pt>
                <c:pt idx="2394">
                  <c:v>42115</c:v>
                </c:pt>
                <c:pt idx="2395">
                  <c:v>42116</c:v>
                </c:pt>
                <c:pt idx="2396">
                  <c:v>42117</c:v>
                </c:pt>
                <c:pt idx="2397">
                  <c:v>42118</c:v>
                </c:pt>
                <c:pt idx="2398">
                  <c:v>42119</c:v>
                </c:pt>
                <c:pt idx="2399">
                  <c:v>42120</c:v>
                </c:pt>
                <c:pt idx="2400">
                  <c:v>42121</c:v>
                </c:pt>
                <c:pt idx="2401">
                  <c:v>42122</c:v>
                </c:pt>
                <c:pt idx="2402">
                  <c:v>42123</c:v>
                </c:pt>
                <c:pt idx="2403">
                  <c:v>42124</c:v>
                </c:pt>
                <c:pt idx="2404">
                  <c:v>42125</c:v>
                </c:pt>
                <c:pt idx="2405">
                  <c:v>42126</c:v>
                </c:pt>
                <c:pt idx="2406">
                  <c:v>42127</c:v>
                </c:pt>
                <c:pt idx="2407">
                  <c:v>42128</c:v>
                </c:pt>
                <c:pt idx="2408">
                  <c:v>42129</c:v>
                </c:pt>
                <c:pt idx="2409">
                  <c:v>42130</c:v>
                </c:pt>
                <c:pt idx="2410">
                  <c:v>42131</c:v>
                </c:pt>
                <c:pt idx="2411">
                  <c:v>42132</c:v>
                </c:pt>
                <c:pt idx="2412">
                  <c:v>42133</c:v>
                </c:pt>
                <c:pt idx="2413">
                  <c:v>42134</c:v>
                </c:pt>
                <c:pt idx="2414">
                  <c:v>42135</c:v>
                </c:pt>
                <c:pt idx="2415">
                  <c:v>42136</c:v>
                </c:pt>
                <c:pt idx="2416">
                  <c:v>42137</c:v>
                </c:pt>
                <c:pt idx="2417">
                  <c:v>42138</c:v>
                </c:pt>
                <c:pt idx="2418">
                  <c:v>42139</c:v>
                </c:pt>
                <c:pt idx="2419">
                  <c:v>42140</c:v>
                </c:pt>
                <c:pt idx="2420">
                  <c:v>42141</c:v>
                </c:pt>
                <c:pt idx="2421">
                  <c:v>42142</c:v>
                </c:pt>
                <c:pt idx="2422">
                  <c:v>42143</c:v>
                </c:pt>
                <c:pt idx="2423">
                  <c:v>42144</c:v>
                </c:pt>
                <c:pt idx="2424">
                  <c:v>42145</c:v>
                </c:pt>
                <c:pt idx="2425">
                  <c:v>42146</c:v>
                </c:pt>
                <c:pt idx="2426">
                  <c:v>42147</c:v>
                </c:pt>
                <c:pt idx="2427">
                  <c:v>42148</c:v>
                </c:pt>
                <c:pt idx="2428">
                  <c:v>42149</c:v>
                </c:pt>
                <c:pt idx="2429">
                  <c:v>42150</c:v>
                </c:pt>
                <c:pt idx="2430">
                  <c:v>42151</c:v>
                </c:pt>
                <c:pt idx="2431">
                  <c:v>42152</c:v>
                </c:pt>
                <c:pt idx="2432">
                  <c:v>42153</c:v>
                </c:pt>
                <c:pt idx="2433">
                  <c:v>42154</c:v>
                </c:pt>
                <c:pt idx="2434">
                  <c:v>42155</c:v>
                </c:pt>
                <c:pt idx="2435">
                  <c:v>42156</c:v>
                </c:pt>
                <c:pt idx="2436">
                  <c:v>42157</c:v>
                </c:pt>
                <c:pt idx="2437">
                  <c:v>42158</c:v>
                </c:pt>
                <c:pt idx="2438">
                  <c:v>42159</c:v>
                </c:pt>
                <c:pt idx="2439">
                  <c:v>42160</c:v>
                </c:pt>
                <c:pt idx="2440">
                  <c:v>42161</c:v>
                </c:pt>
                <c:pt idx="2441">
                  <c:v>42162</c:v>
                </c:pt>
                <c:pt idx="2442">
                  <c:v>42163</c:v>
                </c:pt>
                <c:pt idx="2443">
                  <c:v>42164</c:v>
                </c:pt>
                <c:pt idx="2444">
                  <c:v>42165</c:v>
                </c:pt>
                <c:pt idx="2445">
                  <c:v>42166</c:v>
                </c:pt>
                <c:pt idx="2446">
                  <c:v>42167</c:v>
                </c:pt>
                <c:pt idx="2447">
                  <c:v>42168</c:v>
                </c:pt>
                <c:pt idx="2448">
                  <c:v>42169</c:v>
                </c:pt>
                <c:pt idx="2449">
                  <c:v>42170</c:v>
                </c:pt>
                <c:pt idx="2450">
                  <c:v>42171</c:v>
                </c:pt>
                <c:pt idx="2451">
                  <c:v>42172</c:v>
                </c:pt>
                <c:pt idx="2452">
                  <c:v>42173</c:v>
                </c:pt>
                <c:pt idx="2453">
                  <c:v>42174</c:v>
                </c:pt>
                <c:pt idx="2454">
                  <c:v>42175</c:v>
                </c:pt>
                <c:pt idx="2455">
                  <c:v>42176</c:v>
                </c:pt>
                <c:pt idx="2456">
                  <c:v>42177</c:v>
                </c:pt>
                <c:pt idx="2457">
                  <c:v>42178</c:v>
                </c:pt>
                <c:pt idx="2458">
                  <c:v>42179</c:v>
                </c:pt>
                <c:pt idx="2459">
                  <c:v>42180</c:v>
                </c:pt>
                <c:pt idx="2460">
                  <c:v>42181</c:v>
                </c:pt>
                <c:pt idx="2461">
                  <c:v>42182</c:v>
                </c:pt>
                <c:pt idx="2462">
                  <c:v>42183</c:v>
                </c:pt>
                <c:pt idx="2463">
                  <c:v>42184</c:v>
                </c:pt>
                <c:pt idx="2464">
                  <c:v>42185</c:v>
                </c:pt>
                <c:pt idx="2465">
                  <c:v>42186</c:v>
                </c:pt>
                <c:pt idx="2466">
                  <c:v>42187</c:v>
                </c:pt>
                <c:pt idx="2467">
                  <c:v>42188</c:v>
                </c:pt>
                <c:pt idx="2468">
                  <c:v>42189</c:v>
                </c:pt>
                <c:pt idx="2469">
                  <c:v>42190</c:v>
                </c:pt>
                <c:pt idx="2470">
                  <c:v>42191</c:v>
                </c:pt>
                <c:pt idx="2471">
                  <c:v>42192</c:v>
                </c:pt>
                <c:pt idx="2472">
                  <c:v>42193</c:v>
                </c:pt>
                <c:pt idx="2473">
                  <c:v>42194</c:v>
                </c:pt>
                <c:pt idx="2474">
                  <c:v>42195</c:v>
                </c:pt>
                <c:pt idx="2475">
                  <c:v>42196</c:v>
                </c:pt>
                <c:pt idx="2476">
                  <c:v>42197</c:v>
                </c:pt>
                <c:pt idx="2477">
                  <c:v>42198</c:v>
                </c:pt>
                <c:pt idx="2478">
                  <c:v>42199</c:v>
                </c:pt>
                <c:pt idx="2479">
                  <c:v>42200</c:v>
                </c:pt>
                <c:pt idx="2480">
                  <c:v>42201</c:v>
                </c:pt>
                <c:pt idx="2481">
                  <c:v>42202</c:v>
                </c:pt>
                <c:pt idx="2482">
                  <c:v>42203</c:v>
                </c:pt>
                <c:pt idx="2483">
                  <c:v>42204</c:v>
                </c:pt>
                <c:pt idx="2484">
                  <c:v>42205</c:v>
                </c:pt>
                <c:pt idx="2485">
                  <c:v>42206</c:v>
                </c:pt>
                <c:pt idx="2486">
                  <c:v>42207</c:v>
                </c:pt>
                <c:pt idx="2487">
                  <c:v>42208</c:v>
                </c:pt>
                <c:pt idx="2488">
                  <c:v>42209</c:v>
                </c:pt>
                <c:pt idx="2489">
                  <c:v>42210</c:v>
                </c:pt>
                <c:pt idx="2490">
                  <c:v>42211</c:v>
                </c:pt>
                <c:pt idx="2491">
                  <c:v>42212</c:v>
                </c:pt>
                <c:pt idx="2492">
                  <c:v>42213</c:v>
                </c:pt>
                <c:pt idx="2493">
                  <c:v>42214</c:v>
                </c:pt>
                <c:pt idx="2494">
                  <c:v>42215</c:v>
                </c:pt>
                <c:pt idx="2495">
                  <c:v>42216</c:v>
                </c:pt>
                <c:pt idx="2496">
                  <c:v>42217</c:v>
                </c:pt>
                <c:pt idx="2497">
                  <c:v>42218</c:v>
                </c:pt>
                <c:pt idx="2498">
                  <c:v>42219</c:v>
                </c:pt>
                <c:pt idx="2499">
                  <c:v>42220</c:v>
                </c:pt>
                <c:pt idx="2500">
                  <c:v>42221</c:v>
                </c:pt>
                <c:pt idx="2501">
                  <c:v>42222</c:v>
                </c:pt>
                <c:pt idx="2502">
                  <c:v>42223</c:v>
                </c:pt>
                <c:pt idx="2503">
                  <c:v>42224</c:v>
                </c:pt>
                <c:pt idx="2504">
                  <c:v>42225</c:v>
                </c:pt>
                <c:pt idx="2505">
                  <c:v>42226</c:v>
                </c:pt>
                <c:pt idx="2506">
                  <c:v>42227</c:v>
                </c:pt>
                <c:pt idx="2507">
                  <c:v>42228</c:v>
                </c:pt>
                <c:pt idx="2508">
                  <c:v>42229</c:v>
                </c:pt>
                <c:pt idx="2509">
                  <c:v>42230</c:v>
                </c:pt>
                <c:pt idx="2510">
                  <c:v>42231</c:v>
                </c:pt>
                <c:pt idx="2511">
                  <c:v>42232</c:v>
                </c:pt>
                <c:pt idx="2512">
                  <c:v>42233</c:v>
                </c:pt>
                <c:pt idx="2513">
                  <c:v>42234</c:v>
                </c:pt>
                <c:pt idx="2514">
                  <c:v>42235</c:v>
                </c:pt>
                <c:pt idx="2515">
                  <c:v>42236</c:v>
                </c:pt>
                <c:pt idx="2516">
                  <c:v>42237</c:v>
                </c:pt>
                <c:pt idx="2517">
                  <c:v>42238</c:v>
                </c:pt>
                <c:pt idx="2518">
                  <c:v>42239</c:v>
                </c:pt>
                <c:pt idx="2519">
                  <c:v>42240</c:v>
                </c:pt>
                <c:pt idx="2520">
                  <c:v>42241</c:v>
                </c:pt>
                <c:pt idx="2521">
                  <c:v>42242</c:v>
                </c:pt>
                <c:pt idx="2522">
                  <c:v>42243</c:v>
                </c:pt>
                <c:pt idx="2523">
                  <c:v>42244</c:v>
                </c:pt>
                <c:pt idx="2524">
                  <c:v>42245</c:v>
                </c:pt>
                <c:pt idx="2525">
                  <c:v>42246</c:v>
                </c:pt>
                <c:pt idx="2526">
                  <c:v>42247</c:v>
                </c:pt>
                <c:pt idx="2527">
                  <c:v>42248</c:v>
                </c:pt>
                <c:pt idx="2528">
                  <c:v>42249</c:v>
                </c:pt>
                <c:pt idx="2529">
                  <c:v>42250</c:v>
                </c:pt>
                <c:pt idx="2530">
                  <c:v>42251</c:v>
                </c:pt>
                <c:pt idx="2531">
                  <c:v>42252</c:v>
                </c:pt>
                <c:pt idx="2532">
                  <c:v>42253</c:v>
                </c:pt>
                <c:pt idx="2533">
                  <c:v>42254</c:v>
                </c:pt>
                <c:pt idx="2534">
                  <c:v>42255</c:v>
                </c:pt>
                <c:pt idx="2535">
                  <c:v>42256</c:v>
                </c:pt>
                <c:pt idx="2536">
                  <c:v>42257</c:v>
                </c:pt>
                <c:pt idx="2537">
                  <c:v>42258</c:v>
                </c:pt>
                <c:pt idx="2538">
                  <c:v>42259</c:v>
                </c:pt>
                <c:pt idx="2539">
                  <c:v>42260</c:v>
                </c:pt>
                <c:pt idx="2540">
                  <c:v>42261</c:v>
                </c:pt>
                <c:pt idx="2541">
                  <c:v>42262</c:v>
                </c:pt>
                <c:pt idx="2542">
                  <c:v>42263</c:v>
                </c:pt>
                <c:pt idx="2543">
                  <c:v>42264</c:v>
                </c:pt>
                <c:pt idx="2544">
                  <c:v>42265</c:v>
                </c:pt>
                <c:pt idx="2545">
                  <c:v>42266</c:v>
                </c:pt>
                <c:pt idx="2546">
                  <c:v>42267</c:v>
                </c:pt>
                <c:pt idx="2547">
                  <c:v>42268</c:v>
                </c:pt>
                <c:pt idx="2548">
                  <c:v>42269</c:v>
                </c:pt>
                <c:pt idx="2549">
                  <c:v>42270</c:v>
                </c:pt>
                <c:pt idx="2550">
                  <c:v>42271</c:v>
                </c:pt>
                <c:pt idx="2551">
                  <c:v>42272</c:v>
                </c:pt>
                <c:pt idx="2552">
                  <c:v>42273</c:v>
                </c:pt>
                <c:pt idx="2553">
                  <c:v>42274</c:v>
                </c:pt>
                <c:pt idx="2554">
                  <c:v>42275</c:v>
                </c:pt>
                <c:pt idx="2555">
                  <c:v>42276</c:v>
                </c:pt>
                <c:pt idx="2556">
                  <c:v>42277</c:v>
                </c:pt>
                <c:pt idx="2557">
                  <c:v>42278</c:v>
                </c:pt>
                <c:pt idx="2558">
                  <c:v>42279</c:v>
                </c:pt>
                <c:pt idx="2559">
                  <c:v>42280</c:v>
                </c:pt>
                <c:pt idx="2560">
                  <c:v>42281</c:v>
                </c:pt>
                <c:pt idx="2561">
                  <c:v>42282</c:v>
                </c:pt>
                <c:pt idx="2562">
                  <c:v>42283</c:v>
                </c:pt>
                <c:pt idx="2563">
                  <c:v>42284</c:v>
                </c:pt>
                <c:pt idx="2564">
                  <c:v>42285</c:v>
                </c:pt>
                <c:pt idx="2565">
                  <c:v>42286</c:v>
                </c:pt>
                <c:pt idx="2566">
                  <c:v>42287</c:v>
                </c:pt>
                <c:pt idx="2567">
                  <c:v>42288</c:v>
                </c:pt>
                <c:pt idx="2568">
                  <c:v>42289</c:v>
                </c:pt>
                <c:pt idx="2569">
                  <c:v>42290</c:v>
                </c:pt>
                <c:pt idx="2570">
                  <c:v>42291</c:v>
                </c:pt>
                <c:pt idx="2571">
                  <c:v>42292</c:v>
                </c:pt>
                <c:pt idx="2572">
                  <c:v>42293</c:v>
                </c:pt>
                <c:pt idx="2573">
                  <c:v>42294</c:v>
                </c:pt>
                <c:pt idx="2574">
                  <c:v>42295</c:v>
                </c:pt>
                <c:pt idx="2575">
                  <c:v>42296</c:v>
                </c:pt>
                <c:pt idx="2576">
                  <c:v>42297</c:v>
                </c:pt>
                <c:pt idx="2577">
                  <c:v>42298</c:v>
                </c:pt>
                <c:pt idx="2578">
                  <c:v>42299</c:v>
                </c:pt>
                <c:pt idx="2579">
                  <c:v>42300</c:v>
                </c:pt>
                <c:pt idx="2580">
                  <c:v>42301</c:v>
                </c:pt>
                <c:pt idx="2581">
                  <c:v>42302</c:v>
                </c:pt>
                <c:pt idx="2582">
                  <c:v>42303</c:v>
                </c:pt>
                <c:pt idx="2583">
                  <c:v>42304</c:v>
                </c:pt>
                <c:pt idx="2584">
                  <c:v>42305</c:v>
                </c:pt>
                <c:pt idx="2585">
                  <c:v>42306</c:v>
                </c:pt>
                <c:pt idx="2586">
                  <c:v>42307</c:v>
                </c:pt>
                <c:pt idx="2587">
                  <c:v>42308</c:v>
                </c:pt>
                <c:pt idx="2588">
                  <c:v>42309</c:v>
                </c:pt>
                <c:pt idx="2589">
                  <c:v>42310</c:v>
                </c:pt>
                <c:pt idx="2590">
                  <c:v>42311</c:v>
                </c:pt>
                <c:pt idx="2591">
                  <c:v>42312</c:v>
                </c:pt>
                <c:pt idx="2592">
                  <c:v>42313</c:v>
                </c:pt>
                <c:pt idx="2593">
                  <c:v>42314</c:v>
                </c:pt>
                <c:pt idx="2594">
                  <c:v>42315</c:v>
                </c:pt>
                <c:pt idx="2595">
                  <c:v>42316</c:v>
                </c:pt>
                <c:pt idx="2596">
                  <c:v>42317</c:v>
                </c:pt>
                <c:pt idx="2597">
                  <c:v>42318</c:v>
                </c:pt>
                <c:pt idx="2598">
                  <c:v>42319</c:v>
                </c:pt>
                <c:pt idx="2599">
                  <c:v>42320</c:v>
                </c:pt>
                <c:pt idx="2600">
                  <c:v>42321</c:v>
                </c:pt>
                <c:pt idx="2601">
                  <c:v>42322</c:v>
                </c:pt>
                <c:pt idx="2602">
                  <c:v>42323</c:v>
                </c:pt>
                <c:pt idx="2603">
                  <c:v>42324</c:v>
                </c:pt>
                <c:pt idx="2604">
                  <c:v>42325</c:v>
                </c:pt>
                <c:pt idx="2605">
                  <c:v>42326</c:v>
                </c:pt>
                <c:pt idx="2606">
                  <c:v>42327</c:v>
                </c:pt>
                <c:pt idx="2607">
                  <c:v>42328</c:v>
                </c:pt>
                <c:pt idx="2608">
                  <c:v>42329</c:v>
                </c:pt>
                <c:pt idx="2609">
                  <c:v>42330</c:v>
                </c:pt>
                <c:pt idx="2610">
                  <c:v>42331</c:v>
                </c:pt>
                <c:pt idx="2611">
                  <c:v>42332</c:v>
                </c:pt>
                <c:pt idx="2612">
                  <c:v>42333</c:v>
                </c:pt>
                <c:pt idx="2613">
                  <c:v>42334</c:v>
                </c:pt>
                <c:pt idx="2614">
                  <c:v>42335</c:v>
                </c:pt>
                <c:pt idx="2615">
                  <c:v>42336</c:v>
                </c:pt>
                <c:pt idx="2616">
                  <c:v>42337</c:v>
                </c:pt>
                <c:pt idx="2617">
                  <c:v>42338</c:v>
                </c:pt>
                <c:pt idx="2618">
                  <c:v>42339</c:v>
                </c:pt>
                <c:pt idx="2619">
                  <c:v>42340</c:v>
                </c:pt>
                <c:pt idx="2620">
                  <c:v>42341</c:v>
                </c:pt>
                <c:pt idx="2621">
                  <c:v>42342</c:v>
                </c:pt>
                <c:pt idx="2622">
                  <c:v>42343</c:v>
                </c:pt>
                <c:pt idx="2623">
                  <c:v>42344</c:v>
                </c:pt>
                <c:pt idx="2624">
                  <c:v>42345</c:v>
                </c:pt>
                <c:pt idx="2625">
                  <c:v>42346</c:v>
                </c:pt>
                <c:pt idx="2626">
                  <c:v>42347</c:v>
                </c:pt>
                <c:pt idx="2627">
                  <c:v>42348</c:v>
                </c:pt>
                <c:pt idx="2628">
                  <c:v>42349</c:v>
                </c:pt>
                <c:pt idx="2629">
                  <c:v>42350</c:v>
                </c:pt>
                <c:pt idx="2630">
                  <c:v>42351</c:v>
                </c:pt>
                <c:pt idx="2631">
                  <c:v>42352</c:v>
                </c:pt>
                <c:pt idx="2632">
                  <c:v>42353</c:v>
                </c:pt>
                <c:pt idx="2633">
                  <c:v>42354</c:v>
                </c:pt>
                <c:pt idx="2634">
                  <c:v>42355</c:v>
                </c:pt>
                <c:pt idx="2635">
                  <c:v>42356</c:v>
                </c:pt>
                <c:pt idx="2636">
                  <c:v>42357</c:v>
                </c:pt>
                <c:pt idx="2637">
                  <c:v>42358</c:v>
                </c:pt>
                <c:pt idx="2638">
                  <c:v>42359</c:v>
                </c:pt>
                <c:pt idx="2639">
                  <c:v>42360</c:v>
                </c:pt>
                <c:pt idx="2640">
                  <c:v>42361</c:v>
                </c:pt>
                <c:pt idx="2641">
                  <c:v>42362</c:v>
                </c:pt>
                <c:pt idx="2642">
                  <c:v>42363</c:v>
                </c:pt>
                <c:pt idx="2643">
                  <c:v>42364</c:v>
                </c:pt>
                <c:pt idx="2644">
                  <c:v>42365</c:v>
                </c:pt>
                <c:pt idx="2645">
                  <c:v>42366</c:v>
                </c:pt>
                <c:pt idx="2646">
                  <c:v>42367</c:v>
                </c:pt>
                <c:pt idx="2647">
                  <c:v>42368</c:v>
                </c:pt>
                <c:pt idx="2648">
                  <c:v>42369</c:v>
                </c:pt>
                <c:pt idx="2649">
                  <c:v>42370</c:v>
                </c:pt>
                <c:pt idx="2650">
                  <c:v>42371</c:v>
                </c:pt>
                <c:pt idx="2651">
                  <c:v>42372</c:v>
                </c:pt>
                <c:pt idx="2652">
                  <c:v>42373</c:v>
                </c:pt>
                <c:pt idx="2653">
                  <c:v>42374</c:v>
                </c:pt>
                <c:pt idx="2654">
                  <c:v>42375</c:v>
                </c:pt>
                <c:pt idx="2655">
                  <c:v>42376</c:v>
                </c:pt>
                <c:pt idx="2656">
                  <c:v>42377</c:v>
                </c:pt>
                <c:pt idx="2657">
                  <c:v>42378</c:v>
                </c:pt>
                <c:pt idx="2658">
                  <c:v>42379</c:v>
                </c:pt>
                <c:pt idx="2659">
                  <c:v>42380</c:v>
                </c:pt>
                <c:pt idx="2660">
                  <c:v>42381</c:v>
                </c:pt>
                <c:pt idx="2661">
                  <c:v>42382</c:v>
                </c:pt>
                <c:pt idx="2662">
                  <c:v>42383</c:v>
                </c:pt>
                <c:pt idx="2663">
                  <c:v>42384</c:v>
                </c:pt>
                <c:pt idx="2664">
                  <c:v>42385</c:v>
                </c:pt>
                <c:pt idx="2665">
                  <c:v>42386</c:v>
                </c:pt>
                <c:pt idx="2666">
                  <c:v>42387</c:v>
                </c:pt>
                <c:pt idx="2667">
                  <c:v>42388</c:v>
                </c:pt>
                <c:pt idx="2668">
                  <c:v>42389</c:v>
                </c:pt>
                <c:pt idx="2669">
                  <c:v>42390</c:v>
                </c:pt>
                <c:pt idx="2670">
                  <c:v>42391</c:v>
                </c:pt>
                <c:pt idx="2671">
                  <c:v>42392</c:v>
                </c:pt>
                <c:pt idx="2672">
                  <c:v>42393</c:v>
                </c:pt>
                <c:pt idx="2673">
                  <c:v>42394</c:v>
                </c:pt>
                <c:pt idx="2674">
                  <c:v>42395</c:v>
                </c:pt>
                <c:pt idx="2675">
                  <c:v>42396</c:v>
                </c:pt>
                <c:pt idx="2676">
                  <c:v>42397</c:v>
                </c:pt>
                <c:pt idx="2677">
                  <c:v>42398</c:v>
                </c:pt>
                <c:pt idx="2678">
                  <c:v>42399</c:v>
                </c:pt>
                <c:pt idx="2679">
                  <c:v>42400</c:v>
                </c:pt>
                <c:pt idx="2680">
                  <c:v>42401</c:v>
                </c:pt>
                <c:pt idx="2681">
                  <c:v>42402</c:v>
                </c:pt>
                <c:pt idx="2682">
                  <c:v>42403</c:v>
                </c:pt>
                <c:pt idx="2683">
                  <c:v>42404</c:v>
                </c:pt>
                <c:pt idx="2684">
                  <c:v>42405</c:v>
                </c:pt>
                <c:pt idx="2685">
                  <c:v>42406</c:v>
                </c:pt>
                <c:pt idx="2686">
                  <c:v>42407</c:v>
                </c:pt>
                <c:pt idx="2687">
                  <c:v>42408</c:v>
                </c:pt>
                <c:pt idx="2688">
                  <c:v>42409</c:v>
                </c:pt>
                <c:pt idx="2689">
                  <c:v>42410</c:v>
                </c:pt>
                <c:pt idx="2690">
                  <c:v>42411</c:v>
                </c:pt>
                <c:pt idx="2691">
                  <c:v>42412</c:v>
                </c:pt>
                <c:pt idx="2692">
                  <c:v>42413</c:v>
                </c:pt>
                <c:pt idx="2693">
                  <c:v>42414</c:v>
                </c:pt>
                <c:pt idx="2694">
                  <c:v>42415</c:v>
                </c:pt>
                <c:pt idx="2695">
                  <c:v>42416</c:v>
                </c:pt>
                <c:pt idx="2696">
                  <c:v>42417</c:v>
                </c:pt>
                <c:pt idx="2697">
                  <c:v>42418</c:v>
                </c:pt>
                <c:pt idx="2698">
                  <c:v>42419</c:v>
                </c:pt>
                <c:pt idx="2699">
                  <c:v>42420</c:v>
                </c:pt>
                <c:pt idx="2700">
                  <c:v>42421</c:v>
                </c:pt>
                <c:pt idx="2701">
                  <c:v>42422</c:v>
                </c:pt>
                <c:pt idx="2702">
                  <c:v>42423</c:v>
                </c:pt>
                <c:pt idx="2703">
                  <c:v>42424</c:v>
                </c:pt>
                <c:pt idx="2704">
                  <c:v>42425</c:v>
                </c:pt>
                <c:pt idx="2705">
                  <c:v>42426</c:v>
                </c:pt>
                <c:pt idx="2706">
                  <c:v>42427</c:v>
                </c:pt>
                <c:pt idx="2707">
                  <c:v>42428</c:v>
                </c:pt>
                <c:pt idx="2708">
                  <c:v>42429</c:v>
                </c:pt>
                <c:pt idx="2709">
                  <c:v>42430</c:v>
                </c:pt>
                <c:pt idx="2710">
                  <c:v>42431</c:v>
                </c:pt>
                <c:pt idx="2711">
                  <c:v>42432</c:v>
                </c:pt>
                <c:pt idx="2712">
                  <c:v>42433</c:v>
                </c:pt>
                <c:pt idx="2713">
                  <c:v>42434</c:v>
                </c:pt>
                <c:pt idx="2714">
                  <c:v>42435</c:v>
                </c:pt>
                <c:pt idx="2715">
                  <c:v>42436</c:v>
                </c:pt>
                <c:pt idx="2716">
                  <c:v>42437</c:v>
                </c:pt>
                <c:pt idx="2717">
                  <c:v>42438</c:v>
                </c:pt>
                <c:pt idx="2718">
                  <c:v>42439</c:v>
                </c:pt>
                <c:pt idx="2719">
                  <c:v>42440</c:v>
                </c:pt>
                <c:pt idx="2720">
                  <c:v>42441</c:v>
                </c:pt>
                <c:pt idx="2721">
                  <c:v>42442</c:v>
                </c:pt>
                <c:pt idx="2722">
                  <c:v>42443</c:v>
                </c:pt>
                <c:pt idx="2723">
                  <c:v>42444</c:v>
                </c:pt>
                <c:pt idx="2724">
                  <c:v>42445</c:v>
                </c:pt>
                <c:pt idx="2725">
                  <c:v>42446</c:v>
                </c:pt>
                <c:pt idx="2726">
                  <c:v>42447</c:v>
                </c:pt>
                <c:pt idx="2727">
                  <c:v>42448</c:v>
                </c:pt>
                <c:pt idx="2728">
                  <c:v>42449</c:v>
                </c:pt>
                <c:pt idx="2729">
                  <c:v>42450</c:v>
                </c:pt>
                <c:pt idx="2730">
                  <c:v>42451</c:v>
                </c:pt>
                <c:pt idx="2731">
                  <c:v>42452</c:v>
                </c:pt>
                <c:pt idx="2732">
                  <c:v>42453</c:v>
                </c:pt>
                <c:pt idx="2733">
                  <c:v>42454</c:v>
                </c:pt>
                <c:pt idx="2734">
                  <c:v>42455</c:v>
                </c:pt>
                <c:pt idx="2735">
                  <c:v>42456</c:v>
                </c:pt>
                <c:pt idx="2736">
                  <c:v>42457</c:v>
                </c:pt>
                <c:pt idx="2737">
                  <c:v>42458</c:v>
                </c:pt>
                <c:pt idx="2738">
                  <c:v>42459</c:v>
                </c:pt>
                <c:pt idx="2739">
                  <c:v>42460</c:v>
                </c:pt>
                <c:pt idx="2740">
                  <c:v>42461</c:v>
                </c:pt>
                <c:pt idx="2741">
                  <c:v>42462</c:v>
                </c:pt>
                <c:pt idx="2742">
                  <c:v>42463</c:v>
                </c:pt>
                <c:pt idx="2743">
                  <c:v>42464</c:v>
                </c:pt>
                <c:pt idx="2744">
                  <c:v>42465</c:v>
                </c:pt>
                <c:pt idx="2745">
                  <c:v>42466</c:v>
                </c:pt>
                <c:pt idx="2746">
                  <c:v>42467</c:v>
                </c:pt>
                <c:pt idx="2747">
                  <c:v>42468</c:v>
                </c:pt>
                <c:pt idx="2748">
                  <c:v>42469</c:v>
                </c:pt>
                <c:pt idx="2749">
                  <c:v>42470</c:v>
                </c:pt>
                <c:pt idx="2750">
                  <c:v>42471</c:v>
                </c:pt>
                <c:pt idx="2751">
                  <c:v>42472</c:v>
                </c:pt>
                <c:pt idx="2752">
                  <c:v>42473</c:v>
                </c:pt>
                <c:pt idx="2753">
                  <c:v>42474</c:v>
                </c:pt>
                <c:pt idx="2754">
                  <c:v>42475</c:v>
                </c:pt>
                <c:pt idx="2755">
                  <c:v>42476</c:v>
                </c:pt>
                <c:pt idx="2756">
                  <c:v>42477</c:v>
                </c:pt>
                <c:pt idx="2757">
                  <c:v>42478</c:v>
                </c:pt>
                <c:pt idx="2758">
                  <c:v>42479</c:v>
                </c:pt>
                <c:pt idx="2759">
                  <c:v>42480</c:v>
                </c:pt>
                <c:pt idx="2760">
                  <c:v>42481</c:v>
                </c:pt>
                <c:pt idx="2761">
                  <c:v>42482</c:v>
                </c:pt>
                <c:pt idx="2762">
                  <c:v>42483</c:v>
                </c:pt>
                <c:pt idx="2763">
                  <c:v>42484</c:v>
                </c:pt>
                <c:pt idx="2764">
                  <c:v>42485</c:v>
                </c:pt>
                <c:pt idx="2765">
                  <c:v>42486</c:v>
                </c:pt>
                <c:pt idx="2766">
                  <c:v>42487</c:v>
                </c:pt>
                <c:pt idx="2767">
                  <c:v>42488</c:v>
                </c:pt>
                <c:pt idx="2768">
                  <c:v>42489</c:v>
                </c:pt>
                <c:pt idx="2769">
                  <c:v>42490</c:v>
                </c:pt>
                <c:pt idx="2770">
                  <c:v>42491</c:v>
                </c:pt>
                <c:pt idx="2771">
                  <c:v>42492</c:v>
                </c:pt>
                <c:pt idx="2772">
                  <c:v>42493</c:v>
                </c:pt>
                <c:pt idx="2773">
                  <c:v>42494</c:v>
                </c:pt>
                <c:pt idx="2774">
                  <c:v>42495</c:v>
                </c:pt>
                <c:pt idx="2775">
                  <c:v>42496</c:v>
                </c:pt>
                <c:pt idx="2776">
                  <c:v>42497</c:v>
                </c:pt>
                <c:pt idx="2777">
                  <c:v>42498</c:v>
                </c:pt>
                <c:pt idx="2778">
                  <c:v>42499</c:v>
                </c:pt>
                <c:pt idx="2779">
                  <c:v>42500</c:v>
                </c:pt>
                <c:pt idx="2780">
                  <c:v>42501</c:v>
                </c:pt>
                <c:pt idx="2781">
                  <c:v>42502</c:v>
                </c:pt>
                <c:pt idx="2782">
                  <c:v>42503</c:v>
                </c:pt>
                <c:pt idx="2783">
                  <c:v>42504</c:v>
                </c:pt>
                <c:pt idx="2784">
                  <c:v>42505</c:v>
                </c:pt>
                <c:pt idx="2785">
                  <c:v>42506</c:v>
                </c:pt>
                <c:pt idx="2786">
                  <c:v>42507</c:v>
                </c:pt>
                <c:pt idx="2787">
                  <c:v>42508</c:v>
                </c:pt>
                <c:pt idx="2788">
                  <c:v>42509</c:v>
                </c:pt>
                <c:pt idx="2789">
                  <c:v>42510</c:v>
                </c:pt>
                <c:pt idx="2790">
                  <c:v>42511</c:v>
                </c:pt>
                <c:pt idx="2791">
                  <c:v>42512</c:v>
                </c:pt>
                <c:pt idx="2792">
                  <c:v>42513</c:v>
                </c:pt>
                <c:pt idx="2793">
                  <c:v>42514</c:v>
                </c:pt>
                <c:pt idx="2794">
                  <c:v>42515</c:v>
                </c:pt>
                <c:pt idx="2795">
                  <c:v>42516</c:v>
                </c:pt>
                <c:pt idx="2796">
                  <c:v>42517</c:v>
                </c:pt>
                <c:pt idx="2797">
                  <c:v>42518</c:v>
                </c:pt>
                <c:pt idx="2798">
                  <c:v>42519</c:v>
                </c:pt>
                <c:pt idx="2799">
                  <c:v>42520</c:v>
                </c:pt>
                <c:pt idx="2800">
                  <c:v>42521</c:v>
                </c:pt>
                <c:pt idx="2801">
                  <c:v>42522</c:v>
                </c:pt>
                <c:pt idx="2802">
                  <c:v>42523</c:v>
                </c:pt>
                <c:pt idx="2803">
                  <c:v>42524</c:v>
                </c:pt>
                <c:pt idx="2804">
                  <c:v>42525</c:v>
                </c:pt>
                <c:pt idx="2805">
                  <c:v>42526</c:v>
                </c:pt>
                <c:pt idx="2806">
                  <c:v>42527</c:v>
                </c:pt>
                <c:pt idx="2807">
                  <c:v>42528</c:v>
                </c:pt>
                <c:pt idx="2808">
                  <c:v>42529</c:v>
                </c:pt>
                <c:pt idx="2809">
                  <c:v>42530</c:v>
                </c:pt>
                <c:pt idx="2810">
                  <c:v>42531</c:v>
                </c:pt>
                <c:pt idx="2811">
                  <c:v>42532</c:v>
                </c:pt>
                <c:pt idx="2812">
                  <c:v>42533</c:v>
                </c:pt>
                <c:pt idx="2813">
                  <c:v>42534</c:v>
                </c:pt>
                <c:pt idx="2814">
                  <c:v>42535</c:v>
                </c:pt>
                <c:pt idx="2815">
                  <c:v>42536</c:v>
                </c:pt>
                <c:pt idx="2816">
                  <c:v>42537</c:v>
                </c:pt>
                <c:pt idx="2817">
                  <c:v>42538</c:v>
                </c:pt>
                <c:pt idx="2818">
                  <c:v>42539</c:v>
                </c:pt>
                <c:pt idx="2819">
                  <c:v>42540</c:v>
                </c:pt>
                <c:pt idx="2820">
                  <c:v>42541</c:v>
                </c:pt>
                <c:pt idx="2821">
                  <c:v>42542</c:v>
                </c:pt>
                <c:pt idx="2822">
                  <c:v>42543</c:v>
                </c:pt>
                <c:pt idx="2823">
                  <c:v>42544</c:v>
                </c:pt>
                <c:pt idx="2824">
                  <c:v>42545</c:v>
                </c:pt>
                <c:pt idx="2825">
                  <c:v>42546</c:v>
                </c:pt>
                <c:pt idx="2826">
                  <c:v>42547</c:v>
                </c:pt>
                <c:pt idx="2827">
                  <c:v>42548</c:v>
                </c:pt>
                <c:pt idx="2828">
                  <c:v>42549</c:v>
                </c:pt>
                <c:pt idx="2829">
                  <c:v>42550</c:v>
                </c:pt>
                <c:pt idx="2830">
                  <c:v>42551</c:v>
                </c:pt>
                <c:pt idx="2831">
                  <c:v>42552</c:v>
                </c:pt>
                <c:pt idx="2832">
                  <c:v>42553</c:v>
                </c:pt>
                <c:pt idx="2833">
                  <c:v>42554</c:v>
                </c:pt>
                <c:pt idx="2834">
                  <c:v>42555</c:v>
                </c:pt>
                <c:pt idx="2835">
                  <c:v>42556</c:v>
                </c:pt>
                <c:pt idx="2836">
                  <c:v>42557</c:v>
                </c:pt>
                <c:pt idx="2837">
                  <c:v>42558</c:v>
                </c:pt>
                <c:pt idx="2838">
                  <c:v>42559</c:v>
                </c:pt>
                <c:pt idx="2839">
                  <c:v>42560</c:v>
                </c:pt>
                <c:pt idx="2840">
                  <c:v>42561</c:v>
                </c:pt>
                <c:pt idx="2841">
                  <c:v>42562</c:v>
                </c:pt>
                <c:pt idx="2842">
                  <c:v>42563</c:v>
                </c:pt>
                <c:pt idx="2843">
                  <c:v>42564</c:v>
                </c:pt>
                <c:pt idx="2844">
                  <c:v>42565</c:v>
                </c:pt>
                <c:pt idx="2845">
                  <c:v>42566</c:v>
                </c:pt>
                <c:pt idx="2846">
                  <c:v>42567</c:v>
                </c:pt>
                <c:pt idx="2847">
                  <c:v>42568</c:v>
                </c:pt>
                <c:pt idx="2848">
                  <c:v>42569</c:v>
                </c:pt>
                <c:pt idx="2849">
                  <c:v>42570</c:v>
                </c:pt>
                <c:pt idx="2850">
                  <c:v>42571</c:v>
                </c:pt>
                <c:pt idx="2851">
                  <c:v>42572</c:v>
                </c:pt>
                <c:pt idx="2852">
                  <c:v>42573</c:v>
                </c:pt>
                <c:pt idx="2853">
                  <c:v>42574</c:v>
                </c:pt>
                <c:pt idx="2854">
                  <c:v>42575</c:v>
                </c:pt>
                <c:pt idx="2855">
                  <c:v>42576</c:v>
                </c:pt>
                <c:pt idx="2856">
                  <c:v>42577</c:v>
                </c:pt>
                <c:pt idx="2857">
                  <c:v>42578</c:v>
                </c:pt>
                <c:pt idx="2858">
                  <c:v>42579</c:v>
                </c:pt>
                <c:pt idx="2859">
                  <c:v>42580</c:v>
                </c:pt>
                <c:pt idx="2860">
                  <c:v>42581</c:v>
                </c:pt>
                <c:pt idx="2861">
                  <c:v>42582</c:v>
                </c:pt>
                <c:pt idx="2862">
                  <c:v>42583</c:v>
                </c:pt>
                <c:pt idx="2863">
                  <c:v>42584</c:v>
                </c:pt>
                <c:pt idx="2864">
                  <c:v>42585</c:v>
                </c:pt>
                <c:pt idx="2865">
                  <c:v>42586</c:v>
                </c:pt>
                <c:pt idx="2866">
                  <c:v>42587</c:v>
                </c:pt>
                <c:pt idx="2867">
                  <c:v>42588</c:v>
                </c:pt>
                <c:pt idx="2868">
                  <c:v>42589</c:v>
                </c:pt>
                <c:pt idx="2869">
                  <c:v>42590</c:v>
                </c:pt>
                <c:pt idx="2870">
                  <c:v>42591</c:v>
                </c:pt>
                <c:pt idx="2871">
                  <c:v>42592</c:v>
                </c:pt>
                <c:pt idx="2872">
                  <c:v>42593</c:v>
                </c:pt>
                <c:pt idx="2873">
                  <c:v>42594</c:v>
                </c:pt>
                <c:pt idx="2874">
                  <c:v>42595</c:v>
                </c:pt>
                <c:pt idx="2875">
                  <c:v>42596</c:v>
                </c:pt>
                <c:pt idx="2876">
                  <c:v>42597</c:v>
                </c:pt>
                <c:pt idx="2877">
                  <c:v>42598</c:v>
                </c:pt>
                <c:pt idx="2878">
                  <c:v>42599</c:v>
                </c:pt>
                <c:pt idx="2879">
                  <c:v>42600</c:v>
                </c:pt>
                <c:pt idx="2880">
                  <c:v>42601</c:v>
                </c:pt>
                <c:pt idx="2881">
                  <c:v>42602</c:v>
                </c:pt>
                <c:pt idx="2882">
                  <c:v>42603</c:v>
                </c:pt>
                <c:pt idx="2883">
                  <c:v>42604</c:v>
                </c:pt>
                <c:pt idx="2884">
                  <c:v>42605</c:v>
                </c:pt>
                <c:pt idx="2885">
                  <c:v>42606</c:v>
                </c:pt>
                <c:pt idx="2886">
                  <c:v>42607</c:v>
                </c:pt>
                <c:pt idx="2887">
                  <c:v>42608</c:v>
                </c:pt>
                <c:pt idx="2888">
                  <c:v>42609</c:v>
                </c:pt>
                <c:pt idx="2889">
                  <c:v>42610</c:v>
                </c:pt>
                <c:pt idx="2890">
                  <c:v>42611</c:v>
                </c:pt>
                <c:pt idx="2891">
                  <c:v>42612</c:v>
                </c:pt>
                <c:pt idx="2892">
                  <c:v>42613</c:v>
                </c:pt>
                <c:pt idx="2893">
                  <c:v>42614</c:v>
                </c:pt>
                <c:pt idx="2894">
                  <c:v>42615</c:v>
                </c:pt>
                <c:pt idx="2895">
                  <c:v>42616</c:v>
                </c:pt>
                <c:pt idx="2896">
                  <c:v>42617</c:v>
                </c:pt>
                <c:pt idx="2897">
                  <c:v>42618</c:v>
                </c:pt>
                <c:pt idx="2898">
                  <c:v>42619</c:v>
                </c:pt>
                <c:pt idx="2899">
                  <c:v>42620</c:v>
                </c:pt>
                <c:pt idx="2900">
                  <c:v>42621</c:v>
                </c:pt>
                <c:pt idx="2901">
                  <c:v>42622</c:v>
                </c:pt>
                <c:pt idx="2902">
                  <c:v>42623</c:v>
                </c:pt>
                <c:pt idx="2903">
                  <c:v>42624</c:v>
                </c:pt>
                <c:pt idx="2904">
                  <c:v>42625</c:v>
                </c:pt>
                <c:pt idx="2905">
                  <c:v>42626</c:v>
                </c:pt>
                <c:pt idx="2906">
                  <c:v>42627</c:v>
                </c:pt>
                <c:pt idx="2907">
                  <c:v>42628</c:v>
                </c:pt>
                <c:pt idx="2908">
                  <c:v>42629</c:v>
                </c:pt>
                <c:pt idx="2909">
                  <c:v>42630</c:v>
                </c:pt>
                <c:pt idx="2910">
                  <c:v>42631</c:v>
                </c:pt>
                <c:pt idx="2911">
                  <c:v>42632</c:v>
                </c:pt>
                <c:pt idx="2912">
                  <c:v>42633</c:v>
                </c:pt>
                <c:pt idx="2913">
                  <c:v>42634</c:v>
                </c:pt>
                <c:pt idx="2914">
                  <c:v>42635</c:v>
                </c:pt>
                <c:pt idx="2915">
                  <c:v>42636</c:v>
                </c:pt>
                <c:pt idx="2916">
                  <c:v>42637</c:v>
                </c:pt>
                <c:pt idx="2917">
                  <c:v>42638</c:v>
                </c:pt>
                <c:pt idx="2918">
                  <c:v>42639</c:v>
                </c:pt>
                <c:pt idx="2919">
                  <c:v>42640</c:v>
                </c:pt>
                <c:pt idx="2920">
                  <c:v>42641</c:v>
                </c:pt>
                <c:pt idx="2921">
                  <c:v>42642</c:v>
                </c:pt>
                <c:pt idx="2922">
                  <c:v>42643</c:v>
                </c:pt>
                <c:pt idx="2923">
                  <c:v>42644</c:v>
                </c:pt>
                <c:pt idx="2924">
                  <c:v>42645</c:v>
                </c:pt>
                <c:pt idx="2925">
                  <c:v>42646</c:v>
                </c:pt>
                <c:pt idx="2926">
                  <c:v>42647</c:v>
                </c:pt>
                <c:pt idx="2927">
                  <c:v>42648</c:v>
                </c:pt>
                <c:pt idx="2928">
                  <c:v>42649</c:v>
                </c:pt>
                <c:pt idx="2929">
                  <c:v>42650</c:v>
                </c:pt>
                <c:pt idx="2930">
                  <c:v>42651</c:v>
                </c:pt>
                <c:pt idx="2931">
                  <c:v>42652</c:v>
                </c:pt>
                <c:pt idx="2932">
                  <c:v>42653</c:v>
                </c:pt>
                <c:pt idx="2933">
                  <c:v>42654</c:v>
                </c:pt>
                <c:pt idx="2934">
                  <c:v>42655</c:v>
                </c:pt>
                <c:pt idx="2935">
                  <c:v>42656</c:v>
                </c:pt>
                <c:pt idx="2936">
                  <c:v>42657</c:v>
                </c:pt>
                <c:pt idx="2937">
                  <c:v>42658</c:v>
                </c:pt>
                <c:pt idx="2938">
                  <c:v>42659</c:v>
                </c:pt>
                <c:pt idx="2939">
                  <c:v>42660</c:v>
                </c:pt>
                <c:pt idx="2940">
                  <c:v>42661</c:v>
                </c:pt>
                <c:pt idx="2941">
                  <c:v>42662</c:v>
                </c:pt>
                <c:pt idx="2942">
                  <c:v>42663</c:v>
                </c:pt>
                <c:pt idx="2943">
                  <c:v>42664</c:v>
                </c:pt>
                <c:pt idx="2944">
                  <c:v>42665</c:v>
                </c:pt>
                <c:pt idx="2945">
                  <c:v>42666</c:v>
                </c:pt>
                <c:pt idx="2946">
                  <c:v>42667</c:v>
                </c:pt>
                <c:pt idx="2947">
                  <c:v>42668</c:v>
                </c:pt>
                <c:pt idx="2948">
                  <c:v>42669</c:v>
                </c:pt>
                <c:pt idx="2949">
                  <c:v>42670</c:v>
                </c:pt>
                <c:pt idx="2950">
                  <c:v>42671</c:v>
                </c:pt>
                <c:pt idx="2951">
                  <c:v>42672</c:v>
                </c:pt>
                <c:pt idx="2952">
                  <c:v>42673</c:v>
                </c:pt>
                <c:pt idx="2953">
                  <c:v>42674</c:v>
                </c:pt>
                <c:pt idx="2954">
                  <c:v>42675</c:v>
                </c:pt>
                <c:pt idx="2955">
                  <c:v>42676</c:v>
                </c:pt>
                <c:pt idx="2956">
                  <c:v>42677</c:v>
                </c:pt>
                <c:pt idx="2957">
                  <c:v>42678</c:v>
                </c:pt>
                <c:pt idx="2958">
                  <c:v>42679</c:v>
                </c:pt>
                <c:pt idx="2959">
                  <c:v>42680</c:v>
                </c:pt>
                <c:pt idx="2960">
                  <c:v>42681</c:v>
                </c:pt>
                <c:pt idx="2961">
                  <c:v>42682</c:v>
                </c:pt>
                <c:pt idx="2962">
                  <c:v>42683</c:v>
                </c:pt>
                <c:pt idx="2963">
                  <c:v>42684</c:v>
                </c:pt>
                <c:pt idx="2964">
                  <c:v>42685</c:v>
                </c:pt>
                <c:pt idx="2965">
                  <c:v>42686</c:v>
                </c:pt>
                <c:pt idx="2966">
                  <c:v>42687</c:v>
                </c:pt>
                <c:pt idx="2967">
                  <c:v>42688</c:v>
                </c:pt>
                <c:pt idx="2968">
                  <c:v>42689</c:v>
                </c:pt>
                <c:pt idx="2969">
                  <c:v>42690</c:v>
                </c:pt>
                <c:pt idx="2970">
                  <c:v>42691</c:v>
                </c:pt>
                <c:pt idx="2971">
                  <c:v>42692</c:v>
                </c:pt>
                <c:pt idx="2972">
                  <c:v>42693</c:v>
                </c:pt>
                <c:pt idx="2973">
                  <c:v>42694</c:v>
                </c:pt>
                <c:pt idx="2974">
                  <c:v>42695</c:v>
                </c:pt>
                <c:pt idx="2975">
                  <c:v>42696</c:v>
                </c:pt>
                <c:pt idx="2976">
                  <c:v>42697</c:v>
                </c:pt>
                <c:pt idx="2977">
                  <c:v>42698</c:v>
                </c:pt>
                <c:pt idx="2978">
                  <c:v>42699</c:v>
                </c:pt>
                <c:pt idx="2979">
                  <c:v>42700</c:v>
                </c:pt>
                <c:pt idx="2980">
                  <c:v>42701</c:v>
                </c:pt>
                <c:pt idx="2981">
                  <c:v>42702</c:v>
                </c:pt>
                <c:pt idx="2982">
                  <c:v>42703</c:v>
                </c:pt>
                <c:pt idx="2983">
                  <c:v>42704</c:v>
                </c:pt>
                <c:pt idx="2984">
                  <c:v>42705</c:v>
                </c:pt>
                <c:pt idx="2985">
                  <c:v>42706</c:v>
                </c:pt>
                <c:pt idx="2986">
                  <c:v>42707</c:v>
                </c:pt>
                <c:pt idx="2987">
                  <c:v>42708</c:v>
                </c:pt>
                <c:pt idx="2988">
                  <c:v>42709</c:v>
                </c:pt>
                <c:pt idx="2989">
                  <c:v>42710</c:v>
                </c:pt>
                <c:pt idx="2990">
                  <c:v>42711</c:v>
                </c:pt>
                <c:pt idx="2991">
                  <c:v>42712</c:v>
                </c:pt>
                <c:pt idx="2992">
                  <c:v>42713</c:v>
                </c:pt>
                <c:pt idx="2993">
                  <c:v>42714</c:v>
                </c:pt>
                <c:pt idx="2994">
                  <c:v>42715</c:v>
                </c:pt>
                <c:pt idx="2995">
                  <c:v>42716</c:v>
                </c:pt>
                <c:pt idx="2996">
                  <c:v>42717</c:v>
                </c:pt>
                <c:pt idx="2997">
                  <c:v>42718</c:v>
                </c:pt>
                <c:pt idx="2998">
                  <c:v>42719</c:v>
                </c:pt>
                <c:pt idx="2999">
                  <c:v>42720</c:v>
                </c:pt>
                <c:pt idx="3000">
                  <c:v>42721</c:v>
                </c:pt>
                <c:pt idx="3001">
                  <c:v>42722</c:v>
                </c:pt>
                <c:pt idx="3002">
                  <c:v>42723</c:v>
                </c:pt>
                <c:pt idx="3003">
                  <c:v>42724</c:v>
                </c:pt>
                <c:pt idx="3004">
                  <c:v>42725</c:v>
                </c:pt>
                <c:pt idx="3005">
                  <c:v>42726</c:v>
                </c:pt>
                <c:pt idx="3006">
                  <c:v>42727</c:v>
                </c:pt>
                <c:pt idx="3007">
                  <c:v>42728</c:v>
                </c:pt>
                <c:pt idx="3008">
                  <c:v>42729</c:v>
                </c:pt>
                <c:pt idx="3009">
                  <c:v>42730</c:v>
                </c:pt>
                <c:pt idx="3010">
                  <c:v>42731</c:v>
                </c:pt>
                <c:pt idx="3011">
                  <c:v>42732</c:v>
                </c:pt>
                <c:pt idx="3012">
                  <c:v>42733</c:v>
                </c:pt>
                <c:pt idx="3013">
                  <c:v>42734</c:v>
                </c:pt>
                <c:pt idx="3014">
                  <c:v>42735</c:v>
                </c:pt>
                <c:pt idx="3015">
                  <c:v>42736</c:v>
                </c:pt>
                <c:pt idx="3016">
                  <c:v>42737</c:v>
                </c:pt>
                <c:pt idx="3017">
                  <c:v>42738</c:v>
                </c:pt>
                <c:pt idx="3018">
                  <c:v>42739</c:v>
                </c:pt>
                <c:pt idx="3019">
                  <c:v>42740</c:v>
                </c:pt>
                <c:pt idx="3020">
                  <c:v>42741</c:v>
                </c:pt>
                <c:pt idx="3021">
                  <c:v>42742</c:v>
                </c:pt>
                <c:pt idx="3022">
                  <c:v>42743</c:v>
                </c:pt>
                <c:pt idx="3023">
                  <c:v>42744</c:v>
                </c:pt>
                <c:pt idx="3024">
                  <c:v>42745</c:v>
                </c:pt>
                <c:pt idx="3025">
                  <c:v>42746</c:v>
                </c:pt>
                <c:pt idx="3026">
                  <c:v>42747</c:v>
                </c:pt>
                <c:pt idx="3027">
                  <c:v>42748</c:v>
                </c:pt>
                <c:pt idx="3028">
                  <c:v>42749</c:v>
                </c:pt>
                <c:pt idx="3029">
                  <c:v>42750</c:v>
                </c:pt>
                <c:pt idx="3030">
                  <c:v>42751</c:v>
                </c:pt>
                <c:pt idx="3031">
                  <c:v>42752</c:v>
                </c:pt>
                <c:pt idx="3032">
                  <c:v>42753</c:v>
                </c:pt>
                <c:pt idx="3033">
                  <c:v>42754</c:v>
                </c:pt>
                <c:pt idx="3034">
                  <c:v>42755</c:v>
                </c:pt>
                <c:pt idx="3035">
                  <c:v>42756</c:v>
                </c:pt>
                <c:pt idx="3036">
                  <c:v>42757</c:v>
                </c:pt>
                <c:pt idx="3037">
                  <c:v>42758</c:v>
                </c:pt>
                <c:pt idx="3038">
                  <c:v>42759</c:v>
                </c:pt>
                <c:pt idx="3039">
                  <c:v>42760</c:v>
                </c:pt>
                <c:pt idx="3040">
                  <c:v>42761</c:v>
                </c:pt>
                <c:pt idx="3041">
                  <c:v>42762</c:v>
                </c:pt>
                <c:pt idx="3042">
                  <c:v>42763</c:v>
                </c:pt>
                <c:pt idx="3043">
                  <c:v>42764</c:v>
                </c:pt>
                <c:pt idx="3044">
                  <c:v>42765</c:v>
                </c:pt>
                <c:pt idx="3045">
                  <c:v>42766</c:v>
                </c:pt>
                <c:pt idx="3046">
                  <c:v>42767</c:v>
                </c:pt>
                <c:pt idx="3047">
                  <c:v>42768</c:v>
                </c:pt>
                <c:pt idx="3048">
                  <c:v>42769</c:v>
                </c:pt>
                <c:pt idx="3049">
                  <c:v>42770</c:v>
                </c:pt>
                <c:pt idx="3050">
                  <c:v>42771</c:v>
                </c:pt>
                <c:pt idx="3051">
                  <c:v>42772</c:v>
                </c:pt>
                <c:pt idx="3052">
                  <c:v>42773</c:v>
                </c:pt>
                <c:pt idx="3053">
                  <c:v>42774</c:v>
                </c:pt>
                <c:pt idx="3054">
                  <c:v>42775</c:v>
                </c:pt>
                <c:pt idx="3055">
                  <c:v>42776</c:v>
                </c:pt>
                <c:pt idx="3056">
                  <c:v>42777</c:v>
                </c:pt>
                <c:pt idx="3057">
                  <c:v>42778</c:v>
                </c:pt>
                <c:pt idx="3058">
                  <c:v>42779</c:v>
                </c:pt>
                <c:pt idx="3059">
                  <c:v>42780</c:v>
                </c:pt>
                <c:pt idx="3060">
                  <c:v>42781</c:v>
                </c:pt>
                <c:pt idx="3061">
                  <c:v>42782</c:v>
                </c:pt>
                <c:pt idx="3062">
                  <c:v>42783</c:v>
                </c:pt>
                <c:pt idx="3063">
                  <c:v>42784</c:v>
                </c:pt>
                <c:pt idx="3064">
                  <c:v>42785</c:v>
                </c:pt>
                <c:pt idx="3065">
                  <c:v>42786</c:v>
                </c:pt>
                <c:pt idx="3066">
                  <c:v>42787</c:v>
                </c:pt>
                <c:pt idx="3067">
                  <c:v>42788</c:v>
                </c:pt>
                <c:pt idx="3068">
                  <c:v>42789</c:v>
                </c:pt>
                <c:pt idx="3069">
                  <c:v>42790</c:v>
                </c:pt>
                <c:pt idx="3070">
                  <c:v>42791</c:v>
                </c:pt>
                <c:pt idx="3071">
                  <c:v>42792</c:v>
                </c:pt>
                <c:pt idx="3072">
                  <c:v>42793</c:v>
                </c:pt>
                <c:pt idx="3073">
                  <c:v>42794</c:v>
                </c:pt>
                <c:pt idx="3074">
                  <c:v>42795</c:v>
                </c:pt>
                <c:pt idx="3075">
                  <c:v>42796</c:v>
                </c:pt>
                <c:pt idx="3076">
                  <c:v>42797</c:v>
                </c:pt>
                <c:pt idx="3077">
                  <c:v>42798</c:v>
                </c:pt>
                <c:pt idx="3078">
                  <c:v>42799</c:v>
                </c:pt>
                <c:pt idx="3079">
                  <c:v>42800</c:v>
                </c:pt>
                <c:pt idx="3080">
                  <c:v>42801</c:v>
                </c:pt>
                <c:pt idx="3081">
                  <c:v>42802</c:v>
                </c:pt>
                <c:pt idx="3082">
                  <c:v>42803</c:v>
                </c:pt>
                <c:pt idx="3083">
                  <c:v>42804</c:v>
                </c:pt>
                <c:pt idx="3084">
                  <c:v>42805</c:v>
                </c:pt>
                <c:pt idx="3085">
                  <c:v>42806</c:v>
                </c:pt>
                <c:pt idx="3086">
                  <c:v>42807</c:v>
                </c:pt>
                <c:pt idx="3087">
                  <c:v>42808</c:v>
                </c:pt>
                <c:pt idx="3088">
                  <c:v>42809</c:v>
                </c:pt>
                <c:pt idx="3089">
                  <c:v>42810</c:v>
                </c:pt>
                <c:pt idx="3090">
                  <c:v>42811</c:v>
                </c:pt>
                <c:pt idx="3091">
                  <c:v>42812</c:v>
                </c:pt>
                <c:pt idx="3092">
                  <c:v>42813</c:v>
                </c:pt>
                <c:pt idx="3093">
                  <c:v>42814</c:v>
                </c:pt>
                <c:pt idx="3094">
                  <c:v>42815</c:v>
                </c:pt>
                <c:pt idx="3095">
                  <c:v>42816</c:v>
                </c:pt>
                <c:pt idx="3096">
                  <c:v>42817</c:v>
                </c:pt>
                <c:pt idx="3097">
                  <c:v>42818</c:v>
                </c:pt>
                <c:pt idx="3098">
                  <c:v>42819</c:v>
                </c:pt>
                <c:pt idx="3099">
                  <c:v>42820</c:v>
                </c:pt>
                <c:pt idx="3100">
                  <c:v>42821</c:v>
                </c:pt>
                <c:pt idx="3101">
                  <c:v>42822</c:v>
                </c:pt>
                <c:pt idx="3102">
                  <c:v>42823</c:v>
                </c:pt>
                <c:pt idx="3103">
                  <c:v>42824</c:v>
                </c:pt>
                <c:pt idx="3104">
                  <c:v>42825</c:v>
                </c:pt>
                <c:pt idx="3105">
                  <c:v>42826</c:v>
                </c:pt>
                <c:pt idx="3106">
                  <c:v>42827</c:v>
                </c:pt>
                <c:pt idx="3107">
                  <c:v>42828</c:v>
                </c:pt>
                <c:pt idx="3108">
                  <c:v>42829</c:v>
                </c:pt>
                <c:pt idx="3109">
                  <c:v>42830</c:v>
                </c:pt>
                <c:pt idx="3110">
                  <c:v>42831</c:v>
                </c:pt>
                <c:pt idx="3111">
                  <c:v>42832</c:v>
                </c:pt>
                <c:pt idx="3112">
                  <c:v>42833</c:v>
                </c:pt>
                <c:pt idx="3113">
                  <c:v>42834</c:v>
                </c:pt>
                <c:pt idx="3114">
                  <c:v>42835</c:v>
                </c:pt>
                <c:pt idx="3115">
                  <c:v>42836</c:v>
                </c:pt>
                <c:pt idx="3116">
                  <c:v>42837</c:v>
                </c:pt>
                <c:pt idx="3117">
                  <c:v>42838</c:v>
                </c:pt>
                <c:pt idx="3118">
                  <c:v>42839</c:v>
                </c:pt>
                <c:pt idx="3119">
                  <c:v>42840</c:v>
                </c:pt>
                <c:pt idx="3120">
                  <c:v>42841</c:v>
                </c:pt>
                <c:pt idx="3121">
                  <c:v>42842</c:v>
                </c:pt>
                <c:pt idx="3122">
                  <c:v>42843</c:v>
                </c:pt>
                <c:pt idx="3123">
                  <c:v>42844</c:v>
                </c:pt>
                <c:pt idx="3124">
                  <c:v>42845</c:v>
                </c:pt>
                <c:pt idx="3125">
                  <c:v>42846</c:v>
                </c:pt>
                <c:pt idx="3126">
                  <c:v>42847</c:v>
                </c:pt>
                <c:pt idx="3127">
                  <c:v>42848</c:v>
                </c:pt>
                <c:pt idx="3128">
                  <c:v>42849</c:v>
                </c:pt>
                <c:pt idx="3129">
                  <c:v>42850</c:v>
                </c:pt>
                <c:pt idx="3130">
                  <c:v>42851</c:v>
                </c:pt>
                <c:pt idx="3131">
                  <c:v>42852</c:v>
                </c:pt>
                <c:pt idx="3132">
                  <c:v>42853</c:v>
                </c:pt>
                <c:pt idx="3133">
                  <c:v>42854</c:v>
                </c:pt>
                <c:pt idx="3134">
                  <c:v>42855</c:v>
                </c:pt>
                <c:pt idx="3135">
                  <c:v>42856</c:v>
                </c:pt>
                <c:pt idx="3136">
                  <c:v>42857</c:v>
                </c:pt>
                <c:pt idx="3137">
                  <c:v>42858</c:v>
                </c:pt>
                <c:pt idx="3138">
                  <c:v>42859</c:v>
                </c:pt>
                <c:pt idx="3139">
                  <c:v>42860</c:v>
                </c:pt>
                <c:pt idx="3140">
                  <c:v>42861</c:v>
                </c:pt>
                <c:pt idx="3141">
                  <c:v>42862</c:v>
                </c:pt>
                <c:pt idx="3142">
                  <c:v>42863</c:v>
                </c:pt>
                <c:pt idx="3143">
                  <c:v>42864</c:v>
                </c:pt>
                <c:pt idx="3144">
                  <c:v>42865</c:v>
                </c:pt>
                <c:pt idx="3145">
                  <c:v>42866</c:v>
                </c:pt>
                <c:pt idx="3146">
                  <c:v>42867</c:v>
                </c:pt>
                <c:pt idx="3147">
                  <c:v>42868</c:v>
                </c:pt>
                <c:pt idx="3148">
                  <c:v>42869</c:v>
                </c:pt>
                <c:pt idx="3149">
                  <c:v>42870</c:v>
                </c:pt>
                <c:pt idx="3150">
                  <c:v>42871</c:v>
                </c:pt>
                <c:pt idx="3151">
                  <c:v>42872</c:v>
                </c:pt>
                <c:pt idx="3152">
                  <c:v>42873</c:v>
                </c:pt>
                <c:pt idx="3153">
                  <c:v>42874</c:v>
                </c:pt>
                <c:pt idx="3154">
                  <c:v>42875</c:v>
                </c:pt>
                <c:pt idx="3155">
                  <c:v>42876</c:v>
                </c:pt>
                <c:pt idx="3156">
                  <c:v>42877</c:v>
                </c:pt>
                <c:pt idx="3157">
                  <c:v>42878</c:v>
                </c:pt>
                <c:pt idx="3158">
                  <c:v>42879</c:v>
                </c:pt>
                <c:pt idx="3159">
                  <c:v>42880</c:v>
                </c:pt>
                <c:pt idx="3160">
                  <c:v>42881</c:v>
                </c:pt>
                <c:pt idx="3161">
                  <c:v>42882</c:v>
                </c:pt>
                <c:pt idx="3162">
                  <c:v>42883</c:v>
                </c:pt>
                <c:pt idx="3163">
                  <c:v>42884</c:v>
                </c:pt>
                <c:pt idx="3164">
                  <c:v>42885</c:v>
                </c:pt>
                <c:pt idx="3165">
                  <c:v>42886</c:v>
                </c:pt>
                <c:pt idx="3166">
                  <c:v>42887</c:v>
                </c:pt>
                <c:pt idx="3167">
                  <c:v>42888</c:v>
                </c:pt>
                <c:pt idx="3168">
                  <c:v>42889</c:v>
                </c:pt>
                <c:pt idx="3169">
                  <c:v>42890</c:v>
                </c:pt>
                <c:pt idx="3170">
                  <c:v>42891</c:v>
                </c:pt>
                <c:pt idx="3171">
                  <c:v>42892</c:v>
                </c:pt>
                <c:pt idx="3172">
                  <c:v>42893</c:v>
                </c:pt>
                <c:pt idx="3173">
                  <c:v>42894</c:v>
                </c:pt>
                <c:pt idx="3174">
                  <c:v>42895</c:v>
                </c:pt>
                <c:pt idx="3175">
                  <c:v>42896</c:v>
                </c:pt>
                <c:pt idx="3176">
                  <c:v>42897</c:v>
                </c:pt>
                <c:pt idx="3177">
                  <c:v>42898</c:v>
                </c:pt>
                <c:pt idx="3178">
                  <c:v>42899</c:v>
                </c:pt>
                <c:pt idx="3179">
                  <c:v>42900</c:v>
                </c:pt>
                <c:pt idx="3180">
                  <c:v>42901</c:v>
                </c:pt>
                <c:pt idx="3181">
                  <c:v>42902</c:v>
                </c:pt>
                <c:pt idx="3182">
                  <c:v>42903</c:v>
                </c:pt>
                <c:pt idx="3183">
                  <c:v>42904</c:v>
                </c:pt>
                <c:pt idx="3184">
                  <c:v>42905</c:v>
                </c:pt>
                <c:pt idx="3185">
                  <c:v>42906</c:v>
                </c:pt>
                <c:pt idx="3186">
                  <c:v>42907</c:v>
                </c:pt>
                <c:pt idx="3187">
                  <c:v>42908</c:v>
                </c:pt>
                <c:pt idx="3188">
                  <c:v>42909</c:v>
                </c:pt>
                <c:pt idx="3189">
                  <c:v>42910</c:v>
                </c:pt>
                <c:pt idx="3190">
                  <c:v>42911</c:v>
                </c:pt>
                <c:pt idx="3191">
                  <c:v>42912</c:v>
                </c:pt>
                <c:pt idx="3192">
                  <c:v>42913</c:v>
                </c:pt>
                <c:pt idx="3193">
                  <c:v>42914</c:v>
                </c:pt>
                <c:pt idx="3194">
                  <c:v>42915</c:v>
                </c:pt>
                <c:pt idx="3195">
                  <c:v>42916</c:v>
                </c:pt>
                <c:pt idx="3196">
                  <c:v>42917</c:v>
                </c:pt>
                <c:pt idx="3197">
                  <c:v>42918</c:v>
                </c:pt>
                <c:pt idx="3198">
                  <c:v>42919</c:v>
                </c:pt>
                <c:pt idx="3199">
                  <c:v>42920</c:v>
                </c:pt>
                <c:pt idx="3200">
                  <c:v>42921</c:v>
                </c:pt>
                <c:pt idx="3201">
                  <c:v>42922</c:v>
                </c:pt>
                <c:pt idx="3202">
                  <c:v>42923</c:v>
                </c:pt>
                <c:pt idx="3203">
                  <c:v>42924</c:v>
                </c:pt>
                <c:pt idx="3204">
                  <c:v>42925</c:v>
                </c:pt>
                <c:pt idx="3205">
                  <c:v>42926</c:v>
                </c:pt>
                <c:pt idx="3206">
                  <c:v>42927</c:v>
                </c:pt>
                <c:pt idx="3207">
                  <c:v>42928</c:v>
                </c:pt>
                <c:pt idx="3208">
                  <c:v>42929</c:v>
                </c:pt>
                <c:pt idx="3209">
                  <c:v>42930</c:v>
                </c:pt>
                <c:pt idx="3210">
                  <c:v>42931</c:v>
                </c:pt>
                <c:pt idx="3211">
                  <c:v>42932</c:v>
                </c:pt>
                <c:pt idx="3212">
                  <c:v>42933</c:v>
                </c:pt>
                <c:pt idx="3213">
                  <c:v>42934</c:v>
                </c:pt>
                <c:pt idx="3214">
                  <c:v>42935</c:v>
                </c:pt>
                <c:pt idx="3215">
                  <c:v>42936</c:v>
                </c:pt>
                <c:pt idx="3216">
                  <c:v>42937</c:v>
                </c:pt>
                <c:pt idx="3217">
                  <c:v>42938</c:v>
                </c:pt>
                <c:pt idx="3218">
                  <c:v>42939</c:v>
                </c:pt>
                <c:pt idx="3219">
                  <c:v>42940</c:v>
                </c:pt>
                <c:pt idx="3220">
                  <c:v>42941</c:v>
                </c:pt>
                <c:pt idx="3221">
                  <c:v>42942</c:v>
                </c:pt>
                <c:pt idx="3222">
                  <c:v>42943</c:v>
                </c:pt>
                <c:pt idx="3223">
                  <c:v>42944</c:v>
                </c:pt>
                <c:pt idx="3224">
                  <c:v>42945</c:v>
                </c:pt>
                <c:pt idx="3225">
                  <c:v>42946</c:v>
                </c:pt>
                <c:pt idx="3226">
                  <c:v>42947</c:v>
                </c:pt>
                <c:pt idx="3227">
                  <c:v>42948</c:v>
                </c:pt>
                <c:pt idx="3228">
                  <c:v>42949</c:v>
                </c:pt>
                <c:pt idx="3229">
                  <c:v>42950</c:v>
                </c:pt>
                <c:pt idx="3230">
                  <c:v>42951</c:v>
                </c:pt>
                <c:pt idx="3231">
                  <c:v>42952</c:v>
                </c:pt>
                <c:pt idx="3232">
                  <c:v>42953</c:v>
                </c:pt>
                <c:pt idx="3233">
                  <c:v>42954</c:v>
                </c:pt>
                <c:pt idx="3234">
                  <c:v>42955</c:v>
                </c:pt>
                <c:pt idx="3235">
                  <c:v>42956</c:v>
                </c:pt>
                <c:pt idx="3236">
                  <c:v>42957</c:v>
                </c:pt>
                <c:pt idx="3237">
                  <c:v>42958</c:v>
                </c:pt>
                <c:pt idx="3238">
                  <c:v>42959</c:v>
                </c:pt>
                <c:pt idx="3239">
                  <c:v>42960</c:v>
                </c:pt>
                <c:pt idx="3240">
                  <c:v>42961</c:v>
                </c:pt>
                <c:pt idx="3241">
                  <c:v>42962</c:v>
                </c:pt>
                <c:pt idx="3242">
                  <c:v>42963</c:v>
                </c:pt>
                <c:pt idx="3243">
                  <c:v>42964</c:v>
                </c:pt>
                <c:pt idx="3244">
                  <c:v>42965</c:v>
                </c:pt>
                <c:pt idx="3245">
                  <c:v>42966</c:v>
                </c:pt>
                <c:pt idx="3246">
                  <c:v>42967</c:v>
                </c:pt>
                <c:pt idx="3247">
                  <c:v>42968</c:v>
                </c:pt>
                <c:pt idx="3248">
                  <c:v>42969</c:v>
                </c:pt>
                <c:pt idx="3249">
                  <c:v>42970</c:v>
                </c:pt>
                <c:pt idx="3250">
                  <c:v>42971</c:v>
                </c:pt>
                <c:pt idx="3251">
                  <c:v>42972</c:v>
                </c:pt>
                <c:pt idx="3252">
                  <c:v>42973</c:v>
                </c:pt>
                <c:pt idx="3253">
                  <c:v>42974</c:v>
                </c:pt>
                <c:pt idx="3254">
                  <c:v>42975</c:v>
                </c:pt>
                <c:pt idx="3255">
                  <c:v>42976</c:v>
                </c:pt>
                <c:pt idx="3256">
                  <c:v>42977</c:v>
                </c:pt>
                <c:pt idx="3257">
                  <c:v>42978</c:v>
                </c:pt>
                <c:pt idx="3258">
                  <c:v>42979</c:v>
                </c:pt>
                <c:pt idx="3259">
                  <c:v>42980</c:v>
                </c:pt>
                <c:pt idx="3260">
                  <c:v>42981</c:v>
                </c:pt>
                <c:pt idx="3261">
                  <c:v>42982</c:v>
                </c:pt>
                <c:pt idx="3262">
                  <c:v>42983</c:v>
                </c:pt>
                <c:pt idx="3263">
                  <c:v>42984</c:v>
                </c:pt>
                <c:pt idx="3264">
                  <c:v>42985</c:v>
                </c:pt>
                <c:pt idx="3265">
                  <c:v>42986</c:v>
                </c:pt>
                <c:pt idx="3266">
                  <c:v>42987</c:v>
                </c:pt>
                <c:pt idx="3267">
                  <c:v>42988</c:v>
                </c:pt>
                <c:pt idx="3268">
                  <c:v>42989</c:v>
                </c:pt>
                <c:pt idx="3269">
                  <c:v>42990</c:v>
                </c:pt>
                <c:pt idx="3270">
                  <c:v>42991</c:v>
                </c:pt>
                <c:pt idx="3271">
                  <c:v>42992</c:v>
                </c:pt>
                <c:pt idx="3272">
                  <c:v>42993</c:v>
                </c:pt>
                <c:pt idx="3273">
                  <c:v>42994</c:v>
                </c:pt>
                <c:pt idx="3274">
                  <c:v>42995</c:v>
                </c:pt>
                <c:pt idx="3275">
                  <c:v>42996</c:v>
                </c:pt>
                <c:pt idx="3276">
                  <c:v>42997</c:v>
                </c:pt>
                <c:pt idx="3277">
                  <c:v>42998</c:v>
                </c:pt>
                <c:pt idx="3278">
                  <c:v>42999</c:v>
                </c:pt>
                <c:pt idx="3279">
                  <c:v>43000</c:v>
                </c:pt>
                <c:pt idx="3280">
                  <c:v>43001</c:v>
                </c:pt>
                <c:pt idx="3281">
                  <c:v>43002</c:v>
                </c:pt>
                <c:pt idx="3282">
                  <c:v>43003</c:v>
                </c:pt>
                <c:pt idx="3283">
                  <c:v>43004</c:v>
                </c:pt>
                <c:pt idx="3284">
                  <c:v>43005</c:v>
                </c:pt>
                <c:pt idx="3285">
                  <c:v>43006</c:v>
                </c:pt>
                <c:pt idx="3286">
                  <c:v>43007</c:v>
                </c:pt>
                <c:pt idx="3287">
                  <c:v>43008</c:v>
                </c:pt>
                <c:pt idx="3288">
                  <c:v>43009</c:v>
                </c:pt>
                <c:pt idx="3289">
                  <c:v>43010</c:v>
                </c:pt>
                <c:pt idx="3290">
                  <c:v>43011</c:v>
                </c:pt>
                <c:pt idx="3291">
                  <c:v>43012</c:v>
                </c:pt>
                <c:pt idx="3292">
                  <c:v>43013</c:v>
                </c:pt>
                <c:pt idx="3293">
                  <c:v>43014</c:v>
                </c:pt>
                <c:pt idx="3294">
                  <c:v>43015</c:v>
                </c:pt>
                <c:pt idx="3295">
                  <c:v>43016</c:v>
                </c:pt>
                <c:pt idx="3296">
                  <c:v>43017</c:v>
                </c:pt>
                <c:pt idx="3297">
                  <c:v>43018</c:v>
                </c:pt>
                <c:pt idx="3298">
                  <c:v>43019</c:v>
                </c:pt>
                <c:pt idx="3299">
                  <c:v>43020</c:v>
                </c:pt>
                <c:pt idx="3300">
                  <c:v>43021</c:v>
                </c:pt>
                <c:pt idx="3301">
                  <c:v>43022</c:v>
                </c:pt>
                <c:pt idx="3302">
                  <c:v>43023</c:v>
                </c:pt>
                <c:pt idx="3303">
                  <c:v>43024</c:v>
                </c:pt>
                <c:pt idx="3304">
                  <c:v>43025</c:v>
                </c:pt>
                <c:pt idx="3305">
                  <c:v>43026</c:v>
                </c:pt>
                <c:pt idx="3306">
                  <c:v>43027</c:v>
                </c:pt>
                <c:pt idx="3307">
                  <c:v>43028</c:v>
                </c:pt>
                <c:pt idx="3308">
                  <c:v>43029</c:v>
                </c:pt>
                <c:pt idx="3309">
                  <c:v>43030</c:v>
                </c:pt>
                <c:pt idx="3310">
                  <c:v>43031</c:v>
                </c:pt>
                <c:pt idx="3311">
                  <c:v>43032</c:v>
                </c:pt>
                <c:pt idx="3312">
                  <c:v>43033</c:v>
                </c:pt>
                <c:pt idx="3313">
                  <c:v>43034</c:v>
                </c:pt>
                <c:pt idx="3314">
                  <c:v>43035</c:v>
                </c:pt>
                <c:pt idx="3315">
                  <c:v>43036</c:v>
                </c:pt>
                <c:pt idx="3316">
                  <c:v>43037</c:v>
                </c:pt>
                <c:pt idx="3317">
                  <c:v>43038</c:v>
                </c:pt>
                <c:pt idx="3318">
                  <c:v>43039</c:v>
                </c:pt>
                <c:pt idx="3319">
                  <c:v>43040</c:v>
                </c:pt>
                <c:pt idx="3320">
                  <c:v>43041</c:v>
                </c:pt>
                <c:pt idx="3321">
                  <c:v>43042</c:v>
                </c:pt>
                <c:pt idx="3322">
                  <c:v>43043</c:v>
                </c:pt>
                <c:pt idx="3323">
                  <c:v>43044</c:v>
                </c:pt>
                <c:pt idx="3324">
                  <c:v>43045</c:v>
                </c:pt>
                <c:pt idx="3325">
                  <c:v>43046</c:v>
                </c:pt>
                <c:pt idx="3326">
                  <c:v>43047</c:v>
                </c:pt>
                <c:pt idx="3327">
                  <c:v>43048</c:v>
                </c:pt>
                <c:pt idx="3328">
                  <c:v>43049</c:v>
                </c:pt>
                <c:pt idx="3329">
                  <c:v>43050</c:v>
                </c:pt>
                <c:pt idx="3330">
                  <c:v>43051</c:v>
                </c:pt>
                <c:pt idx="3331">
                  <c:v>43052</c:v>
                </c:pt>
                <c:pt idx="3332">
                  <c:v>43053</c:v>
                </c:pt>
                <c:pt idx="3333">
                  <c:v>43054</c:v>
                </c:pt>
                <c:pt idx="3334">
                  <c:v>43055</c:v>
                </c:pt>
                <c:pt idx="3335">
                  <c:v>43056</c:v>
                </c:pt>
                <c:pt idx="3336">
                  <c:v>43057</c:v>
                </c:pt>
                <c:pt idx="3337">
                  <c:v>43058</c:v>
                </c:pt>
                <c:pt idx="3338">
                  <c:v>43059</c:v>
                </c:pt>
                <c:pt idx="3339">
                  <c:v>43060</c:v>
                </c:pt>
                <c:pt idx="3340">
                  <c:v>43061</c:v>
                </c:pt>
                <c:pt idx="3341">
                  <c:v>43062</c:v>
                </c:pt>
                <c:pt idx="3342">
                  <c:v>43063</c:v>
                </c:pt>
                <c:pt idx="3343">
                  <c:v>43064</c:v>
                </c:pt>
                <c:pt idx="3344">
                  <c:v>43065</c:v>
                </c:pt>
                <c:pt idx="3345">
                  <c:v>43066</c:v>
                </c:pt>
                <c:pt idx="3346">
                  <c:v>43067</c:v>
                </c:pt>
                <c:pt idx="3347">
                  <c:v>43068</c:v>
                </c:pt>
                <c:pt idx="3348">
                  <c:v>43069</c:v>
                </c:pt>
                <c:pt idx="3349">
                  <c:v>43070</c:v>
                </c:pt>
                <c:pt idx="3350">
                  <c:v>43071</c:v>
                </c:pt>
                <c:pt idx="3351">
                  <c:v>43072</c:v>
                </c:pt>
                <c:pt idx="3352">
                  <c:v>43073</c:v>
                </c:pt>
                <c:pt idx="3353">
                  <c:v>43074</c:v>
                </c:pt>
                <c:pt idx="3354">
                  <c:v>43075</c:v>
                </c:pt>
                <c:pt idx="3355">
                  <c:v>43076</c:v>
                </c:pt>
                <c:pt idx="3356">
                  <c:v>43077</c:v>
                </c:pt>
                <c:pt idx="3357">
                  <c:v>43078</c:v>
                </c:pt>
                <c:pt idx="3358">
                  <c:v>43079</c:v>
                </c:pt>
                <c:pt idx="3359">
                  <c:v>43080</c:v>
                </c:pt>
                <c:pt idx="3360">
                  <c:v>43081</c:v>
                </c:pt>
                <c:pt idx="3361">
                  <c:v>43082</c:v>
                </c:pt>
                <c:pt idx="3362">
                  <c:v>43083</c:v>
                </c:pt>
                <c:pt idx="3363">
                  <c:v>43084</c:v>
                </c:pt>
                <c:pt idx="3364">
                  <c:v>43085</c:v>
                </c:pt>
                <c:pt idx="3365">
                  <c:v>43086</c:v>
                </c:pt>
                <c:pt idx="3366">
                  <c:v>43087</c:v>
                </c:pt>
                <c:pt idx="3367">
                  <c:v>43088</c:v>
                </c:pt>
                <c:pt idx="3368">
                  <c:v>43089</c:v>
                </c:pt>
                <c:pt idx="3369">
                  <c:v>43090</c:v>
                </c:pt>
                <c:pt idx="3370">
                  <c:v>43091</c:v>
                </c:pt>
                <c:pt idx="3371">
                  <c:v>43092</c:v>
                </c:pt>
                <c:pt idx="3372">
                  <c:v>43093</c:v>
                </c:pt>
                <c:pt idx="3373">
                  <c:v>43094</c:v>
                </c:pt>
                <c:pt idx="3374">
                  <c:v>43095</c:v>
                </c:pt>
                <c:pt idx="3375">
                  <c:v>43096</c:v>
                </c:pt>
                <c:pt idx="3376">
                  <c:v>43097</c:v>
                </c:pt>
                <c:pt idx="3377">
                  <c:v>43098</c:v>
                </c:pt>
                <c:pt idx="3378">
                  <c:v>43099</c:v>
                </c:pt>
                <c:pt idx="3379">
                  <c:v>43100</c:v>
                </c:pt>
                <c:pt idx="3380">
                  <c:v>43101</c:v>
                </c:pt>
                <c:pt idx="3381">
                  <c:v>43102</c:v>
                </c:pt>
                <c:pt idx="3382">
                  <c:v>43103</c:v>
                </c:pt>
                <c:pt idx="3383">
                  <c:v>43104</c:v>
                </c:pt>
                <c:pt idx="3384">
                  <c:v>43105</c:v>
                </c:pt>
                <c:pt idx="3385">
                  <c:v>43106</c:v>
                </c:pt>
                <c:pt idx="3386">
                  <c:v>43107</c:v>
                </c:pt>
                <c:pt idx="3387">
                  <c:v>43108</c:v>
                </c:pt>
                <c:pt idx="3388">
                  <c:v>43109</c:v>
                </c:pt>
                <c:pt idx="3389">
                  <c:v>43110</c:v>
                </c:pt>
                <c:pt idx="3390">
                  <c:v>43111</c:v>
                </c:pt>
                <c:pt idx="3391">
                  <c:v>43112</c:v>
                </c:pt>
                <c:pt idx="3392">
                  <c:v>43113</c:v>
                </c:pt>
                <c:pt idx="3393">
                  <c:v>43114</c:v>
                </c:pt>
                <c:pt idx="3394">
                  <c:v>43115</c:v>
                </c:pt>
                <c:pt idx="3395">
                  <c:v>43116</c:v>
                </c:pt>
                <c:pt idx="3396">
                  <c:v>43117</c:v>
                </c:pt>
                <c:pt idx="3397">
                  <c:v>43118</c:v>
                </c:pt>
                <c:pt idx="3398">
                  <c:v>43119</c:v>
                </c:pt>
                <c:pt idx="3399">
                  <c:v>43120</c:v>
                </c:pt>
                <c:pt idx="3400">
                  <c:v>43121</c:v>
                </c:pt>
                <c:pt idx="3401">
                  <c:v>43122</c:v>
                </c:pt>
                <c:pt idx="3402">
                  <c:v>43123</c:v>
                </c:pt>
                <c:pt idx="3403">
                  <c:v>43124</c:v>
                </c:pt>
                <c:pt idx="3404">
                  <c:v>43125</c:v>
                </c:pt>
                <c:pt idx="3405">
                  <c:v>43126</c:v>
                </c:pt>
                <c:pt idx="3406">
                  <c:v>43127</c:v>
                </c:pt>
                <c:pt idx="3407">
                  <c:v>43128</c:v>
                </c:pt>
                <c:pt idx="3408">
                  <c:v>43129</c:v>
                </c:pt>
                <c:pt idx="3409">
                  <c:v>43130</c:v>
                </c:pt>
                <c:pt idx="3410">
                  <c:v>43131</c:v>
                </c:pt>
                <c:pt idx="3411">
                  <c:v>43132</c:v>
                </c:pt>
                <c:pt idx="3412">
                  <c:v>43133</c:v>
                </c:pt>
                <c:pt idx="3413">
                  <c:v>43134</c:v>
                </c:pt>
                <c:pt idx="3414">
                  <c:v>43135</c:v>
                </c:pt>
                <c:pt idx="3415">
                  <c:v>43136</c:v>
                </c:pt>
                <c:pt idx="3416">
                  <c:v>43137</c:v>
                </c:pt>
                <c:pt idx="3417">
                  <c:v>43138</c:v>
                </c:pt>
                <c:pt idx="3418">
                  <c:v>43139</c:v>
                </c:pt>
                <c:pt idx="3419">
                  <c:v>43140</c:v>
                </c:pt>
                <c:pt idx="3420">
                  <c:v>43141</c:v>
                </c:pt>
                <c:pt idx="3421">
                  <c:v>43142</c:v>
                </c:pt>
                <c:pt idx="3422">
                  <c:v>43143</c:v>
                </c:pt>
                <c:pt idx="3423">
                  <c:v>43144</c:v>
                </c:pt>
                <c:pt idx="3424">
                  <c:v>43145</c:v>
                </c:pt>
                <c:pt idx="3425">
                  <c:v>43146</c:v>
                </c:pt>
                <c:pt idx="3426">
                  <c:v>43147</c:v>
                </c:pt>
                <c:pt idx="3427">
                  <c:v>43148</c:v>
                </c:pt>
                <c:pt idx="3428">
                  <c:v>43149</c:v>
                </c:pt>
                <c:pt idx="3429">
                  <c:v>43150</c:v>
                </c:pt>
                <c:pt idx="3430">
                  <c:v>43151</c:v>
                </c:pt>
                <c:pt idx="3431">
                  <c:v>43152</c:v>
                </c:pt>
                <c:pt idx="3432">
                  <c:v>43153</c:v>
                </c:pt>
                <c:pt idx="3433">
                  <c:v>43154</c:v>
                </c:pt>
                <c:pt idx="3434">
                  <c:v>43155</c:v>
                </c:pt>
                <c:pt idx="3435">
                  <c:v>43156</c:v>
                </c:pt>
                <c:pt idx="3436">
                  <c:v>43157</c:v>
                </c:pt>
                <c:pt idx="3437">
                  <c:v>43158</c:v>
                </c:pt>
                <c:pt idx="3438">
                  <c:v>43159</c:v>
                </c:pt>
                <c:pt idx="3439">
                  <c:v>43160</c:v>
                </c:pt>
                <c:pt idx="3440">
                  <c:v>43161</c:v>
                </c:pt>
                <c:pt idx="3441">
                  <c:v>43162</c:v>
                </c:pt>
                <c:pt idx="3442">
                  <c:v>43163</c:v>
                </c:pt>
                <c:pt idx="3443">
                  <c:v>43164</c:v>
                </c:pt>
                <c:pt idx="3444">
                  <c:v>43165</c:v>
                </c:pt>
                <c:pt idx="3445">
                  <c:v>43166</c:v>
                </c:pt>
                <c:pt idx="3446">
                  <c:v>43167</c:v>
                </c:pt>
                <c:pt idx="3447">
                  <c:v>43168</c:v>
                </c:pt>
                <c:pt idx="3448">
                  <c:v>43169</c:v>
                </c:pt>
                <c:pt idx="3449">
                  <c:v>43170</c:v>
                </c:pt>
                <c:pt idx="3450">
                  <c:v>43171</c:v>
                </c:pt>
                <c:pt idx="3451">
                  <c:v>43172</c:v>
                </c:pt>
                <c:pt idx="3452">
                  <c:v>43173</c:v>
                </c:pt>
                <c:pt idx="3453">
                  <c:v>43174</c:v>
                </c:pt>
                <c:pt idx="3454">
                  <c:v>43175</c:v>
                </c:pt>
                <c:pt idx="3455">
                  <c:v>43176</c:v>
                </c:pt>
                <c:pt idx="3456">
                  <c:v>43177</c:v>
                </c:pt>
                <c:pt idx="3457">
                  <c:v>43178</c:v>
                </c:pt>
                <c:pt idx="3458">
                  <c:v>43179</c:v>
                </c:pt>
                <c:pt idx="3459">
                  <c:v>43180</c:v>
                </c:pt>
                <c:pt idx="3460">
                  <c:v>43181</c:v>
                </c:pt>
                <c:pt idx="3461">
                  <c:v>43182</c:v>
                </c:pt>
                <c:pt idx="3462">
                  <c:v>43183</c:v>
                </c:pt>
                <c:pt idx="3463">
                  <c:v>43184</c:v>
                </c:pt>
                <c:pt idx="3464">
                  <c:v>43185</c:v>
                </c:pt>
                <c:pt idx="3465">
                  <c:v>43186</c:v>
                </c:pt>
                <c:pt idx="3466">
                  <c:v>43187</c:v>
                </c:pt>
                <c:pt idx="3467">
                  <c:v>43188</c:v>
                </c:pt>
                <c:pt idx="3468">
                  <c:v>43189</c:v>
                </c:pt>
                <c:pt idx="3469">
                  <c:v>43190</c:v>
                </c:pt>
                <c:pt idx="3470">
                  <c:v>43191</c:v>
                </c:pt>
                <c:pt idx="3471">
                  <c:v>43192</c:v>
                </c:pt>
                <c:pt idx="3472">
                  <c:v>43193</c:v>
                </c:pt>
                <c:pt idx="3473">
                  <c:v>43194</c:v>
                </c:pt>
                <c:pt idx="3474">
                  <c:v>43195</c:v>
                </c:pt>
                <c:pt idx="3475">
                  <c:v>43196</c:v>
                </c:pt>
                <c:pt idx="3476">
                  <c:v>43197</c:v>
                </c:pt>
                <c:pt idx="3477">
                  <c:v>43198</c:v>
                </c:pt>
                <c:pt idx="3478">
                  <c:v>43199</c:v>
                </c:pt>
                <c:pt idx="3479">
                  <c:v>43200</c:v>
                </c:pt>
                <c:pt idx="3480">
                  <c:v>43201</c:v>
                </c:pt>
                <c:pt idx="3481">
                  <c:v>43202</c:v>
                </c:pt>
                <c:pt idx="3482">
                  <c:v>43203</c:v>
                </c:pt>
                <c:pt idx="3483">
                  <c:v>43204</c:v>
                </c:pt>
                <c:pt idx="3484">
                  <c:v>43205</c:v>
                </c:pt>
                <c:pt idx="3485">
                  <c:v>43206</c:v>
                </c:pt>
                <c:pt idx="3486">
                  <c:v>43207</c:v>
                </c:pt>
                <c:pt idx="3487">
                  <c:v>43208</c:v>
                </c:pt>
                <c:pt idx="3488">
                  <c:v>43209</c:v>
                </c:pt>
                <c:pt idx="3489">
                  <c:v>43210</c:v>
                </c:pt>
                <c:pt idx="3490">
                  <c:v>43211</c:v>
                </c:pt>
                <c:pt idx="3491">
                  <c:v>43212</c:v>
                </c:pt>
                <c:pt idx="3492">
                  <c:v>43213</c:v>
                </c:pt>
                <c:pt idx="3493">
                  <c:v>43214</c:v>
                </c:pt>
                <c:pt idx="3494">
                  <c:v>43215</c:v>
                </c:pt>
                <c:pt idx="3495">
                  <c:v>43216</c:v>
                </c:pt>
                <c:pt idx="3496">
                  <c:v>43217</c:v>
                </c:pt>
                <c:pt idx="3497">
                  <c:v>43218</c:v>
                </c:pt>
                <c:pt idx="3498">
                  <c:v>43219</c:v>
                </c:pt>
                <c:pt idx="3499">
                  <c:v>43220</c:v>
                </c:pt>
                <c:pt idx="3500">
                  <c:v>43221</c:v>
                </c:pt>
                <c:pt idx="3501">
                  <c:v>43222</c:v>
                </c:pt>
                <c:pt idx="3502">
                  <c:v>43223</c:v>
                </c:pt>
                <c:pt idx="3503">
                  <c:v>43224</c:v>
                </c:pt>
                <c:pt idx="3504">
                  <c:v>43225</c:v>
                </c:pt>
                <c:pt idx="3505">
                  <c:v>43226</c:v>
                </c:pt>
                <c:pt idx="3506">
                  <c:v>43227</c:v>
                </c:pt>
                <c:pt idx="3507">
                  <c:v>43228</c:v>
                </c:pt>
                <c:pt idx="3508">
                  <c:v>43229</c:v>
                </c:pt>
                <c:pt idx="3509">
                  <c:v>43230</c:v>
                </c:pt>
                <c:pt idx="3510">
                  <c:v>43231</c:v>
                </c:pt>
                <c:pt idx="3511">
                  <c:v>43232</c:v>
                </c:pt>
                <c:pt idx="3512">
                  <c:v>43233</c:v>
                </c:pt>
                <c:pt idx="3513">
                  <c:v>43234</c:v>
                </c:pt>
                <c:pt idx="3514">
                  <c:v>43235</c:v>
                </c:pt>
                <c:pt idx="3515">
                  <c:v>43236</c:v>
                </c:pt>
                <c:pt idx="3516">
                  <c:v>43237</c:v>
                </c:pt>
                <c:pt idx="3517">
                  <c:v>43238</c:v>
                </c:pt>
                <c:pt idx="3518">
                  <c:v>43239</c:v>
                </c:pt>
                <c:pt idx="3519">
                  <c:v>43240</c:v>
                </c:pt>
                <c:pt idx="3520">
                  <c:v>43241</c:v>
                </c:pt>
                <c:pt idx="3521">
                  <c:v>43242</c:v>
                </c:pt>
                <c:pt idx="3522">
                  <c:v>43243</c:v>
                </c:pt>
                <c:pt idx="3523">
                  <c:v>43244</c:v>
                </c:pt>
                <c:pt idx="3524">
                  <c:v>43245</c:v>
                </c:pt>
                <c:pt idx="3525">
                  <c:v>43246</c:v>
                </c:pt>
                <c:pt idx="3526">
                  <c:v>43247</c:v>
                </c:pt>
                <c:pt idx="3527">
                  <c:v>43248</c:v>
                </c:pt>
                <c:pt idx="3528">
                  <c:v>43249</c:v>
                </c:pt>
                <c:pt idx="3529">
                  <c:v>43250</c:v>
                </c:pt>
                <c:pt idx="3530">
                  <c:v>43251</c:v>
                </c:pt>
                <c:pt idx="3531">
                  <c:v>43252</c:v>
                </c:pt>
                <c:pt idx="3532">
                  <c:v>43253</c:v>
                </c:pt>
                <c:pt idx="3533">
                  <c:v>43254</c:v>
                </c:pt>
                <c:pt idx="3534">
                  <c:v>43255</c:v>
                </c:pt>
                <c:pt idx="3535">
                  <c:v>43256</c:v>
                </c:pt>
                <c:pt idx="3536">
                  <c:v>43257</c:v>
                </c:pt>
                <c:pt idx="3537">
                  <c:v>43258</c:v>
                </c:pt>
                <c:pt idx="3538">
                  <c:v>43259</c:v>
                </c:pt>
                <c:pt idx="3539">
                  <c:v>43260</c:v>
                </c:pt>
                <c:pt idx="3540">
                  <c:v>43261</c:v>
                </c:pt>
                <c:pt idx="3541">
                  <c:v>43262</c:v>
                </c:pt>
                <c:pt idx="3542">
                  <c:v>43263</c:v>
                </c:pt>
                <c:pt idx="3543">
                  <c:v>43264</c:v>
                </c:pt>
                <c:pt idx="3544">
                  <c:v>43265</c:v>
                </c:pt>
                <c:pt idx="3545">
                  <c:v>43266</c:v>
                </c:pt>
                <c:pt idx="3546">
                  <c:v>43267</c:v>
                </c:pt>
                <c:pt idx="3547">
                  <c:v>43268</c:v>
                </c:pt>
                <c:pt idx="3548">
                  <c:v>43269</c:v>
                </c:pt>
                <c:pt idx="3549">
                  <c:v>43270</c:v>
                </c:pt>
                <c:pt idx="3550">
                  <c:v>43271</c:v>
                </c:pt>
                <c:pt idx="3551">
                  <c:v>43272</c:v>
                </c:pt>
                <c:pt idx="3552">
                  <c:v>43273</c:v>
                </c:pt>
                <c:pt idx="3553">
                  <c:v>43274</c:v>
                </c:pt>
                <c:pt idx="3554">
                  <c:v>43275</c:v>
                </c:pt>
                <c:pt idx="3555">
                  <c:v>43276</c:v>
                </c:pt>
                <c:pt idx="3556">
                  <c:v>43277</c:v>
                </c:pt>
                <c:pt idx="3557">
                  <c:v>43278</c:v>
                </c:pt>
                <c:pt idx="3558">
                  <c:v>43279</c:v>
                </c:pt>
                <c:pt idx="3559">
                  <c:v>43280</c:v>
                </c:pt>
                <c:pt idx="3560">
                  <c:v>43281</c:v>
                </c:pt>
                <c:pt idx="3561">
                  <c:v>43282</c:v>
                </c:pt>
                <c:pt idx="3562">
                  <c:v>43283</c:v>
                </c:pt>
                <c:pt idx="3563">
                  <c:v>43284</c:v>
                </c:pt>
                <c:pt idx="3564">
                  <c:v>43285</c:v>
                </c:pt>
                <c:pt idx="3565">
                  <c:v>43286</c:v>
                </c:pt>
                <c:pt idx="3566">
                  <c:v>43287</c:v>
                </c:pt>
                <c:pt idx="3567">
                  <c:v>43288</c:v>
                </c:pt>
                <c:pt idx="3568">
                  <c:v>43289</c:v>
                </c:pt>
                <c:pt idx="3569">
                  <c:v>43290</c:v>
                </c:pt>
                <c:pt idx="3570">
                  <c:v>43291</c:v>
                </c:pt>
                <c:pt idx="3571">
                  <c:v>43292</c:v>
                </c:pt>
                <c:pt idx="3572">
                  <c:v>43293</c:v>
                </c:pt>
                <c:pt idx="3573">
                  <c:v>43294</c:v>
                </c:pt>
                <c:pt idx="3574">
                  <c:v>43295</c:v>
                </c:pt>
                <c:pt idx="3575">
                  <c:v>43296</c:v>
                </c:pt>
                <c:pt idx="3576">
                  <c:v>43297</c:v>
                </c:pt>
                <c:pt idx="3577">
                  <c:v>43298</c:v>
                </c:pt>
                <c:pt idx="3578">
                  <c:v>43299</c:v>
                </c:pt>
                <c:pt idx="3579">
                  <c:v>43300</c:v>
                </c:pt>
                <c:pt idx="3580">
                  <c:v>43301</c:v>
                </c:pt>
                <c:pt idx="3581">
                  <c:v>43302</c:v>
                </c:pt>
                <c:pt idx="3582">
                  <c:v>43303</c:v>
                </c:pt>
                <c:pt idx="3583">
                  <c:v>43304</c:v>
                </c:pt>
                <c:pt idx="3584">
                  <c:v>43305</c:v>
                </c:pt>
                <c:pt idx="3585">
                  <c:v>43306</c:v>
                </c:pt>
                <c:pt idx="3586">
                  <c:v>43307</c:v>
                </c:pt>
                <c:pt idx="3587">
                  <c:v>43308</c:v>
                </c:pt>
                <c:pt idx="3588">
                  <c:v>43309</c:v>
                </c:pt>
                <c:pt idx="3589">
                  <c:v>43310</c:v>
                </c:pt>
                <c:pt idx="3590">
                  <c:v>43311</c:v>
                </c:pt>
                <c:pt idx="3591">
                  <c:v>43312</c:v>
                </c:pt>
                <c:pt idx="3592">
                  <c:v>43313</c:v>
                </c:pt>
                <c:pt idx="3593">
                  <c:v>43314</c:v>
                </c:pt>
                <c:pt idx="3594">
                  <c:v>43315</c:v>
                </c:pt>
                <c:pt idx="3595">
                  <c:v>43316</c:v>
                </c:pt>
                <c:pt idx="3596">
                  <c:v>43317</c:v>
                </c:pt>
                <c:pt idx="3597">
                  <c:v>43318</c:v>
                </c:pt>
                <c:pt idx="3598">
                  <c:v>43319</c:v>
                </c:pt>
                <c:pt idx="3599">
                  <c:v>43320</c:v>
                </c:pt>
                <c:pt idx="3600">
                  <c:v>43321</c:v>
                </c:pt>
                <c:pt idx="3601">
                  <c:v>43322</c:v>
                </c:pt>
                <c:pt idx="3602">
                  <c:v>43323</c:v>
                </c:pt>
                <c:pt idx="3603">
                  <c:v>43324</c:v>
                </c:pt>
                <c:pt idx="3604">
                  <c:v>43325</c:v>
                </c:pt>
                <c:pt idx="3605">
                  <c:v>43326</c:v>
                </c:pt>
                <c:pt idx="3606">
                  <c:v>43327</c:v>
                </c:pt>
                <c:pt idx="3607">
                  <c:v>43328</c:v>
                </c:pt>
                <c:pt idx="3608">
                  <c:v>43329</c:v>
                </c:pt>
                <c:pt idx="3609">
                  <c:v>43330</c:v>
                </c:pt>
                <c:pt idx="3610">
                  <c:v>43331</c:v>
                </c:pt>
                <c:pt idx="3611">
                  <c:v>43332</c:v>
                </c:pt>
                <c:pt idx="3612">
                  <c:v>43333</c:v>
                </c:pt>
                <c:pt idx="3613">
                  <c:v>43334</c:v>
                </c:pt>
                <c:pt idx="3614">
                  <c:v>43335</c:v>
                </c:pt>
                <c:pt idx="3615">
                  <c:v>43336</c:v>
                </c:pt>
                <c:pt idx="3616">
                  <c:v>43337</c:v>
                </c:pt>
                <c:pt idx="3617">
                  <c:v>43338</c:v>
                </c:pt>
                <c:pt idx="3618">
                  <c:v>43339</c:v>
                </c:pt>
                <c:pt idx="3619">
                  <c:v>43340</c:v>
                </c:pt>
                <c:pt idx="3620">
                  <c:v>43341</c:v>
                </c:pt>
                <c:pt idx="3621">
                  <c:v>43342</c:v>
                </c:pt>
                <c:pt idx="3622">
                  <c:v>43343</c:v>
                </c:pt>
                <c:pt idx="3623">
                  <c:v>43344</c:v>
                </c:pt>
                <c:pt idx="3624">
                  <c:v>43345</c:v>
                </c:pt>
                <c:pt idx="3625">
                  <c:v>43346</c:v>
                </c:pt>
                <c:pt idx="3626">
                  <c:v>43347</c:v>
                </c:pt>
                <c:pt idx="3627">
                  <c:v>43348</c:v>
                </c:pt>
                <c:pt idx="3628">
                  <c:v>43349</c:v>
                </c:pt>
                <c:pt idx="3629">
                  <c:v>43350</c:v>
                </c:pt>
                <c:pt idx="3630">
                  <c:v>43351</c:v>
                </c:pt>
                <c:pt idx="3631">
                  <c:v>43352</c:v>
                </c:pt>
                <c:pt idx="3632">
                  <c:v>43353</c:v>
                </c:pt>
                <c:pt idx="3633">
                  <c:v>43354</c:v>
                </c:pt>
                <c:pt idx="3634">
                  <c:v>43355</c:v>
                </c:pt>
                <c:pt idx="3635">
                  <c:v>43356</c:v>
                </c:pt>
                <c:pt idx="3636">
                  <c:v>43357</c:v>
                </c:pt>
                <c:pt idx="3637">
                  <c:v>43358</c:v>
                </c:pt>
                <c:pt idx="3638">
                  <c:v>43359</c:v>
                </c:pt>
                <c:pt idx="3639">
                  <c:v>43360</c:v>
                </c:pt>
                <c:pt idx="3640">
                  <c:v>43361</c:v>
                </c:pt>
                <c:pt idx="3641">
                  <c:v>43362</c:v>
                </c:pt>
                <c:pt idx="3642">
                  <c:v>43363</c:v>
                </c:pt>
                <c:pt idx="3643">
                  <c:v>43364</c:v>
                </c:pt>
                <c:pt idx="3644">
                  <c:v>43365</c:v>
                </c:pt>
                <c:pt idx="3645">
                  <c:v>43366</c:v>
                </c:pt>
                <c:pt idx="3646">
                  <c:v>43367</c:v>
                </c:pt>
                <c:pt idx="3647">
                  <c:v>43368</c:v>
                </c:pt>
                <c:pt idx="3648">
                  <c:v>43369</c:v>
                </c:pt>
                <c:pt idx="3649">
                  <c:v>43370</c:v>
                </c:pt>
                <c:pt idx="3650">
                  <c:v>43371</c:v>
                </c:pt>
                <c:pt idx="3651">
                  <c:v>43372</c:v>
                </c:pt>
                <c:pt idx="3652">
                  <c:v>43373</c:v>
                </c:pt>
                <c:pt idx="3653">
                  <c:v>43374</c:v>
                </c:pt>
                <c:pt idx="3654">
                  <c:v>43375</c:v>
                </c:pt>
                <c:pt idx="3655">
                  <c:v>43376</c:v>
                </c:pt>
                <c:pt idx="3656">
                  <c:v>43377</c:v>
                </c:pt>
                <c:pt idx="3657">
                  <c:v>43378</c:v>
                </c:pt>
                <c:pt idx="3658">
                  <c:v>43379</c:v>
                </c:pt>
                <c:pt idx="3659">
                  <c:v>43380</c:v>
                </c:pt>
                <c:pt idx="3660">
                  <c:v>43381</c:v>
                </c:pt>
                <c:pt idx="3661">
                  <c:v>43382</c:v>
                </c:pt>
                <c:pt idx="3662">
                  <c:v>43383</c:v>
                </c:pt>
                <c:pt idx="3663">
                  <c:v>43384</c:v>
                </c:pt>
                <c:pt idx="3664">
                  <c:v>43385</c:v>
                </c:pt>
                <c:pt idx="3665">
                  <c:v>43386</c:v>
                </c:pt>
                <c:pt idx="3666">
                  <c:v>43387</c:v>
                </c:pt>
                <c:pt idx="3667">
                  <c:v>43388</c:v>
                </c:pt>
                <c:pt idx="3668">
                  <c:v>43389</c:v>
                </c:pt>
                <c:pt idx="3669">
                  <c:v>43390</c:v>
                </c:pt>
                <c:pt idx="3670">
                  <c:v>43391</c:v>
                </c:pt>
                <c:pt idx="3671">
                  <c:v>43392</c:v>
                </c:pt>
                <c:pt idx="3672">
                  <c:v>43393</c:v>
                </c:pt>
                <c:pt idx="3673">
                  <c:v>43394</c:v>
                </c:pt>
                <c:pt idx="3674">
                  <c:v>43395</c:v>
                </c:pt>
                <c:pt idx="3675">
                  <c:v>43396</c:v>
                </c:pt>
                <c:pt idx="3676">
                  <c:v>43397</c:v>
                </c:pt>
                <c:pt idx="3677">
                  <c:v>43398</c:v>
                </c:pt>
                <c:pt idx="3678">
                  <c:v>43399</c:v>
                </c:pt>
                <c:pt idx="3679">
                  <c:v>43400</c:v>
                </c:pt>
                <c:pt idx="3680">
                  <c:v>43401</c:v>
                </c:pt>
                <c:pt idx="3681">
                  <c:v>43402</c:v>
                </c:pt>
                <c:pt idx="3682">
                  <c:v>43403</c:v>
                </c:pt>
                <c:pt idx="3683">
                  <c:v>43404</c:v>
                </c:pt>
                <c:pt idx="3684">
                  <c:v>43405</c:v>
                </c:pt>
                <c:pt idx="3685">
                  <c:v>43406</c:v>
                </c:pt>
                <c:pt idx="3686">
                  <c:v>43407</c:v>
                </c:pt>
                <c:pt idx="3687">
                  <c:v>43408</c:v>
                </c:pt>
                <c:pt idx="3688">
                  <c:v>43409</c:v>
                </c:pt>
                <c:pt idx="3689">
                  <c:v>43410</c:v>
                </c:pt>
                <c:pt idx="3690">
                  <c:v>43411</c:v>
                </c:pt>
                <c:pt idx="3691">
                  <c:v>43412</c:v>
                </c:pt>
                <c:pt idx="3692">
                  <c:v>43413</c:v>
                </c:pt>
                <c:pt idx="3693">
                  <c:v>43414</c:v>
                </c:pt>
                <c:pt idx="3694">
                  <c:v>43415</c:v>
                </c:pt>
                <c:pt idx="3695">
                  <c:v>43416</c:v>
                </c:pt>
                <c:pt idx="3696">
                  <c:v>43417</c:v>
                </c:pt>
                <c:pt idx="3697">
                  <c:v>43418</c:v>
                </c:pt>
                <c:pt idx="3698">
                  <c:v>43419</c:v>
                </c:pt>
                <c:pt idx="3699">
                  <c:v>43420</c:v>
                </c:pt>
                <c:pt idx="3700">
                  <c:v>43421</c:v>
                </c:pt>
                <c:pt idx="3701">
                  <c:v>43422</c:v>
                </c:pt>
                <c:pt idx="3702">
                  <c:v>43423</c:v>
                </c:pt>
                <c:pt idx="3703">
                  <c:v>43424</c:v>
                </c:pt>
                <c:pt idx="3704">
                  <c:v>43425</c:v>
                </c:pt>
                <c:pt idx="3705">
                  <c:v>43426</c:v>
                </c:pt>
                <c:pt idx="3706">
                  <c:v>43427</c:v>
                </c:pt>
                <c:pt idx="3707">
                  <c:v>43428</c:v>
                </c:pt>
                <c:pt idx="3708">
                  <c:v>43429</c:v>
                </c:pt>
                <c:pt idx="3709">
                  <c:v>43430</c:v>
                </c:pt>
                <c:pt idx="3710">
                  <c:v>43431</c:v>
                </c:pt>
                <c:pt idx="3711">
                  <c:v>43432</c:v>
                </c:pt>
                <c:pt idx="3712">
                  <c:v>43433</c:v>
                </c:pt>
                <c:pt idx="3713">
                  <c:v>43434</c:v>
                </c:pt>
                <c:pt idx="3714">
                  <c:v>43435</c:v>
                </c:pt>
                <c:pt idx="3715">
                  <c:v>43436</c:v>
                </c:pt>
                <c:pt idx="3716">
                  <c:v>43437</c:v>
                </c:pt>
                <c:pt idx="3717">
                  <c:v>43438</c:v>
                </c:pt>
                <c:pt idx="3718">
                  <c:v>43439</c:v>
                </c:pt>
                <c:pt idx="3719">
                  <c:v>43440</c:v>
                </c:pt>
                <c:pt idx="3720">
                  <c:v>43441</c:v>
                </c:pt>
                <c:pt idx="3721">
                  <c:v>43442</c:v>
                </c:pt>
                <c:pt idx="3722">
                  <c:v>43443</c:v>
                </c:pt>
                <c:pt idx="3723">
                  <c:v>43444</c:v>
                </c:pt>
                <c:pt idx="3724">
                  <c:v>43445</c:v>
                </c:pt>
                <c:pt idx="3725">
                  <c:v>43446</c:v>
                </c:pt>
                <c:pt idx="3726">
                  <c:v>43447</c:v>
                </c:pt>
                <c:pt idx="3727">
                  <c:v>43448</c:v>
                </c:pt>
                <c:pt idx="3728">
                  <c:v>43449</c:v>
                </c:pt>
                <c:pt idx="3729">
                  <c:v>43450</c:v>
                </c:pt>
                <c:pt idx="3730">
                  <c:v>43451</c:v>
                </c:pt>
                <c:pt idx="3731">
                  <c:v>43452</c:v>
                </c:pt>
                <c:pt idx="3732">
                  <c:v>43453</c:v>
                </c:pt>
                <c:pt idx="3733">
                  <c:v>43454</c:v>
                </c:pt>
                <c:pt idx="3734">
                  <c:v>43455</c:v>
                </c:pt>
                <c:pt idx="3735">
                  <c:v>43456</c:v>
                </c:pt>
                <c:pt idx="3736">
                  <c:v>43457</c:v>
                </c:pt>
                <c:pt idx="3737">
                  <c:v>43458</c:v>
                </c:pt>
                <c:pt idx="3738">
                  <c:v>43459</c:v>
                </c:pt>
                <c:pt idx="3739">
                  <c:v>43460</c:v>
                </c:pt>
                <c:pt idx="3740">
                  <c:v>43461</c:v>
                </c:pt>
                <c:pt idx="3741">
                  <c:v>43462</c:v>
                </c:pt>
                <c:pt idx="3742">
                  <c:v>43463</c:v>
                </c:pt>
                <c:pt idx="3743">
                  <c:v>43464</c:v>
                </c:pt>
                <c:pt idx="3744">
                  <c:v>43465</c:v>
                </c:pt>
                <c:pt idx="3745">
                  <c:v>43466</c:v>
                </c:pt>
                <c:pt idx="3746">
                  <c:v>43467</c:v>
                </c:pt>
                <c:pt idx="3747">
                  <c:v>43468</c:v>
                </c:pt>
                <c:pt idx="3748">
                  <c:v>43469</c:v>
                </c:pt>
                <c:pt idx="3749">
                  <c:v>43470</c:v>
                </c:pt>
                <c:pt idx="3750">
                  <c:v>43471</c:v>
                </c:pt>
                <c:pt idx="3751">
                  <c:v>43472</c:v>
                </c:pt>
                <c:pt idx="3752">
                  <c:v>43473</c:v>
                </c:pt>
                <c:pt idx="3753">
                  <c:v>43474</c:v>
                </c:pt>
                <c:pt idx="3754">
                  <c:v>43475</c:v>
                </c:pt>
                <c:pt idx="3755">
                  <c:v>43476</c:v>
                </c:pt>
                <c:pt idx="3756">
                  <c:v>43477</c:v>
                </c:pt>
                <c:pt idx="3757">
                  <c:v>43478</c:v>
                </c:pt>
                <c:pt idx="3758">
                  <c:v>43479</c:v>
                </c:pt>
                <c:pt idx="3759">
                  <c:v>43480</c:v>
                </c:pt>
                <c:pt idx="3760">
                  <c:v>43481</c:v>
                </c:pt>
                <c:pt idx="3761">
                  <c:v>43482</c:v>
                </c:pt>
                <c:pt idx="3762">
                  <c:v>43483</c:v>
                </c:pt>
                <c:pt idx="3763">
                  <c:v>43484</c:v>
                </c:pt>
                <c:pt idx="3764">
                  <c:v>43485</c:v>
                </c:pt>
                <c:pt idx="3765">
                  <c:v>43486</c:v>
                </c:pt>
                <c:pt idx="3766">
                  <c:v>43487</c:v>
                </c:pt>
                <c:pt idx="3767">
                  <c:v>43488</c:v>
                </c:pt>
                <c:pt idx="3768">
                  <c:v>43489</c:v>
                </c:pt>
                <c:pt idx="3769">
                  <c:v>43490</c:v>
                </c:pt>
                <c:pt idx="3770">
                  <c:v>43491</c:v>
                </c:pt>
                <c:pt idx="3771">
                  <c:v>43492</c:v>
                </c:pt>
                <c:pt idx="3772">
                  <c:v>43493</c:v>
                </c:pt>
                <c:pt idx="3773">
                  <c:v>43494</c:v>
                </c:pt>
                <c:pt idx="3774">
                  <c:v>43495</c:v>
                </c:pt>
                <c:pt idx="3775">
                  <c:v>43496</c:v>
                </c:pt>
                <c:pt idx="3776">
                  <c:v>43497</c:v>
                </c:pt>
                <c:pt idx="3777">
                  <c:v>43498</c:v>
                </c:pt>
                <c:pt idx="3778">
                  <c:v>43499</c:v>
                </c:pt>
                <c:pt idx="3779">
                  <c:v>43500</c:v>
                </c:pt>
                <c:pt idx="3780">
                  <c:v>43501</c:v>
                </c:pt>
                <c:pt idx="3781">
                  <c:v>43502</c:v>
                </c:pt>
                <c:pt idx="3782">
                  <c:v>43503</c:v>
                </c:pt>
                <c:pt idx="3783">
                  <c:v>43504</c:v>
                </c:pt>
                <c:pt idx="3784">
                  <c:v>43505</c:v>
                </c:pt>
                <c:pt idx="3785">
                  <c:v>43506</c:v>
                </c:pt>
                <c:pt idx="3786">
                  <c:v>43507</c:v>
                </c:pt>
                <c:pt idx="3787">
                  <c:v>43508</c:v>
                </c:pt>
                <c:pt idx="3788">
                  <c:v>43509</c:v>
                </c:pt>
                <c:pt idx="3789">
                  <c:v>43510</c:v>
                </c:pt>
                <c:pt idx="3790">
                  <c:v>43511</c:v>
                </c:pt>
                <c:pt idx="3791">
                  <c:v>43512</c:v>
                </c:pt>
                <c:pt idx="3792">
                  <c:v>43513</c:v>
                </c:pt>
                <c:pt idx="3793">
                  <c:v>43514</c:v>
                </c:pt>
                <c:pt idx="3794">
                  <c:v>43515</c:v>
                </c:pt>
                <c:pt idx="3795">
                  <c:v>43516</c:v>
                </c:pt>
                <c:pt idx="3796">
                  <c:v>43517</c:v>
                </c:pt>
                <c:pt idx="3797">
                  <c:v>43518</c:v>
                </c:pt>
                <c:pt idx="3798">
                  <c:v>43519</c:v>
                </c:pt>
                <c:pt idx="3799">
                  <c:v>43520</c:v>
                </c:pt>
                <c:pt idx="3800">
                  <c:v>43521</c:v>
                </c:pt>
                <c:pt idx="3801">
                  <c:v>43522</c:v>
                </c:pt>
                <c:pt idx="3802">
                  <c:v>43523</c:v>
                </c:pt>
                <c:pt idx="3803">
                  <c:v>43524</c:v>
                </c:pt>
                <c:pt idx="3804">
                  <c:v>43525</c:v>
                </c:pt>
                <c:pt idx="3805">
                  <c:v>43526</c:v>
                </c:pt>
                <c:pt idx="3806">
                  <c:v>43527</c:v>
                </c:pt>
                <c:pt idx="3807">
                  <c:v>43528</c:v>
                </c:pt>
                <c:pt idx="3808">
                  <c:v>43529</c:v>
                </c:pt>
                <c:pt idx="3809">
                  <c:v>43530</c:v>
                </c:pt>
                <c:pt idx="3810">
                  <c:v>43531</c:v>
                </c:pt>
                <c:pt idx="3811">
                  <c:v>43532</c:v>
                </c:pt>
                <c:pt idx="3812">
                  <c:v>43533</c:v>
                </c:pt>
                <c:pt idx="3813">
                  <c:v>43534</c:v>
                </c:pt>
                <c:pt idx="3814">
                  <c:v>43535</c:v>
                </c:pt>
                <c:pt idx="3815">
                  <c:v>43536</c:v>
                </c:pt>
                <c:pt idx="3816">
                  <c:v>43537</c:v>
                </c:pt>
                <c:pt idx="3817">
                  <c:v>43538</c:v>
                </c:pt>
                <c:pt idx="3818">
                  <c:v>43539</c:v>
                </c:pt>
                <c:pt idx="3819">
                  <c:v>43540</c:v>
                </c:pt>
                <c:pt idx="3820">
                  <c:v>43541</c:v>
                </c:pt>
                <c:pt idx="3821">
                  <c:v>43542</c:v>
                </c:pt>
                <c:pt idx="3822">
                  <c:v>43543</c:v>
                </c:pt>
                <c:pt idx="3823">
                  <c:v>43544</c:v>
                </c:pt>
                <c:pt idx="3824">
                  <c:v>43545</c:v>
                </c:pt>
                <c:pt idx="3825">
                  <c:v>43546</c:v>
                </c:pt>
                <c:pt idx="3826">
                  <c:v>43547</c:v>
                </c:pt>
                <c:pt idx="3827">
                  <c:v>43548</c:v>
                </c:pt>
                <c:pt idx="3828">
                  <c:v>43549</c:v>
                </c:pt>
                <c:pt idx="3829">
                  <c:v>43550</c:v>
                </c:pt>
                <c:pt idx="3830">
                  <c:v>43551</c:v>
                </c:pt>
                <c:pt idx="3831">
                  <c:v>43552</c:v>
                </c:pt>
                <c:pt idx="3832">
                  <c:v>43553</c:v>
                </c:pt>
                <c:pt idx="3833">
                  <c:v>43554</c:v>
                </c:pt>
                <c:pt idx="3834">
                  <c:v>43555</c:v>
                </c:pt>
                <c:pt idx="3835">
                  <c:v>43556</c:v>
                </c:pt>
                <c:pt idx="3836">
                  <c:v>43557</c:v>
                </c:pt>
                <c:pt idx="3837">
                  <c:v>43558</c:v>
                </c:pt>
                <c:pt idx="3838">
                  <c:v>43559</c:v>
                </c:pt>
                <c:pt idx="3839">
                  <c:v>43560</c:v>
                </c:pt>
                <c:pt idx="3840">
                  <c:v>43561</c:v>
                </c:pt>
                <c:pt idx="3841">
                  <c:v>43562</c:v>
                </c:pt>
                <c:pt idx="3842">
                  <c:v>43563</c:v>
                </c:pt>
                <c:pt idx="3843">
                  <c:v>43564</c:v>
                </c:pt>
                <c:pt idx="3844">
                  <c:v>43565</c:v>
                </c:pt>
                <c:pt idx="3845">
                  <c:v>43566</c:v>
                </c:pt>
                <c:pt idx="3846">
                  <c:v>43567</c:v>
                </c:pt>
                <c:pt idx="3847">
                  <c:v>43568</c:v>
                </c:pt>
                <c:pt idx="3848">
                  <c:v>43569</c:v>
                </c:pt>
                <c:pt idx="3849">
                  <c:v>43570</c:v>
                </c:pt>
                <c:pt idx="3850">
                  <c:v>43571</c:v>
                </c:pt>
                <c:pt idx="3851">
                  <c:v>43572</c:v>
                </c:pt>
                <c:pt idx="3852">
                  <c:v>43573</c:v>
                </c:pt>
                <c:pt idx="3853">
                  <c:v>43574</c:v>
                </c:pt>
                <c:pt idx="3854">
                  <c:v>43575</c:v>
                </c:pt>
                <c:pt idx="3855">
                  <c:v>43576</c:v>
                </c:pt>
                <c:pt idx="3856">
                  <c:v>43577</c:v>
                </c:pt>
                <c:pt idx="3857">
                  <c:v>43578</c:v>
                </c:pt>
                <c:pt idx="3858">
                  <c:v>43579</c:v>
                </c:pt>
                <c:pt idx="3859">
                  <c:v>43580</c:v>
                </c:pt>
                <c:pt idx="3860">
                  <c:v>43581</c:v>
                </c:pt>
                <c:pt idx="3861">
                  <c:v>43582</c:v>
                </c:pt>
                <c:pt idx="3862">
                  <c:v>43583</c:v>
                </c:pt>
                <c:pt idx="3863">
                  <c:v>43584</c:v>
                </c:pt>
                <c:pt idx="3864">
                  <c:v>43585</c:v>
                </c:pt>
                <c:pt idx="3865">
                  <c:v>43586</c:v>
                </c:pt>
                <c:pt idx="3866">
                  <c:v>43587</c:v>
                </c:pt>
                <c:pt idx="3867">
                  <c:v>43588</c:v>
                </c:pt>
                <c:pt idx="3868">
                  <c:v>43589</c:v>
                </c:pt>
                <c:pt idx="3869">
                  <c:v>43590</c:v>
                </c:pt>
                <c:pt idx="3870">
                  <c:v>43591</c:v>
                </c:pt>
                <c:pt idx="3871">
                  <c:v>43592</c:v>
                </c:pt>
                <c:pt idx="3872">
                  <c:v>43593</c:v>
                </c:pt>
                <c:pt idx="3873">
                  <c:v>43594</c:v>
                </c:pt>
                <c:pt idx="3874">
                  <c:v>43595</c:v>
                </c:pt>
                <c:pt idx="3875">
                  <c:v>43596</c:v>
                </c:pt>
                <c:pt idx="3876">
                  <c:v>43597</c:v>
                </c:pt>
                <c:pt idx="3877">
                  <c:v>43598</c:v>
                </c:pt>
                <c:pt idx="3878">
                  <c:v>43599</c:v>
                </c:pt>
                <c:pt idx="3879">
                  <c:v>43600</c:v>
                </c:pt>
                <c:pt idx="3880">
                  <c:v>43601</c:v>
                </c:pt>
                <c:pt idx="3881">
                  <c:v>43602</c:v>
                </c:pt>
                <c:pt idx="3882">
                  <c:v>43603</c:v>
                </c:pt>
                <c:pt idx="3883">
                  <c:v>43604</c:v>
                </c:pt>
                <c:pt idx="3884">
                  <c:v>43605</c:v>
                </c:pt>
                <c:pt idx="3885">
                  <c:v>43606</c:v>
                </c:pt>
                <c:pt idx="3886">
                  <c:v>43607</c:v>
                </c:pt>
                <c:pt idx="3887">
                  <c:v>43608</c:v>
                </c:pt>
                <c:pt idx="3888">
                  <c:v>43609</c:v>
                </c:pt>
                <c:pt idx="3889">
                  <c:v>43610</c:v>
                </c:pt>
                <c:pt idx="3890">
                  <c:v>43611</c:v>
                </c:pt>
                <c:pt idx="3891">
                  <c:v>43612</c:v>
                </c:pt>
                <c:pt idx="3892">
                  <c:v>43613</c:v>
                </c:pt>
                <c:pt idx="3893">
                  <c:v>43614</c:v>
                </c:pt>
                <c:pt idx="3894">
                  <c:v>43615</c:v>
                </c:pt>
                <c:pt idx="3895">
                  <c:v>43616</c:v>
                </c:pt>
                <c:pt idx="3896">
                  <c:v>43617</c:v>
                </c:pt>
                <c:pt idx="3897">
                  <c:v>43618</c:v>
                </c:pt>
                <c:pt idx="3898">
                  <c:v>43619</c:v>
                </c:pt>
                <c:pt idx="3899">
                  <c:v>43620</c:v>
                </c:pt>
                <c:pt idx="3900">
                  <c:v>43621</c:v>
                </c:pt>
                <c:pt idx="3901">
                  <c:v>43622</c:v>
                </c:pt>
                <c:pt idx="3902">
                  <c:v>43623</c:v>
                </c:pt>
                <c:pt idx="3903">
                  <c:v>43624</c:v>
                </c:pt>
                <c:pt idx="3904">
                  <c:v>43625</c:v>
                </c:pt>
                <c:pt idx="3905">
                  <c:v>43626</c:v>
                </c:pt>
                <c:pt idx="3906">
                  <c:v>43627</c:v>
                </c:pt>
                <c:pt idx="3907">
                  <c:v>43628</c:v>
                </c:pt>
                <c:pt idx="3908">
                  <c:v>43629</c:v>
                </c:pt>
                <c:pt idx="3909">
                  <c:v>43630</c:v>
                </c:pt>
                <c:pt idx="3910">
                  <c:v>43631</c:v>
                </c:pt>
                <c:pt idx="3911">
                  <c:v>43632</c:v>
                </c:pt>
                <c:pt idx="3912">
                  <c:v>43633</c:v>
                </c:pt>
                <c:pt idx="3913">
                  <c:v>43634</c:v>
                </c:pt>
                <c:pt idx="3914">
                  <c:v>43635</c:v>
                </c:pt>
                <c:pt idx="3915">
                  <c:v>43636</c:v>
                </c:pt>
                <c:pt idx="3916">
                  <c:v>43637</c:v>
                </c:pt>
                <c:pt idx="3917">
                  <c:v>43638</c:v>
                </c:pt>
                <c:pt idx="3918">
                  <c:v>43639</c:v>
                </c:pt>
                <c:pt idx="3919">
                  <c:v>43640</c:v>
                </c:pt>
                <c:pt idx="3920">
                  <c:v>43641</c:v>
                </c:pt>
                <c:pt idx="3921">
                  <c:v>43642</c:v>
                </c:pt>
                <c:pt idx="3922">
                  <c:v>43643</c:v>
                </c:pt>
                <c:pt idx="3923">
                  <c:v>43644</c:v>
                </c:pt>
                <c:pt idx="3924">
                  <c:v>43645</c:v>
                </c:pt>
                <c:pt idx="3925">
                  <c:v>43646</c:v>
                </c:pt>
                <c:pt idx="3926">
                  <c:v>43647</c:v>
                </c:pt>
                <c:pt idx="3927">
                  <c:v>43648</c:v>
                </c:pt>
                <c:pt idx="3928">
                  <c:v>43649</c:v>
                </c:pt>
                <c:pt idx="3929">
                  <c:v>43650</c:v>
                </c:pt>
                <c:pt idx="3930">
                  <c:v>43651</c:v>
                </c:pt>
                <c:pt idx="3931">
                  <c:v>43652</c:v>
                </c:pt>
                <c:pt idx="3932">
                  <c:v>43653</c:v>
                </c:pt>
                <c:pt idx="3933">
                  <c:v>43654</c:v>
                </c:pt>
                <c:pt idx="3934">
                  <c:v>43655</c:v>
                </c:pt>
                <c:pt idx="3935">
                  <c:v>43656</c:v>
                </c:pt>
                <c:pt idx="3936">
                  <c:v>43657</c:v>
                </c:pt>
                <c:pt idx="3937">
                  <c:v>43658</c:v>
                </c:pt>
                <c:pt idx="3938">
                  <c:v>43659</c:v>
                </c:pt>
                <c:pt idx="3939">
                  <c:v>43660</c:v>
                </c:pt>
                <c:pt idx="3940">
                  <c:v>43661</c:v>
                </c:pt>
                <c:pt idx="3941">
                  <c:v>43662</c:v>
                </c:pt>
                <c:pt idx="3942">
                  <c:v>43663</c:v>
                </c:pt>
                <c:pt idx="3943">
                  <c:v>43664</c:v>
                </c:pt>
                <c:pt idx="3944">
                  <c:v>43665</c:v>
                </c:pt>
                <c:pt idx="3945">
                  <c:v>43666</c:v>
                </c:pt>
                <c:pt idx="3946">
                  <c:v>43667</c:v>
                </c:pt>
                <c:pt idx="3947">
                  <c:v>43668</c:v>
                </c:pt>
                <c:pt idx="3948">
                  <c:v>43669</c:v>
                </c:pt>
                <c:pt idx="3949">
                  <c:v>43670</c:v>
                </c:pt>
                <c:pt idx="3950">
                  <c:v>43671</c:v>
                </c:pt>
                <c:pt idx="3951">
                  <c:v>43672</c:v>
                </c:pt>
                <c:pt idx="3952">
                  <c:v>43673</c:v>
                </c:pt>
                <c:pt idx="3953">
                  <c:v>43674</c:v>
                </c:pt>
                <c:pt idx="3954">
                  <c:v>43675</c:v>
                </c:pt>
                <c:pt idx="3955">
                  <c:v>43676</c:v>
                </c:pt>
                <c:pt idx="3956">
                  <c:v>43677</c:v>
                </c:pt>
                <c:pt idx="3957">
                  <c:v>43678</c:v>
                </c:pt>
                <c:pt idx="3958">
                  <c:v>43679</c:v>
                </c:pt>
                <c:pt idx="3959">
                  <c:v>43680</c:v>
                </c:pt>
                <c:pt idx="3960">
                  <c:v>43681</c:v>
                </c:pt>
                <c:pt idx="3961">
                  <c:v>43682</c:v>
                </c:pt>
                <c:pt idx="3962">
                  <c:v>43683</c:v>
                </c:pt>
                <c:pt idx="3963">
                  <c:v>43684</c:v>
                </c:pt>
                <c:pt idx="3964">
                  <c:v>43685</c:v>
                </c:pt>
                <c:pt idx="3965">
                  <c:v>43686</c:v>
                </c:pt>
                <c:pt idx="3966">
                  <c:v>43687</c:v>
                </c:pt>
                <c:pt idx="3967">
                  <c:v>43688</c:v>
                </c:pt>
                <c:pt idx="3968">
                  <c:v>43689</c:v>
                </c:pt>
                <c:pt idx="3969">
                  <c:v>43690</c:v>
                </c:pt>
                <c:pt idx="3970">
                  <c:v>43691</c:v>
                </c:pt>
                <c:pt idx="3971">
                  <c:v>43692</c:v>
                </c:pt>
                <c:pt idx="3972">
                  <c:v>43693</c:v>
                </c:pt>
                <c:pt idx="3973">
                  <c:v>43694</c:v>
                </c:pt>
                <c:pt idx="3974">
                  <c:v>43695</c:v>
                </c:pt>
                <c:pt idx="3975">
                  <c:v>43696</c:v>
                </c:pt>
                <c:pt idx="3976">
                  <c:v>43697</c:v>
                </c:pt>
                <c:pt idx="3977">
                  <c:v>43698</c:v>
                </c:pt>
                <c:pt idx="3978">
                  <c:v>43699</c:v>
                </c:pt>
                <c:pt idx="3979">
                  <c:v>43700</c:v>
                </c:pt>
                <c:pt idx="3980">
                  <c:v>43701</c:v>
                </c:pt>
                <c:pt idx="3981">
                  <c:v>43702</c:v>
                </c:pt>
                <c:pt idx="3982">
                  <c:v>43703</c:v>
                </c:pt>
                <c:pt idx="3983">
                  <c:v>43704</c:v>
                </c:pt>
                <c:pt idx="3984">
                  <c:v>43705</c:v>
                </c:pt>
                <c:pt idx="3985">
                  <c:v>43706</c:v>
                </c:pt>
                <c:pt idx="3986">
                  <c:v>43707</c:v>
                </c:pt>
                <c:pt idx="3987">
                  <c:v>43708</c:v>
                </c:pt>
                <c:pt idx="3988">
                  <c:v>43709</c:v>
                </c:pt>
                <c:pt idx="3989">
                  <c:v>43710</c:v>
                </c:pt>
                <c:pt idx="3990">
                  <c:v>43711</c:v>
                </c:pt>
                <c:pt idx="3991">
                  <c:v>43712</c:v>
                </c:pt>
                <c:pt idx="3992">
                  <c:v>43713</c:v>
                </c:pt>
                <c:pt idx="3993">
                  <c:v>43714</c:v>
                </c:pt>
                <c:pt idx="3994">
                  <c:v>43715</c:v>
                </c:pt>
                <c:pt idx="3995">
                  <c:v>43716</c:v>
                </c:pt>
                <c:pt idx="3996">
                  <c:v>43717</c:v>
                </c:pt>
                <c:pt idx="3997">
                  <c:v>43718</c:v>
                </c:pt>
                <c:pt idx="3998">
                  <c:v>43719</c:v>
                </c:pt>
                <c:pt idx="3999">
                  <c:v>43720</c:v>
                </c:pt>
                <c:pt idx="4000">
                  <c:v>43721</c:v>
                </c:pt>
                <c:pt idx="4001">
                  <c:v>43722</c:v>
                </c:pt>
                <c:pt idx="4002">
                  <c:v>43723</c:v>
                </c:pt>
                <c:pt idx="4003">
                  <c:v>43724</c:v>
                </c:pt>
                <c:pt idx="4004">
                  <c:v>43725</c:v>
                </c:pt>
                <c:pt idx="4005">
                  <c:v>43726</c:v>
                </c:pt>
                <c:pt idx="4006">
                  <c:v>43727</c:v>
                </c:pt>
                <c:pt idx="4007">
                  <c:v>43728</c:v>
                </c:pt>
                <c:pt idx="4008">
                  <c:v>43729</c:v>
                </c:pt>
                <c:pt idx="4009">
                  <c:v>43730</c:v>
                </c:pt>
                <c:pt idx="4010">
                  <c:v>43731</c:v>
                </c:pt>
                <c:pt idx="4011">
                  <c:v>43732</c:v>
                </c:pt>
                <c:pt idx="4012">
                  <c:v>43733</c:v>
                </c:pt>
                <c:pt idx="4013">
                  <c:v>43734</c:v>
                </c:pt>
                <c:pt idx="4014">
                  <c:v>43735</c:v>
                </c:pt>
                <c:pt idx="4015">
                  <c:v>43736</c:v>
                </c:pt>
                <c:pt idx="4016">
                  <c:v>43737</c:v>
                </c:pt>
                <c:pt idx="4017">
                  <c:v>43738</c:v>
                </c:pt>
                <c:pt idx="4018">
                  <c:v>43739</c:v>
                </c:pt>
                <c:pt idx="4019">
                  <c:v>43740</c:v>
                </c:pt>
                <c:pt idx="4020">
                  <c:v>43741</c:v>
                </c:pt>
                <c:pt idx="4021">
                  <c:v>43742</c:v>
                </c:pt>
                <c:pt idx="4022">
                  <c:v>43743</c:v>
                </c:pt>
                <c:pt idx="4023">
                  <c:v>43744</c:v>
                </c:pt>
                <c:pt idx="4024">
                  <c:v>43745</c:v>
                </c:pt>
                <c:pt idx="4025">
                  <c:v>43746</c:v>
                </c:pt>
                <c:pt idx="4026">
                  <c:v>43747</c:v>
                </c:pt>
                <c:pt idx="4027">
                  <c:v>43748</c:v>
                </c:pt>
                <c:pt idx="4028">
                  <c:v>43749</c:v>
                </c:pt>
                <c:pt idx="4029">
                  <c:v>43750</c:v>
                </c:pt>
                <c:pt idx="4030">
                  <c:v>43751</c:v>
                </c:pt>
                <c:pt idx="4031">
                  <c:v>43752</c:v>
                </c:pt>
                <c:pt idx="4032">
                  <c:v>43753</c:v>
                </c:pt>
                <c:pt idx="4033">
                  <c:v>43754</c:v>
                </c:pt>
                <c:pt idx="4034">
                  <c:v>43755</c:v>
                </c:pt>
                <c:pt idx="4035">
                  <c:v>43756</c:v>
                </c:pt>
                <c:pt idx="4036">
                  <c:v>43757</c:v>
                </c:pt>
                <c:pt idx="4037">
                  <c:v>43758</c:v>
                </c:pt>
                <c:pt idx="4038">
                  <c:v>43759</c:v>
                </c:pt>
                <c:pt idx="4039">
                  <c:v>43760</c:v>
                </c:pt>
                <c:pt idx="4040">
                  <c:v>43761</c:v>
                </c:pt>
                <c:pt idx="4041">
                  <c:v>43762</c:v>
                </c:pt>
                <c:pt idx="4042">
                  <c:v>43763</c:v>
                </c:pt>
                <c:pt idx="4043">
                  <c:v>43764</c:v>
                </c:pt>
                <c:pt idx="4044">
                  <c:v>43765</c:v>
                </c:pt>
                <c:pt idx="4045">
                  <c:v>43766</c:v>
                </c:pt>
                <c:pt idx="4046">
                  <c:v>43767</c:v>
                </c:pt>
                <c:pt idx="4047">
                  <c:v>43768</c:v>
                </c:pt>
                <c:pt idx="4048">
                  <c:v>43769</c:v>
                </c:pt>
                <c:pt idx="4049">
                  <c:v>43770</c:v>
                </c:pt>
                <c:pt idx="4050">
                  <c:v>43771</c:v>
                </c:pt>
                <c:pt idx="4051">
                  <c:v>43772</c:v>
                </c:pt>
                <c:pt idx="4052">
                  <c:v>43773</c:v>
                </c:pt>
                <c:pt idx="4053">
                  <c:v>43774</c:v>
                </c:pt>
                <c:pt idx="4054">
                  <c:v>43775</c:v>
                </c:pt>
                <c:pt idx="4055">
                  <c:v>43776</c:v>
                </c:pt>
                <c:pt idx="4056">
                  <c:v>43777</c:v>
                </c:pt>
                <c:pt idx="4057">
                  <c:v>43778</c:v>
                </c:pt>
                <c:pt idx="4058">
                  <c:v>43779</c:v>
                </c:pt>
                <c:pt idx="4059">
                  <c:v>43780</c:v>
                </c:pt>
                <c:pt idx="4060">
                  <c:v>43781</c:v>
                </c:pt>
                <c:pt idx="4061">
                  <c:v>43782</c:v>
                </c:pt>
                <c:pt idx="4062">
                  <c:v>43783</c:v>
                </c:pt>
                <c:pt idx="4063">
                  <c:v>43784</c:v>
                </c:pt>
                <c:pt idx="4064">
                  <c:v>43785</c:v>
                </c:pt>
                <c:pt idx="4065">
                  <c:v>43786</c:v>
                </c:pt>
                <c:pt idx="4066">
                  <c:v>43787</c:v>
                </c:pt>
                <c:pt idx="4067">
                  <c:v>43788</c:v>
                </c:pt>
                <c:pt idx="4068">
                  <c:v>43789</c:v>
                </c:pt>
                <c:pt idx="4069">
                  <c:v>43790</c:v>
                </c:pt>
                <c:pt idx="4070">
                  <c:v>43791</c:v>
                </c:pt>
                <c:pt idx="4071">
                  <c:v>43792</c:v>
                </c:pt>
                <c:pt idx="4072">
                  <c:v>43793</c:v>
                </c:pt>
                <c:pt idx="4073">
                  <c:v>43794</c:v>
                </c:pt>
                <c:pt idx="4074">
                  <c:v>43795</c:v>
                </c:pt>
                <c:pt idx="4075">
                  <c:v>43796</c:v>
                </c:pt>
                <c:pt idx="4076">
                  <c:v>43797</c:v>
                </c:pt>
                <c:pt idx="4077">
                  <c:v>43798</c:v>
                </c:pt>
                <c:pt idx="4078">
                  <c:v>43799</c:v>
                </c:pt>
                <c:pt idx="4079">
                  <c:v>43800</c:v>
                </c:pt>
                <c:pt idx="4080">
                  <c:v>43801</c:v>
                </c:pt>
                <c:pt idx="4081">
                  <c:v>43802</c:v>
                </c:pt>
                <c:pt idx="4082">
                  <c:v>43803</c:v>
                </c:pt>
                <c:pt idx="4083">
                  <c:v>43804</c:v>
                </c:pt>
                <c:pt idx="4084">
                  <c:v>43805</c:v>
                </c:pt>
                <c:pt idx="4085">
                  <c:v>43806</c:v>
                </c:pt>
                <c:pt idx="4086">
                  <c:v>43807</c:v>
                </c:pt>
                <c:pt idx="4087">
                  <c:v>43808</c:v>
                </c:pt>
                <c:pt idx="4088">
                  <c:v>43809</c:v>
                </c:pt>
                <c:pt idx="4089">
                  <c:v>43810</c:v>
                </c:pt>
                <c:pt idx="4090">
                  <c:v>43811</c:v>
                </c:pt>
                <c:pt idx="4091">
                  <c:v>43812</c:v>
                </c:pt>
                <c:pt idx="4092">
                  <c:v>43813</c:v>
                </c:pt>
                <c:pt idx="4093">
                  <c:v>43814</c:v>
                </c:pt>
                <c:pt idx="4094">
                  <c:v>43815</c:v>
                </c:pt>
                <c:pt idx="4095">
                  <c:v>43816</c:v>
                </c:pt>
                <c:pt idx="4096">
                  <c:v>43817</c:v>
                </c:pt>
                <c:pt idx="4097">
                  <c:v>43818</c:v>
                </c:pt>
                <c:pt idx="4098">
                  <c:v>43819</c:v>
                </c:pt>
                <c:pt idx="4099">
                  <c:v>43820</c:v>
                </c:pt>
                <c:pt idx="4100">
                  <c:v>43821</c:v>
                </c:pt>
                <c:pt idx="4101">
                  <c:v>43822</c:v>
                </c:pt>
                <c:pt idx="4102">
                  <c:v>43823</c:v>
                </c:pt>
                <c:pt idx="4103">
                  <c:v>43824</c:v>
                </c:pt>
                <c:pt idx="4104">
                  <c:v>43825</c:v>
                </c:pt>
                <c:pt idx="4105">
                  <c:v>43826</c:v>
                </c:pt>
                <c:pt idx="4106">
                  <c:v>43827</c:v>
                </c:pt>
                <c:pt idx="4107">
                  <c:v>43828</c:v>
                </c:pt>
                <c:pt idx="4108">
                  <c:v>43829</c:v>
                </c:pt>
                <c:pt idx="4109">
                  <c:v>43830</c:v>
                </c:pt>
                <c:pt idx="4110">
                  <c:v>43831</c:v>
                </c:pt>
                <c:pt idx="4111">
                  <c:v>43832</c:v>
                </c:pt>
                <c:pt idx="4112">
                  <c:v>43833</c:v>
                </c:pt>
                <c:pt idx="4113">
                  <c:v>43834</c:v>
                </c:pt>
                <c:pt idx="4114">
                  <c:v>43835</c:v>
                </c:pt>
                <c:pt idx="4115">
                  <c:v>43836</c:v>
                </c:pt>
                <c:pt idx="4116">
                  <c:v>43837</c:v>
                </c:pt>
                <c:pt idx="4117">
                  <c:v>43838</c:v>
                </c:pt>
                <c:pt idx="4118">
                  <c:v>43839</c:v>
                </c:pt>
                <c:pt idx="4119">
                  <c:v>43840</c:v>
                </c:pt>
                <c:pt idx="4120">
                  <c:v>43841</c:v>
                </c:pt>
                <c:pt idx="4121">
                  <c:v>43842</c:v>
                </c:pt>
                <c:pt idx="4122">
                  <c:v>43843</c:v>
                </c:pt>
                <c:pt idx="4123">
                  <c:v>43844</c:v>
                </c:pt>
                <c:pt idx="4124">
                  <c:v>43845</c:v>
                </c:pt>
                <c:pt idx="4125">
                  <c:v>43846</c:v>
                </c:pt>
                <c:pt idx="4126">
                  <c:v>43847</c:v>
                </c:pt>
                <c:pt idx="4127">
                  <c:v>43848</c:v>
                </c:pt>
                <c:pt idx="4128">
                  <c:v>43849</c:v>
                </c:pt>
                <c:pt idx="4129">
                  <c:v>43850</c:v>
                </c:pt>
                <c:pt idx="4130">
                  <c:v>43851</c:v>
                </c:pt>
                <c:pt idx="4131">
                  <c:v>43852</c:v>
                </c:pt>
                <c:pt idx="4132">
                  <c:v>43853</c:v>
                </c:pt>
                <c:pt idx="4133">
                  <c:v>43854</c:v>
                </c:pt>
                <c:pt idx="4134">
                  <c:v>43855</c:v>
                </c:pt>
                <c:pt idx="4135">
                  <c:v>43856</c:v>
                </c:pt>
                <c:pt idx="4136">
                  <c:v>43857</c:v>
                </c:pt>
                <c:pt idx="4137">
                  <c:v>43858</c:v>
                </c:pt>
                <c:pt idx="4138">
                  <c:v>43859</c:v>
                </c:pt>
                <c:pt idx="4139">
                  <c:v>43860</c:v>
                </c:pt>
                <c:pt idx="4140">
                  <c:v>43861</c:v>
                </c:pt>
                <c:pt idx="4141">
                  <c:v>43862</c:v>
                </c:pt>
                <c:pt idx="4142">
                  <c:v>43863</c:v>
                </c:pt>
                <c:pt idx="4143">
                  <c:v>43864</c:v>
                </c:pt>
                <c:pt idx="4144">
                  <c:v>43865</c:v>
                </c:pt>
                <c:pt idx="4145">
                  <c:v>43866</c:v>
                </c:pt>
                <c:pt idx="4146">
                  <c:v>43867</c:v>
                </c:pt>
                <c:pt idx="4147">
                  <c:v>43868</c:v>
                </c:pt>
                <c:pt idx="4148">
                  <c:v>43869</c:v>
                </c:pt>
                <c:pt idx="4149">
                  <c:v>43870</c:v>
                </c:pt>
                <c:pt idx="4150">
                  <c:v>43871</c:v>
                </c:pt>
                <c:pt idx="4151">
                  <c:v>43872</c:v>
                </c:pt>
                <c:pt idx="4152">
                  <c:v>43873</c:v>
                </c:pt>
                <c:pt idx="4153">
                  <c:v>43874</c:v>
                </c:pt>
                <c:pt idx="4154">
                  <c:v>43875</c:v>
                </c:pt>
                <c:pt idx="4155">
                  <c:v>43876</c:v>
                </c:pt>
                <c:pt idx="4156">
                  <c:v>43877</c:v>
                </c:pt>
                <c:pt idx="4157">
                  <c:v>43878</c:v>
                </c:pt>
                <c:pt idx="4158">
                  <c:v>43879</c:v>
                </c:pt>
                <c:pt idx="4159">
                  <c:v>43880</c:v>
                </c:pt>
                <c:pt idx="4160">
                  <c:v>43881</c:v>
                </c:pt>
                <c:pt idx="4161">
                  <c:v>43882</c:v>
                </c:pt>
                <c:pt idx="4162">
                  <c:v>43883</c:v>
                </c:pt>
                <c:pt idx="4163">
                  <c:v>43884</c:v>
                </c:pt>
                <c:pt idx="4164">
                  <c:v>43885</c:v>
                </c:pt>
                <c:pt idx="4165">
                  <c:v>43886</c:v>
                </c:pt>
                <c:pt idx="4166">
                  <c:v>43887</c:v>
                </c:pt>
                <c:pt idx="4167">
                  <c:v>43888</c:v>
                </c:pt>
                <c:pt idx="4168">
                  <c:v>43889</c:v>
                </c:pt>
                <c:pt idx="4169">
                  <c:v>43890</c:v>
                </c:pt>
                <c:pt idx="4170">
                  <c:v>43891</c:v>
                </c:pt>
                <c:pt idx="4171">
                  <c:v>43892</c:v>
                </c:pt>
                <c:pt idx="4172">
                  <c:v>43893</c:v>
                </c:pt>
                <c:pt idx="4173">
                  <c:v>43894</c:v>
                </c:pt>
                <c:pt idx="4174">
                  <c:v>43895</c:v>
                </c:pt>
                <c:pt idx="4175">
                  <c:v>43896</c:v>
                </c:pt>
                <c:pt idx="4176">
                  <c:v>43897</c:v>
                </c:pt>
                <c:pt idx="4177">
                  <c:v>43898</c:v>
                </c:pt>
                <c:pt idx="4178">
                  <c:v>43899</c:v>
                </c:pt>
                <c:pt idx="4179">
                  <c:v>43900</c:v>
                </c:pt>
                <c:pt idx="4180">
                  <c:v>43901</c:v>
                </c:pt>
                <c:pt idx="4181">
                  <c:v>43902</c:v>
                </c:pt>
                <c:pt idx="4182">
                  <c:v>43903</c:v>
                </c:pt>
                <c:pt idx="4183">
                  <c:v>43904</c:v>
                </c:pt>
                <c:pt idx="4184">
                  <c:v>43905</c:v>
                </c:pt>
                <c:pt idx="4185">
                  <c:v>43906</c:v>
                </c:pt>
                <c:pt idx="4186">
                  <c:v>43907</c:v>
                </c:pt>
                <c:pt idx="4187">
                  <c:v>43908</c:v>
                </c:pt>
                <c:pt idx="4188">
                  <c:v>43909</c:v>
                </c:pt>
                <c:pt idx="4189">
                  <c:v>43910</c:v>
                </c:pt>
                <c:pt idx="4190">
                  <c:v>43911</c:v>
                </c:pt>
                <c:pt idx="4191">
                  <c:v>43912</c:v>
                </c:pt>
                <c:pt idx="4192">
                  <c:v>43913</c:v>
                </c:pt>
                <c:pt idx="4193">
                  <c:v>43914</c:v>
                </c:pt>
                <c:pt idx="4194">
                  <c:v>43915</c:v>
                </c:pt>
                <c:pt idx="4195">
                  <c:v>43916</c:v>
                </c:pt>
                <c:pt idx="4196">
                  <c:v>43917</c:v>
                </c:pt>
                <c:pt idx="4197">
                  <c:v>43918</c:v>
                </c:pt>
                <c:pt idx="4198">
                  <c:v>43919</c:v>
                </c:pt>
                <c:pt idx="4199">
                  <c:v>43920</c:v>
                </c:pt>
                <c:pt idx="4200">
                  <c:v>43921</c:v>
                </c:pt>
                <c:pt idx="4201">
                  <c:v>43922</c:v>
                </c:pt>
                <c:pt idx="4202">
                  <c:v>43923</c:v>
                </c:pt>
                <c:pt idx="4203">
                  <c:v>43924</c:v>
                </c:pt>
                <c:pt idx="4204">
                  <c:v>43925</c:v>
                </c:pt>
                <c:pt idx="4205">
                  <c:v>43926</c:v>
                </c:pt>
                <c:pt idx="4206">
                  <c:v>43927</c:v>
                </c:pt>
                <c:pt idx="4207">
                  <c:v>43928</c:v>
                </c:pt>
                <c:pt idx="4208">
                  <c:v>43929</c:v>
                </c:pt>
                <c:pt idx="4209">
                  <c:v>43930</c:v>
                </c:pt>
                <c:pt idx="4210">
                  <c:v>43931</c:v>
                </c:pt>
                <c:pt idx="4211">
                  <c:v>43932</c:v>
                </c:pt>
                <c:pt idx="4212">
                  <c:v>43933</c:v>
                </c:pt>
                <c:pt idx="4213">
                  <c:v>43934</c:v>
                </c:pt>
                <c:pt idx="4214">
                  <c:v>43935</c:v>
                </c:pt>
                <c:pt idx="4215">
                  <c:v>43936</c:v>
                </c:pt>
                <c:pt idx="4216">
                  <c:v>43937</c:v>
                </c:pt>
                <c:pt idx="4217">
                  <c:v>43938</c:v>
                </c:pt>
                <c:pt idx="4218">
                  <c:v>43939</c:v>
                </c:pt>
                <c:pt idx="4219">
                  <c:v>43940</c:v>
                </c:pt>
                <c:pt idx="4220">
                  <c:v>43941</c:v>
                </c:pt>
                <c:pt idx="4221">
                  <c:v>43942</c:v>
                </c:pt>
                <c:pt idx="4222">
                  <c:v>43943</c:v>
                </c:pt>
                <c:pt idx="4223">
                  <c:v>43944</c:v>
                </c:pt>
                <c:pt idx="4224">
                  <c:v>43945</c:v>
                </c:pt>
                <c:pt idx="4225">
                  <c:v>43946</c:v>
                </c:pt>
                <c:pt idx="4226">
                  <c:v>43947</c:v>
                </c:pt>
                <c:pt idx="4227">
                  <c:v>43948</c:v>
                </c:pt>
                <c:pt idx="4228">
                  <c:v>43949</c:v>
                </c:pt>
                <c:pt idx="4229">
                  <c:v>43950</c:v>
                </c:pt>
                <c:pt idx="4230">
                  <c:v>43951</c:v>
                </c:pt>
                <c:pt idx="4231">
                  <c:v>43952</c:v>
                </c:pt>
                <c:pt idx="4232">
                  <c:v>43953</c:v>
                </c:pt>
                <c:pt idx="4233">
                  <c:v>43954</c:v>
                </c:pt>
                <c:pt idx="4234">
                  <c:v>43955</c:v>
                </c:pt>
                <c:pt idx="4235">
                  <c:v>43956</c:v>
                </c:pt>
                <c:pt idx="4236">
                  <c:v>43957</c:v>
                </c:pt>
                <c:pt idx="4237">
                  <c:v>43958</c:v>
                </c:pt>
                <c:pt idx="4238">
                  <c:v>43959</c:v>
                </c:pt>
                <c:pt idx="4239">
                  <c:v>43960</c:v>
                </c:pt>
                <c:pt idx="4240">
                  <c:v>43961</c:v>
                </c:pt>
                <c:pt idx="4241">
                  <c:v>43962</c:v>
                </c:pt>
                <c:pt idx="4242">
                  <c:v>43963</c:v>
                </c:pt>
                <c:pt idx="4243">
                  <c:v>43964</c:v>
                </c:pt>
                <c:pt idx="4244">
                  <c:v>43965</c:v>
                </c:pt>
                <c:pt idx="4245">
                  <c:v>43966</c:v>
                </c:pt>
                <c:pt idx="4246">
                  <c:v>43967</c:v>
                </c:pt>
                <c:pt idx="4247">
                  <c:v>43968</c:v>
                </c:pt>
                <c:pt idx="4248">
                  <c:v>43969</c:v>
                </c:pt>
                <c:pt idx="4249">
                  <c:v>43970</c:v>
                </c:pt>
                <c:pt idx="4250">
                  <c:v>43971</c:v>
                </c:pt>
                <c:pt idx="4251">
                  <c:v>43972</c:v>
                </c:pt>
                <c:pt idx="4252">
                  <c:v>43973</c:v>
                </c:pt>
                <c:pt idx="4253">
                  <c:v>43974</c:v>
                </c:pt>
                <c:pt idx="4254">
                  <c:v>43975</c:v>
                </c:pt>
                <c:pt idx="4255">
                  <c:v>43976</c:v>
                </c:pt>
                <c:pt idx="4256">
                  <c:v>43977</c:v>
                </c:pt>
                <c:pt idx="4257">
                  <c:v>43978</c:v>
                </c:pt>
                <c:pt idx="4258">
                  <c:v>43979</c:v>
                </c:pt>
                <c:pt idx="4259">
                  <c:v>43980</c:v>
                </c:pt>
                <c:pt idx="4260">
                  <c:v>43981</c:v>
                </c:pt>
                <c:pt idx="4261">
                  <c:v>43982</c:v>
                </c:pt>
                <c:pt idx="4262">
                  <c:v>43983</c:v>
                </c:pt>
                <c:pt idx="4263">
                  <c:v>43984</c:v>
                </c:pt>
                <c:pt idx="4264">
                  <c:v>43985</c:v>
                </c:pt>
                <c:pt idx="4265">
                  <c:v>43986</c:v>
                </c:pt>
                <c:pt idx="4266">
                  <c:v>43987</c:v>
                </c:pt>
                <c:pt idx="4267">
                  <c:v>43988</c:v>
                </c:pt>
                <c:pt idx="4268">
                  <c:v>43989</c:v>
                </c:pt>
                <c:pt idx="4269">
                  <c:v>43990</c:v>
                </c:pt>
                <c:pt idx="4270">
                  <c:v>43991</c:v>
                </c:pt>
                <c:pt idx="4271">
                  <c:v>43992</c:v>
                </c:pt>
                <c:pt idx="4272">
                  <c:v>43993</c:v>
                </c:pt>
                <c:pt idx="4273">
                  <c:v>43994</c:v>
                </c:pt>
                <c:pt idx="4274">
                  <c:v>43995</c:v>
                </c:pt>
                <c:pt idx="4275">
                  <c:v>43996</c:v>
                </c:pt>
                <c:pt idx="4276">
                  <c:v>43997</c:v>
                </c:pt>
                <c:pt idx="4277">
                  <c:v>43998</c:v>
                </c:pt>
                <c:pt idx="4278">
                  <c:v>43999</c:v>
                </c:pt>
                <c:pt idx="4279">
                  <c:v>44000</c:v>
                </c:pt>
                <c:pt idx="4280">
                  <c:v>44001</c:v>
                </c:pt>
                <c:pt idx="4281">
                  <c:v>44002</c:v>
                </c:pt>
                <c:pt idx="4282">
                  <c:v>44003</c:v>
                </c:pt>
                <c:pt idx="4283">
                  <c:v>44004</c:v>
                </c:pt>
                <c:pt idx="4284">
                  <c:v>44005</c:v>
                </c:pt>
                <c:pt idx="4285">
                  <c:v>44006</c:v>
                </c:pt>
                <c:pt idx="4286">
                  <c:v>44007</c:v>
                </c:pt>
                <c:pt idx="4287">
                  <c:v>44008</c:v>
                </c:pt>
                <c:pt idx="4288">
                  <c:v>44009</c:v>
                </c:pt>
                <c:pt idx="4289">
                  <c:v>44010</c:v>
                </c:pt>
                <c:pt idx="4290">
                  <c:v>44011</c:v>
                </c:pt>
                <c:pt idx="4291">
                  <c:v>44012</c:v>
                </c:pt>
                <c:pt idx="4292">
                  <c:v>44013</c:v>
                </c:pt>
                <c:pt idx="4293">
                  <c:v>44014</c:v>
                </c:pt>
                <c:pt idx="4294">
                  <c:v>44015</c:v>
                </c:pt>
                <c:pt idx="4295">
                  <c:v>44016</c:v>
                </c:pt>
                <c:pt idx="4296">
                  <c:v>44017</c:v>
                </c:pt>
                <c:pt idx="4297">
                  <c:v>44018</c:v>
                </c:pt>
                <c:pt idx="4298">
                  <c:v>44019</c:v>
                </c:pt>
                <c:pt idx="4299">
                  <c:v>44020</c:v>
                </c:pt>
                <c:pt idx="4300">
                  <c:v>44021</c:v>
                </c:pt>
                <c:pt idx="4301">
                  <c:v>44022</c:v>
                </c:pt>
                <c:pt idx="4302">
                  <c:v>44023</c:v>
                </c:pt>
                <c:pt idx="4303">
                  <c:v>44024</c:v>
                </c:pt>
                <c:pt idx="4304">
                  <c:v>44025</c:v>
                </c:pt>
                <c:pt idx="4305">
                  <c:v>44026</c:v>
                </c:pt>
                <c:pt idx="4306">
                  <c:v>44027</c:v>
                </c:pt>
                <c:pt idx="4307">
                  <c:v>44028</c:v>
                </c:pt>
                <c:pt idx="4308">
                  <c:v>44029</c:v>
                </c:pt>
                <c:pt idx="4309">
                  <c:v>44030</c:v>
                </c:pt>
                <c:pt idx="4310">
                  <c:v>44031</c:v>
                </c:pt>
                <c:pt idx="4311">
                  <c:v>44032</c:v>
                </c:pt>
                <c:pt idx="4312">
                  <c:v>44033</c:v>
                </c:pt>
                <c:pt idx="4313">
                  <c:v>44034</c:v>
                </c:pt>
                <c:pt idx="4314">
                  <c:v>44035</c:v>
                </c:pt>
                <c:pt idx="4315">
                  <c:v>44036</c:v>
                </c:pt>
                <c:pt idx="4316">
                  <c:v>44037</c:v>
                </c:pt>
                <c:pt idx="4317">
                  <c:v>44038</c:v>
                </c:pt>
                <c:pt idx="4318">
                  <c:v>44039</c:v>
                </c:pt>
                <c:pt idx="4319">
                  <c:v>44040</c:v>
                </c:pt>
                <c:pt idx="4320">
                  <c:v>44041</c:v>
                </c:pt>
                <c:pt idx="4321">
                  <c:v>44042</c:v>
                </c:pt>
                <c:pt idx="4322">
                  <c:v>44043</c:v>
                </c:pt>
                <c:pt idx="4323">
                  <c:v>44044</c:v>
                </c:pt>
                <c:pt idx="4324">
                  <c:v>44045</c:v>
                </c:pt>
                <c:pt idx="4325">
                  <c:v>44046</c:v>
                </c:pt>
                <c:pt idx="4326">
                  <c:v>44047</c:v>
                </c:pt>
                <c:pt idx="4327">
                  <c:v>44048</c:v>
                </c:pt>
                <c:pt idx="4328">
                  <c:v>44049</c:v>
                </c:pt>
                <c:pt idx="4329">
                  <c:v>44050</c:v>
                </c:pt>
                <c:pt idx="4330">
                  <c:v>44051</c:v>
                </c:pt>
                <c:pt idx="4331">
                  <c:v>44052</c:v>
                </c:pt>
                <c:pt idx="4332">
                  <c:v>44053</c:v>
                </c:pt>
                <c:pt idx="4333">
                  <c:v>44054</c:v>
                </c:pt>
                <c:pt idx="4334">
                  <c:v>44055</c:v>
                </c:pt>
                <c:pt idx="4335">
                  <c:v>44056</c:v>
                </c:pt>
                <c:pt idx="4336">
                  <c:v>44057</c:v>
                </c:pt>
                <c:pt idx="4337">
                  <c:v>44058</c:v>
                </c:pt>
                <c:pt idx="4338">
                  <c:v>44059</c:v>
                </c:pt>
                <c:pt idx="4339">
                  <c:v>44060</c:v>
                </c:pt>
                <c:pt idx="4340">
                  <c:v>44061</c:v>
                </c:pt>
                <c:pt idx="4341">
                  <c:v>44062</c:v>
                </c:pt>
                <c:pt idx="4342">
                  <c:v>44063</c:v>
                </c:pt>
                <c:pt idx="4343">
                  <c:v>44064</c:v>
                </c:pt>
                <c:pt idx="4344">
                  <c:v>44065</c:v>
                </c:pt>
                <c:pt idx="4345">
                  <c:v>44066</c:v>
                </c:pt>
                <c:pt idx="4346">
                  <c:v>44067</c:v>
                </c:pt>
                <c:pt idx="4347">
                  <c:v>44068</c:v>
                </c:pt>
                <c:pt idx="4348">
                  <c:v>44069</c:v>
                </c:pt>
                <c:pt idx="4349">
                  <c:v>44070</c:v>
                </c:pt>
                <c:pt idx="4350">
                  <c:v>44071</c:v>
                </c:pt>
                <c:pt idx="4351">
                  <c:v>44072</c:v>
                </c:pt>
                <c:pt idx="4352">
                  <c:v>44073</c:v>
                </c:pt>
                <c:pt idx="4353">
                  <c:v>44074</c:v>
                </c:pt>
                <c:pt idx="4354">
                  <c:v>44075</c:v>
                </c:pt>
                <c:pt idx="4355">
                  <c:v>44076</c:v>
                </c:pt>
                <c:pt idx="4356">
                  <c:v>44077</c:v>
                </c:pt>
                <c:pt idx="4357">
                  <c:v>44078</c:v>
                </c:pt>
                <c:pt idx="4358">
                  <c:v>44079</c:v>
                </c:pt>
                <c:pt idx="4359">
                  <c:v>44080</c:v>
                </c:pt>
                <c:pt idx="4360">
                  <c:v>44081</c:v>
                </c:pt>
                <c:pt idx="4361">
                  <c:v>44082</c:v>
                </c:pt>
                <c:pt idx="4362">
                  <c:v>44083</c:v>
                </c:pt>
                <c:pt idx="4363">
                  <c:v>44084</c:v>
                </c:pt>
                <c:pt idx="4364">
                  <c:v>44085</c:v>
                </c:pt>
                <c:pt idx="4365">
                  <c:v>44086</c:v>
                </c:pt>
                <c:pt idx="4366">
                  <c:v>44087</c:v>
                </c:pt>
                <c:pt idx="4367">
                  <c:v>44088</c:v>
                </c:pt>
                <c:pt idx="4368">
                  <c:v>44089</c:v>
                </c:pt>
                <c:pt idx="4369">
                  <c:v>44090</c:v>
                </c:pt>
                <c:pt idx="4370">
                  <c:v>44091</c:v>
                </c:pt>
                <c:pt idx="4371">
                  <c:v>44092</c:v>
                </c:pt>
                <c:pt idx="4372">
                  <c:v>44093</c:v>
                </c:pt>
                <c:pt idx="4373">
                  <c:v>44094</c:v>
                </c:pt>
                <c:pt idx="4374">
                  <c:v>44095</c:v>
                </c:pt>
                <c:pt idx="4375">
                  <c:v>44096</c:v>
                </c:pt>
                <c:pt idx="4376">
                  <c:v>44097</c:v>
                </c:pt>
                <c:pt idx="4377">
                  <c:v>44098</c:v>
                </c:pt>
                <c:pt idx="4378">
                  <c:v>44099</c:v>
                </c:pt>
                <c:pt idx="4379">
                  <c:v>44100</c:v>
                </c:pt>
                <c:pt idx="4380">
                  <c:v>44101</c:v>
                </c:pt>
                <c:pt idx="4381">
                  <c:v>44102</c:v>
                </c:pt>
                <c:pt idx="4382">
                  <c:v>44103</c:v>
                </c:pt>
                <c:pt idx="4383">
                  <c:v>44104</c:v>
                </c:pt>
                <c:pt idx="4384">
                  <c:v>44105</c:v>
                </c:pt>
                <c:pt idx="4385">
                  <c:v>44106</c:v>
                </c:pt>
                <c:pt idx="4386">
                  <c:v>44107</c:v>
                </c:pt>
                <c:pt idx="4387">
                  <c:v>44108</c:v>
                </c:pt>
                <c:pt idx="4388">
                  <c:v>44109</c:v>
                </c:pt>
                <c:pt idx="4389">
                  <c:v>44110</c:v>
                </c:pt>
                <c:pt idx="4390">
                  <c:v>44111</c:v>
                </c:pt>
                <c:pt idx="4391">
                  <c:v>44112</c:v>
                </c:pt>
                <c:pt idx="4392">
                  <c:v>44113</c:v>
                </c:pt>
                <c:pt idx="4393">
                  <c:v>44114</c:v>
                </c:pt>
                <c:pt idx="4394">
                  <c:v>44115</c:v>
                </c:pt>
                <c:pt idx="4395">
                  <c:v>44116</c:v>
                </c:pt>
                <c:pt idx="4396">
                  <c:v>44117</c:v>
                </c:pt>
                <c:pt idx="4397">
                  <c:v>44118</c:v>
                </c:pt>
                <c:pt idx="4398">
                  <c:v>44119</c:v>
                </c:pt>
                <c:pt idx="4399">
                  <c:v>44120</c:v>
                </c:pt>
                <c:pt idx="4400">
                  <c:v>44121</c:v>
                </c:pt>
                <c:pt idx="4401">
                  <c:v>44122</c:v>
                </c:pt>
                <c:pt idx="4402">
                  <c:v>44123</c:v>
                </c:pt>
                <c:pt idx="4403">
                  <c:v>44124</c:v>
                </c:pt>
                <c:pt idx="4404">
                  <c:v>44125</c:v>
                </c:pt>
                <c:pt idx="4405">
                  <c:v>44126</c:v>
                </c:pt>
                <c:pt idx="4406">
                  <c:v>44127</c:v>
                </c:pt>
                <c:pt idx="4407">
                  <c:v>44128</c:v>
                </c:pt>
                <c:pt idx="4408">
                  <c:v>44129</c:v>
                </c:pt>
                <c:pt idx="4409">
                  <c:v>44130</c:v>
                </c:pt>
                <c:pt idx="4410">
                  <c:v>44131</c:v>
                </c:pt>
                <c:pt idx="4411">
                  <c:v>44132</c:v>
                </c:pt>
                <c:pt idx="4412">
                  <c:v>44133</c:v>
                </c:pt>
                <c:pt idx="4413">
                  <c:v>44134</c:v>
                </c:pt>
                <c:pt idx="4414">
                  <c:v>44135</c:v>
                </c:pt>
                <c:pt idx="4415">
                  <c:v>44136</c:v>
                </c:pt>
                <c:pt idx="4416">
                  <c:v>44137</c:v>
                </c:pt>
                <c:pt idx="4417">
                  <c:v>44138</c:v>
                </c:pt>
                <c:pt idx="4418">
                  <c:v>44139</c:v>
                </c:pt>
                <c:pt idx="4419">
                  <c:v>44140</c:v>
                </c:pt>
                <c:pt idx="4420">
                  <c:v>44141</c:v>
                </c:pt>
                <c:pt idx="4421">
                  <c:v>44142</c:v>
                </c:pt>
                <c:pt idx="4422">
                  <c:v>44143</c:v>
                </c:pt>
                <c:pt idx="4423">
                  <c:v>44144</c:v>
                </c:pt>
                <c:pt idx="4424">
                  <c:v>44145</c:v>
                </c:pt>
                <c:pt idx="4425">
                  <c:v>44146</c:v>
                </c:pt>
                <c:pt idx="4426">
                  <c:v>44147</c:v>
                </c:pt>
                <c:pt idx="4427">
                  <c:v>44148</c:v>
                </c:pt>
                <c:pt idx="4428">
                  <c:v>44149</c:v>
                </c:pt>
                <c:pt idx="4429">
                  <c:v>44150</c:v>
                </c:pt>
                <c:pt idx="4430">
                  <c:v>44151</c:v>
                </c:pt>
                <c:pt idx="4431">
                  <c:v>44152</c:v>
                </c:pt>
                <c:pt idx="4432">
                  <c:v>44153</c:v>
                </c:pt>
                <c:pt idx="4433">
                  <c:v>44154</c:v>
                </c:pt>
                <c:pt idx="4434">
                  <c:v>44155</c:v>
                </c:pt>
                <c:pt idx="4435">
                  <c:v>44156</c:v>
                </c:pt>
                <c:pt idx="4436">
                  <c:v>44157</c:v>
                </c:pt>
                <c:pt idx="4437">
                  <c:v>44158</c:v>
                </c:pt>
                <c:pt idx="4438">
                  <c:v>44159</c:v>
                </c:pt>
                <c:pt idx="4439">
                  <c:v>44160</c:v>
                </c:pt>
                <c:pt idx="4440">
                  <c:v>44161</c:v>
                </c:pt>
                <c:pt idx="4441">
                  <c:v>44162</c:v>
                </c:pt>
                <c:pt idx="4442">
                  <c:v>44163</c:v>
                </c:pt>
                <c:pt idx="4443">
                  <c:v>44164</c:v>
                </c:pt>
                <c:pt idx="4444">
                  <c:v>44165</c:v>
                </c:pt>
                <c:pt idx="4445">
                  <c:v>44166</c:v>
                </c:pt>
                <c:pt idx="4446">
                  <c:v>44167</c:v>
                </c:pt>
                <c:pt idx="4447">
                  <c:v>44168</c:v>
                </c:pt>
                <c:pt idx="4448">
                  <c:v>44169</c:v>
                </c:pt>
                <c:pt idx="4449">
                  <c:v>44170</c:v>
                </c:pt>
                <c:pt idx="4450">
                  <c:v>44171</c:v>
                </c:pt>
                <c:pt idx="4451">
                  <c:v>44172</c:v>
                </c:pt>
                <c:pt idx="4452">
                  <c:v>44173</c:v>
                </c:pt>
                <c:pt idx="4453">
                  <c:v>44174</c:v>
                </c:pt>
                <c:pt idx="4454">
                  <c:v>44175</c:v>
                </c:pt>
                <c:pt idx="4455">
                  <c:v>44176</c:v>
                </c:pt>
                <c:pt idx="4456">
                  <c:v>44177</c:v>
                </c:pt>
                <c:pt idx="4457">
                  <c:v>44178</c:v>
                </c:pt>
                <c:pt idx="4458">
                  <c:v>44179</c:v>
                </c:pt>
                <c:pt idx="4459">
                  <c:v>44180</c:v>
                </c:pt>
                <c:pt idx="4460">
                  <c:v>44181</c:v>
                </c:pt>
                <c:pt idx="4461">
                  <c:v>44182</c:v>
                </c:pt>
                <c:pt idx="4462">
                  <c:v>44183</c:v>
                </c:pt>
                <c:pt idx="4463">
                  <c:v>44184</c:v>
                </c:pt>
                <c:pt idx="4464">
                  <c:v>44185</c:v>
                </c:pt>
                <c:pt idx="4465">
                  <c:v>44186</c:v>
                </c:pt>
                <c:pt idx="4466">
                  <c:v>44187</c:v>
                </c:pt>
                <c:pt idx="4467">
                  <c:v>44188</c:v>
                </c:pt>
                <c:pt idx="4468">
                  <c:v>44189</c:v>
                </c:pt>
                <c:pt idx="4469">
                  <c:v>44190</c:v>
                </c:pt>
                <c:pt idx="4470">
                  <c:v>44191</c:v>
                </c:pt>
                <c:pt idx="4471">
                  <c:v>44192</c:v>
                </c:pt>
                <c:pt idx="4472">
                  <c:v>44193</c:v>
                </c:pt>
                <c:pt idx="4473">
                  <c:v>44194</c:v>
                </c:pt>
                <c:pt idx="4474">
                  <c:v>44195</c:v>
                </c:pt>
                <c:pt idx="4475">
                  <c:v>44196</c:v>
                </c:pt>
                <c:pt idx="4476">
                  <c:v>44197</c:v>
                </c:pt>
                <c:pt idx="4477">
                  <c:v>44198</c:v>
                </c:pt>
                <c:pt idx="4478">
                  <c:v>44199</c:v>
                </c:pt>
                <c:pt idx="4479">
                  <c:v>44200</c:v>
                </c:pt>
                <c:pt idx="4480">
                  <c:v>44201</c:v>
                </c:pt>
                <c:pt idx="4481">
                  <c:v>44202</c:v>
                </c:pt>
                <c:pt idx="4482">
                  <c:v>44203</c:v>
                </c:pt>
                <c:pt idx="4483">
                  <c:v>44204</c:v>
                </c:pt>
                <c:pt idx="4484">
                  <c:v>44205</c:v>
                </c:pt>
                <c:pt idx="4485">
                  <c:v>44206</c:v>
                </c:pt>
                <c:pt idx="4486">
                  <c:v>44207</c:v>
                </c:pt>
                <c:pt idx="4487">
                  <c:v>44208</c:v>
                </c:pt>
                <c:pt idx="4488">
                  <c:v>44209</c:v>
                </c:pt>
                <c:pt idx="4489">
                  <c:v>44210</c:v>
                </c:pt>
                <c:pt idx="4490">
                  <c:v>44211</c:v>
                </c:pt>
                <c:pt idx="4491">
                  <c:v>44212</c:v>
                </c:pt>
                <c:pt idx="4492">
                  <c:v>44213</c:v>
                </c:pt>
                <c:pt idx="4493">
                  <c:v>44214</c:v>
                </c:pt>
                <c:pt idx="4494">
                  <c:v>44215</c:v>
                </c:pt>
                <c:pt idx="4495">
                  <c:v>44216</c:v>
                </c:pt>
                <c:pt idx="4496">
                  <c:v>44217</c:v>
                </c:pt>
                <c:pt idx="4497">
                  <c:v>44218</c:v>
                </c:pt>
                <c:pt idx="4498">
                  <c:v>44219</c:v>
                </c:pt>
                <c:pt idx="4499">
                  <c:v>44220</c:v>
                </c:pt>
                <c:pt idx="4500">
                  <c:v>44221</c:v>
                </c:pt>
                <c:pt idx="4501">
                  <c:v>44222</c:v>
                </c:pt>
                <c:pt idx="4502">
                  <c:v>44223</c:v>
                </c:pt>
                <c:pt idx="4503">
                  <c:v>44224</c:v>
                </c:pt>
                <c:pt idx="4504">
                  <c:v>44225</c:v>
                </c:pt>
                <c:pt idx="4505">
                  <c:v>44226</c:v>
                </c:pt>
                <c:pt idx="4506">
                  <c:v>44227</c:v>
                </c:pt>
                <c:pt idx="4507">
                  <c:v>44228</c:v>
                </c:pt>
                <c:pt idx="4508">
                  <c:v>44229</c:v>
                </c:pt>
                <c:pt idx="4509">
                  <c:v>44230</c:v>
                </c:pt>
                <c:pt idx="4510">
                  <c:v>44231</c:v>
                </c:pt>
                <c:pt idx="4511">
                  <c:v>44232</c:v>
                </c:pt>
                <c:pt idx="4512">
                  <c:v>44233</c:v>
                </c:pt>
                <c:pt idx="4513">
                  <c:v>44234</c:v>
                </c:pt>
                <c:pt idx="4514">
                  <c:v>44235</c:v>
                </c:pt>
                <c:pt idx="4515">
                  <c:v>44236</c:v>
                </c:pt>
                <c:pt idx="4516">
                  <c:v>44237</c:v>
                </c:pt>
                <c:pt idx="4517">
                  <c:v>44238</c:v>
                </c:pt>
                <c:pt idx="4518">
                  <c:v>44239</c:v>
                </c:pt>
                <c:pt idx="4519">
                  <c:v>44240</c:v>
                </c:pt>
                <c:pt idx="4520">
                  <c:v>44241</c:v>
                </c:pt>
                <c:pt idx="4521">
                  <c:v>44242</c:v>
                </c:pt>
                <c:pt idx="4522">
                  <c:v>44243</c:v>
                </c:pt>
                <c:pt idx="4523">
                  <c:v>44244</c:v>
                </c:pt>
                <c:pt idx="4524">
                  <c:v>44245</c:v>
                </c:pt>
                <c:pt idx="4525">
                  <c:v>44246</c:v>
                </c:pt>
                <c:pt idx="4526">
                  <c:v>44247</c:v>
                </c:pt>
                <c:pt idx="4527">
                  <c:v>44248</c:v>
                </c:pt>
                <c:pt idx="4528">
                  <c:v>44249</c:v>
                </c:pt>
                <c:pt idx="4529">
                  <c:v>44250</c:v>
                </c:pt>
                <c:pt idx="4530">
                  <c:v>44251</c:v>
                </c:pt>
                <c:pt idx="4531">
                  <c:v>44252</c:v>
                </c:pt>
                <c:pt idx="4532">
                  <c:v>44253</c:v>
                </c:pt>
                <c:pt idx="4533">
                  <c:v>44254</c:v>
                </c:pt>
                <c:pt idx="4534">
                  <c:v>44255</c:v>
                </c:pt>
                <c:pt idx="4535">
                  <c:v>44256</c:v>
                </c:pt>
                <c:pt idx="4536">
                  <c:v>44257</c:v>
                </c:pt>
                <c:pt idx="4537">
                  <c:v>44258</c:v>
                </c:pt>
                <c:pt idx="4538">
                  <c:v>44259</c:v>
                </c:pt>
                <c:pt idx="4539">
                  <c:v>44260</c:v>
                </c:pt>
                <c:pt idx="4540">
                  <c:v>44261</c:v>
                </c:pt>
                <c:pt idx="4541">
                  <c:v>44262</c:v>
                </c:pt>
                <c:pt idx="4542">
                  <c:v>44263</c:v>
                </c:pt>
                <c:pt idx="4543">
                  <c:v>44264</c:v>
                </c:pt>
                <c:pt idx="4544">
                  <c:v>44265</c:v>
                </c:pt>
                <c:pt idx="4545">
                  <c:v>44266</c:v>
                </c:pt>
                <c:pt idx="4546">
                  <c:v>44267</c:v>
                </c:pt>
                <c:pt idx="4547">
                  <c:v>44268</c:v>
                </c:pt>
                <c:pt idx="4548">
                  <c:v>44269</c:v>
                </c:pt>
                <c:pt idx="4549">
                  <c:v>44270</c:v>
                </c:pt>
                <c:pt idx="4550">
                  <c:v>44271</c:v>
                </c:pt>
                <c:pt idx="4551">
                  <c:v>44272</c:v>
                </c:pt>
                <c:pt idx="4552">
                  <c:v>44273</c:v>
                </c:pt>
                <c:pt idx="4553">
                  <c:v>44274</c:v>
                </c:pt>
                <c:pt idx="4554">
                  <c:v>44275</c:v>
                </c:pt>
                <c:pt idx="4555">
                  <c:v>44276</c:v>
                </c:pt>
                <c:pt idx="4556">
                  <c:v>44277</c:v>
                </c:pt>
                <c:pt idx="4557">
                  <c:v>44278</c:v>
                </c:pt>
                <c:pt idx="4558">
                  <c:v>44279</c:v>
                </c:pt>
                <c:pt idx="4559">
                  <c:v>44280</c:v>
                </c:pt>
                <c:pt idx="4560">
                  <c:v>44281</c:v>
                </c:pt>
                <c:pt idx="4561">
                  <c:v>44282</c:v>
                </c:pt>
                <c:pt idx="4562">
                  <c:v>44283</c:v>
                </c:pt>
                <c:pt idx="4563">
                  <c:v>44284</c:v>
                </c:pt>
                <c:pt idx="4564">
                  <c:v>44285</c:v>
                </c:pt>
                <c:pt idx="4565">
                  <c:v>44286</c:v>
                </c:pt>
                <c:pt idx="4566">
                  <c:v>44287</c:v>
                </c:pt>
                <c:pt idx="4567">
                  <c:v>44288</c:v>
                </c:pt>
                <c:pt idx="4568">
                  <c:v>44289</c:v>
                </c:pt>
                <c:pt idx="4569">
                  <c:v>44290</c:v>
                </c:pt>
                <c:pt idx="4570">
                  <c:v>44291</c:v>
                </c:pt>
                <c:pt idx="4571">
                  <c:v>44292</c:v>
                </c:pt>
                <c:pt idx="4572">
                  <c:v>44293</c:v>
                </c:pt>
                <c:pt idx="4573">
                  <c:v>44294</c:v>
                </c:pt>
                <c:pt idx="4574">
                  <c:v>44295</c:v>
                </c:pt>
                <c:pt idx="4575">
                  <c:v>44296</c:v>
                </c:pt>
                <c:pt idx="4576">
                  <c:v>44297</c:v>
                </c:pt>
                <c:pt idx="4577">
                  <c:v>44298</c:v>
                </c:pt>
                <c:pt idx="4578">
                  <c:v>44299</c:v>
                </c:pt>
                <c:pt idx="4579">
                  <c:v>44300</c:v>
                </c:pt>
                <c:pt idx="4580">
                  <c:v>44301</c:v>
                </c:pt>
                <c:pt idx="4581">
                  <c:v>44302</c:v>
                </c:pt>
                <c:pt idx="4582">
                  <c:v>44303</c:v>
                </c:pt>
                <c:pt idx="4583">
                  <c:v>44304</c:v>
                </c:pt>
                <c:pt idx="4584">
                  <c:v>44305</c:v>
                </c:pt>
                <c:pt idx="4585">
                  <c:v>44306</c:v>
                </c:pt>
                <c:pt idx="4586">
                  <c:v>44307</c:v>
                </c:pt>
                <c:pt idx="4587">
                  <c:v>44308</c:v>
                </c:pt>
                <c:pt idx="4588">
                  <c:v>44309</c:v>
                </c:pt>
                <c:pt idx="4589">
                  <c:v>44310</c:v>
                </c:pt>
                <c:pt idx="4590">
                  <c:v>44311</c:v>
                </c:pt>
                <c:pt idx="4591">
                  <c:v>44312</c:v>
                </c:pt>
                <c:pt idx="4592">
                  <c:v>44313</c:v>
                </c:pt>
                <c:pt idx="4593">
                  <c:v>44314</c:v>
                </c:pt>
                <c:pt idx="4594">
                  <c:v>44315</c:v>
                </c:pt>
                <c:pt idx="4595">
                  <c:v>44316</c:v>
                </c:pt>
                <c:pt idx="4596">
                  <c:v>44317</c:v>
                </c:pt>
                <c:pt idx="4597">
                  <c:v>44318</c:v>
                </c:pt>
                <c:pt idx="4598">
                  <c:v>44319</c:v>
                </c:pt>
                <c:pt idx="4599">
                  <c:v>44320</c:v>
                </c:pt>
                <c:pt idx="4600">
                  <c:v>44321</c:v>
                </c:pt>
                <c:pt idx="4601">
                  <c:v>44322</c:v>
                </c:pt>
                <c:pt idx="4602">
                  <c:v>44323</c:v>
                </c:pt>
                <c:pt idx="4603">
                  <c:v>44324</c:v>
                </c:pt>
                <c:pt idx="4604">
                  <c:v>44325</c:v>
                </c:pt>
                <c:pt idx="4605">
                  <c:v>44326</c:v>
                </c:pt>
                <c:pt idx="4606">
                  <c:v>44327</c:v>
                </c:pt>
                <c:pt idx="4607">
                  <c:v>44328</c:v>
                </c:pt>
                <c:pt idx="4608">
                  <c:v>44329</c:v>
                </c:pt>
                <c:pt idx="4609">
                  <c:v>44330</c:v>
                </c:pt>
                <c:pt idx="4610">
                  <c:v>44331</c:v>
                </c:pt>
                <c:pt idx="4611">
                  <c:v>44332</c:v>
                </c:pt>
                <c:pt idx="4612">
                  <c:v>44333</c:v>
                </c:pt>
                <c:pt idx="4613">
                  <c:v>44334</c:v>
                </c:pt>
                <c:pt idx="4614">
                  <c:v>44335</c:v>
                </c:pt>
                <c:pt idx="4615">
                  <c:v>44336</c:v>
                </c:pt>
                <c:pt idx="4616">
                  <c:v>44337</c:v>
                </c:pt>
                <c:pt idx="4617">
                  <c:v>44338</c:v>
                </c:pt>
                <c:pt idx="4618">
                  <c:v>44339</c:v>
                </c:pt>
                <c:pt idx="4619">
                  <c:v>44340</c:v>
                </c:pt>
                <c:pt idx="4620">
                  <c:v>44341</c:v>
                </c:pt>
                <c:pt idx="4621">
                  <c:v>44342</c:v>
                </c:pt>
                <c:pt idx="4622">
                  <c:v>44343</c:v>
                </c:pt>
                <c:pt idx="4623">
                  <c:v>44344</c:v>
                </c:pt>
                <c:pt idx="4624">
                  <c:v>44345</c:v>
                </c:pt>
                <c:pt idx="4625">
                  <c:v>44346</c:v>
                </c:pt>
                <c:pt idx="4626">
                  <c:v>44347</c:v>
                </c:pt>
                <c:pt idx="4627">
                  <c:v>44348</c:v>
                </c:pt>
                <c:pt idx="4628">
                  <c:v>44349</c:v>
                </c:pt>
                <c:pt idx="4629">
                  <c:v>44350</c:v>
                </c:pt>
                <c:pt idx="4630">
                  <c:v>44351</c:v>
                </c:pt>
                <c:pt idx="4631">
                  <c:v>44352</c:v>
                </c:pt>
                <c:pt idx="4632">
                  <c:v>44353</c:v>
                </c:pt>
                <c:pt idx="4633">
                  <c:v>44354</c:v>
                </c:pt>
                <c:pt idx="4634">
                  <c:v>44355</c:v>
                </c:pt>
                <c:pt idx="4635">
                  <c:v>44356</c:v>
                </c:pt>
                <c:pt idx="4636">
                  <c:v>44357</c:v>
                </c:pt>
                <c:pt idx="4637">
                  <c:v>44358</c:v>
                </c:pt>
                <c:pt idx="4638">
                  <c:v>44359</c:v>
                </c:pt>
                <c:pt idx="4639">
                  <c:v>44360</c:v>
                </c:pt>
                <c:pt idx="4640">
                  <c:v>44361</c:v>
                </c:pt>
                <c:pt idx="4641">
                  <c:v>44362</c:v>
                </c:pt>
                <c:pt idx="4642">
                  <c:v>44363</c:v>
                </c:pt>
                <c:pt idx="4643">
                  <c:v>44364</c:v>
                </c:pt>
                <c:pt idx="4644">
                  <c:v>44365</c:v>
                </c:pt>
                <c:pt idx="4645">
                  <c:v>44366</c:v>
                </c:pt>
                <c:pt idx="4646">
                  <c:v>44367</c:v>
                </c:pt>
                <c:pt idx="4647">
                  <c:v>44368</c:v>
                </c:pt>
                <c:pt idx="4648">
                  <c:v>44369</c:v>
                </c:pt>
                <c:pt idx="4649">
                  <c:v>44370</c:v>
                </c:pt>
                <c:pt idx="4650">
                  <c:v>44371</c:v>
                </c:pt>
                <c:pt idx="4651">
                  <c:v>44372</c:v>
                </c:pt>
                <c:pt idx="4652">
                  <c:v>44373</c:v>
                </c:pt>
                <c:pt idx="4653">
                  <c:v>44374</c:v>
                </c:pt>
                <c:pt idx="4654">
                  <c:v>44375</c:v>
                </c:pt>
                <c:pt idx="4655">
                  <c:v>44376</c:v>
                </c:pt>
                <c:pt idx="4656">
                  <c:v>44377</c:v>
                </c:pt>
                <c:pt idx="4657">
                  <c:v>44378</c:v>
                </c:pt>
                <c:pt idx="4658">
                  <c:v>44379</c:v>
                </c:pt>
                <c:pt idx="4659">
                  <c:v>44380</c:v>
                </c:pt>
                <c:pt idx="4660">
                  <c:v>44381</c:v>
                </c:pt>
                <c:pt idx="4661">
                  <c:v>44382</c:v>
                </c:pt>
                <c:pt idx="4662">
                  <c:v>44383</c:v>
                </c:pt>
                <c:pt idx="4663">
                  <c:v>44384</c:v>
                </c:pt>
                <c:pt idx="4664">
                  <c:v>44385</c:v>
                </c:pt>
                <c:pt idx="4665">
                  <c:v>44386</c:v>
                </c:pt>
                <c:pt idx="4666">
                  <c:v>44387</c:v>
                </c:pt>
                <c:pt idx="4667">
                  <c:v>44388</c:v>
                </c:pt>
                <c:pt idx="4668">
                  <c:v>44389</c:v>
                </c:pt>
                <c:pt idx="4669">
                  <c:v>44390</c:v>
                </c:pt>
                <c:pt idx="4670">
                  <c:v>44391</c:v>
                </c:pt>
                <c:pt idx="4671">
                  <c:v>44392</c:v>
                </c:pt>
                <c:pt idx="4672">
                  <c:v>44393</c:v>
                </c:pt>
                <c:pt idx="4673">
                  <c:v>44394</c:v>
                </c:pt>
                <c:pt idx="4674">
                  <c:v>44395</c:v>
                </c:pt>
                <c:pt idx="4675">
                  <c:v>44396</c:v>
                </c:pt>
                <c:pt idx="4676">
                  <c:v>44397</c:v>
                </c:pt>
                <c:pt idx="4677">
                  <c:v>44398</c:v>
                </c:pt>
                <c:pt idx="4678">
                  <c:v>44399</c:v>
                </c:pt>
                <c:pt idx="4679">
                  <c:v>44400</c:v>
                </c:pt>
                <c:pt idx="4680">
                  <c:v>44401</c:v>
                </c:pt>
                <c:pt idx="4681">
                  <c:v>44402</c:v>
                </c:pt>
                <c:pt idx="4682">
                  <c:v>44403</c:v>
                </c:pt>
                <c:pt idx="4683">
                  <c:v>44404</c:v>
                </c:pt>
                <c:pt idx="4684">
                  <c:v>44405</c:v>
                </c:pt>
                <c:pt idx="4685">
                  <c:v>44406</c:v>
                </c:pt>
                <c:pt idx="4686">
                  <c:v>44407</c:v>
                </c:pt>
                <c:pt idx="4687">
                  <c:v>44408</c:v>
                </c:pt>
                <c:pt idx="4688">
                  <c:v>44409</c:v>
                </c:pt>
                <c:pt idx="4689">
                  <c:v>44410</c:v>
                </c:pt>
                <c:pt idx="4690">
                  <c:v>44411</c:v>
                </c:pt>
                <c:pt idx="4691">
                  <c:v>44412</c:v>
                </c:pt>
                <c:pt idx="4692">
                  <c:v>44413</c:v>
                </c:pt>
                <c:pt idx="4693">
                  <c:v>44414</c:v>
                </c:pt>
                <c:pt idx="4694">
                  <c:v>44415</c:v>
                </c:pt>
                <c:pt idx="4695">
                  <c:v>44416</c:v>
                </c:pt>
                <c:pt idx="4696">
                  <c:v>44417</c:v>
                </c:pt>
                <c:pt idx="4697">
                  <c:v>44418</c:v>
                </c:pt>
                <c:pt idx="4698">
                  <c:v>44419</c:v>
                </c:pt>
                <c:pt idx="4699">
                  <c:v>44420</c:v>
                </c:pt>
                <c:pt idx="4700">
                  <c:v>44421</c:v>
                </c:pt>
                <c:pt idx="4701">
                  <c:v>44422</c:v>
                </c:pt>
                <c:pt idx="4702">
                  <c:v>44423</c:v>
                </c:pt>
                <c:pt idx="4703">
                  <c:v>44424</c:v>
                </c:pt>
                <c:pt idx="4704">
                  <c:v>44425</c:v>
                </c:pt>
                <c:pt idx="4705">
                  <c:v>44426</c:v>
                </c:pt>
                <c:pt idx="4706">
                  <c:v>44427</c:v>
                </c:pt>
                <c:pt idx="4707">
                  <c:v>44428</c:v>
                </c:pt>
                <c:pt idx="4708">
                  <c:v>44429</c:v>
                </c:pt>
                <c:pt idx="4709">
                  <c:v>44430</c:v>
                </c:pt>
                <c:pt idx="4710">
                  <c:v>44431</c:v>
                </c:pt>
                <c:pt idx="4711">
                  <c:v>44432</c:v>
                </c:pt>
                <c:pt idx="4712">
                  <c:v>44433</c:v>
                </c:pt>
                <c:pt idx="4713">
                  <c:v>44434</c:v>
                </c:pt>
                <c:pt idx="4714">
                  <c:v>44435</c:v>
                </c:pt>
                <c:pt idx="4715">
                  <c:v>44436</c:v>
                </c:pt>
                <c:pt idx="4716">
                  <c:v>44437</c:v>
                </c:pt>
                <c:pt idx="4717">
                  <c:v>44438</c:v>
                </c:pt>
                <c:pt idx="4718">
                  <c:v>44439</c:v>
                </c:pt>
                <c:pt idx="4719">
                  <c:v>44440</c:v>
                </c:pt>
                <c:pt idx="4720">
                  <c:v>44441</c:v>
                </c:pt>
                <c:pt idx="4721">
                  <c:v>44442</c:v>
                </c:pt>
                <c:pt idx="4722">
                  <c:v>44443</c:v>
                </c:pt>
                <c:pt idx="4723">
                  <c:v>44444</c:v>
                </c:pt>
                <c:pt idx="4724">
                  <c:v>44445</c:v>
                </c:pt>
                <c:pt idx="4725">
                  <c:v>44446</c:v>
                </c:pt>
                <c:pt idx="4726">
                  <c:v>44447</c:v>
                </c:pt>
                <c:pt idx="4727">
                  <c:v>44448</c:v>
                </c:pt>
                <c:pt idx="4728">
                  <c:v>44449</c:v>
                </c:pt>
                <c:pt idx="4729">
                  <c:v>44450</c:v>
                </c:pt>
                <c:pt idx="4730">
                  <c:v>44451</c:v>
                </c:pt>
                <c:pt idx="4731">
                  <c:v>44452</c:v>
                </c:pt>
                <c:pt idx="4732">
                  <c:v>44453</c:v>
                </c:pt>
                <c:pt idx="4733">
                  <c:v>44454</c:v>
                </c:pt>
                <c:pt idx="4734">
                  <c:v>44455</c:v>
                </c:pt>
                <c:pt idx="4735">
                  <c:v>44456</c:v>
                </c:pt>
                <c:pt idx="4736">
                  <c:v>44457</c:v>
                </c:pt>
                <c:pt idx="4737">
                  <c:v>44458</c:v>
                </c:pt>
                <c:pt idx="4738">
                  <c:v>44459</c:v>
                </c:pt>
                <c:pt idx="4739">
                  <c:v>44460</c:v>
                </c:pt>
                <c:pt idx="4740">
                  <c:v>44461</c:v>
                </c:pt>
                <c:pt idx="4741">
                  <c:v>44462</c:v>
                </c:pt>
                <c:pt idx="4742">
                  <c:v>44463</c:v>
                </c:pt>
                <c:pt idx="4743">
                  <c:v>44464</c:v>
                </c:pt>
                <c:pt idx="4744">
                  <c:v>44465</c:v>
                </c:pt>
                <c:pt idx="4745">
                  <c:v>44466</c:v>
                </c:pt>
                <c:pt idx="4746">
                  <c:v>44467</c:v>
                </c:pt>
                <c:pt idx="4747">
                  <c:v>44468</c:v>
                </c:pt>
                <c:pt idx="4748">
                  <c:v>44469</c:v>
                </c:pt>
                <c:pt idx="4749">
                  <c:v>44470</c:v>
                </c:pt>
                <c:pt idx="4750">
                  <c:v>44471</c:v>
                </c:pt>
                <c:pt idx="4751">
                  <c:v>44472</c:v>
                </c:pt>
                <c:pt idx="4752">
                  <c:v>44473</c:v>
                </c:pt>
                <c:pt idx="4753">
                  <c:v>44474</c:v>
                </c:pt>
                <c:pt idx="4754">
                  <c:v>44475</c:v>
                </c:pt>
                <c:pt idx="4755">
                  <c:v>44476</c:v>
                </c:pt>
                <c:pt idx="4756">
                  <c:v>44477</c:v>
                </c:pt>
                <c:pt idx="4757">
                  <c:v>44478</c:v>
                </c:pt>
                <c:pt idx="4758">
                  <c:v>44479</c:v>
                </c:pt>
                <c:pt idx="4759">
                  <c:v>44480</c:v>
                </c:pt>
                <c:pt idx="4760">
                  <c:v>44481</c:v>
                </c:pt>
                <c:pt idx="4761">
                  <c:v>44482</c:v>
                </c:pt>
                <c:pt idx="4762">
                  <c:v>44483</c:v>
                </c:pt>
                <c:pt idx="4763">
                  <c:v>44484</c:v>
                </c:pt>
                <c:pt idx="4764">
                  <c:v>44485</c:v>
                </c:pt>
                <c:pt idx="4765">
                  <c:v>44486</c:v>
                </c:pt>
                <c:pt idx="4766">
                  <c:v>44487</c:v>
                </c:pt>
                <c:pt idx="4767">
                  <c:v>44488</c:v>
                </c:pt>
                <c:pt idx="4768">
                  <c:v>44489</c:v>
                </c:pt>
                <c:pt idx="4769">
                  <c:v>44490</c:v>
                </c:pt>
                <c:pt idx="4770">
                  <c:v>44491</c:v>
                </c:pt>
                <c:pt idx="4771">
                  <c:v>44492</c:v>
                </c:pt>
                <c:pt idx="4772">
                  <c:v>44493</c:v>
                </c:pt>
                <c:pt idx="4773">
                  <c:v>44494</c:v>
                </c:pt>
                <c:pt idx="4774">
                  <c:v>44495</c:v>
                </c:pt>
                <c:pt idx="4775">
                  <c:v>44496</c:v>
                </c:pt>
                <c:pt idx="4776">
                  <c:v>44497</c:v>
                </c:pt>
                <c:pt idx="4777">
                  <c:v>44498</c:v>
                </c:pt>
                <c:pt idx="4778">
                  <c:v>44499</c:v>
                </c:pt>
                <c:pt idx="4779">
                  <c:v>44500</c:v>
                </c:pt>
                <c:pt idx="4780">
                  <c:v>44501</c:v>
                </c:pt>
                <c:pt idx="4781">
                  <c:v>44502</c:v>
                </c:pt>
                <c:pt idx="4782">
                  <c:v>44503</c:v>
                </c:pt>
                <c:pt idx="4783">
                  <c:v>44504</c:v>
                </c:pt>
                <c:pt idx="4784">
                  <c:v>44505</c:v>
                </c:pt>
                <c:pt idx="4785">
                  <c:v>44506</c:v>
                </c:pt>
                <c:pt idx="4786">
                  <c:v>44507</c:v>
                </c:pt>
                <c:pt idx="4787">
                  <c:v>44508</c:v>
                </c:pt>
                <c:pt idx="4788">
                  <c:v>44509</c:v>
                </c:pt>
                <c:pt idx="4789">
                  <c:v>44510</c:v>
                </c:pt>
                <c:pt idx="4790">
                  <c:v>44511</c:v>
                </c:pt>
                <c:pt idx="4791">
                  <c:v>44512</c:v>
                </c:pt>
                <c:pt idx="4792">
                  <c:v>44513</c:v>
                </c:pt>
                <c:pt idx="4793">
                  <c:v>44514</c:v>
                </c:pt>
                <c:pt idx="4794">
                  <c:v>44515</c:v>
                </c:pt>
                <c:pt idx="4795">
                  <c:v>44516</c:v>
                </c:pt>
                <c:pt idx="4796">
                  <c:v>44517</c:v>
                </c:pt>
                <c:pt idx="4797">
                  <c:v>44518</c:v>
                </c:pt>
                <c:pt idx="4798">
                  <c:v>44519</c:v>
                </c:pt>
                <c:pt idx="4799">
                  <c:v>44520</c:v>
                </c:pt>
                <c:pt idx="4800">
                  <c:v>44521</c:v>
                </c:pt>
                <c:pt idx="4801">
                  <c:v>44522</c:v>
                </c:pt>
                <c:pt idx="4802">
                  <c:v>44523</c:v>
                </c:pt>
                <c:pt idx="4803">
                  <c:v>44524</c:v>
                </c:pt>
                <c:pt idx="4804">
                  <c:v>44525</c:v>
                </c:pt>
                <c:pt idx="4805">
                  <c:v>44526</c:v>
                </c:pt>
                <c:pt idx="4806">
                  <c:v>44527</c:v>
                </c:pt>
                <c:pt idx="4807">
                  <c:v>44528</c:v>
                </c:pt>
                <c:pt idx="4808">
                  <c:v>44529</c:v>
                </c:pt>
                <c:pt idx="4809">
                  <c:v>44530</c:v>
                </c:pt>
                <c:pt idx="4810">
                  <c:v>44531</c:v>
                </c:pt>
                <c:pt idx="4811">
                  <c:v>44532</c:v>
                </c:pt>
                <c:pt idx="4812">
                  <c:v>44533</c:v>
                </c:pt>
                <c:pt idx="4813">
                  <c:v>44534</c:v>
                </c:pt>
                <c:pt idx="4814">
                  <c:v>44535</c:v>
                </c:pt>
                <c:pt idx="4815">
                  <c:v>44536</c:v>
                </c:pt>
                <c:pt idx="4816">
                  <c:v>44537</c:v>
                </c:pt>
                <c:pt idx="4817">
                  <c:v>44538</c:v>
                </c:pt>
                <c:pt idx="4818">
                  <c:v>44539</c:v>
                </c:pt>
                <c:pt idx="4819">
                  <c:v>44540</c:v>
                </c:pt>
                <c:pt idx="4820">
                  <c:v>44541</c:v>
                </c:pt>
                <c:pt idx="4821">
                  <c:v>44542</c:v>
                </c:pt>
                <c:pt idx="4822">
                  <c:v>44543</c:v>
                </c:pt>
                <c:pt idx="4823">
                  <c:v>44544</c:v>
                </c:pt>
                <c:pt idx="4824">
                  <c:v>44545</c:v>
                </c:pt>
                <c:pt idx="4825">
                  <c:v>44546</c:v>
                </c:pt>
                <c:pt idx="4826">
                  <c:v>44547</c:v>
                </c:pt>
                <c:pt idx="4827">
                  <c:v>44548</c:v>
                </c:pt>
                <c:pt idx="4828">
                  <c:v>44549</c:v>
                </c:pt>
                <c:pt idx="4829">
                  <c:v>44550</c:v>
                </c:pt>
                <c:pt idx="4830">
                  <c:v>44551</c:v>
                </c:pt>
                <c:pt idx="4831">
                  <c:v>44552</c:v>
                </c:pt>
                <c:pt idx="4832">
                  <c:v>44553</c:v>
                </c:pt>
                <c:pt idx="4833">
                  <c:v>44554</c:v>
                </c:pt>
                <c:pt idx="4834">
                  <c:v>44555</c:v>
                </c:pt>
                <c:pt idx="4835">
                  <c:v>44556</c:v>
                </c:pt>
                <c:pt idx="4836">
                  <c:v>44557</c:v>
                </c:pt>
                <c:pt idx="4837">
                  <c:v>44558</c:v>
                </c:pt>
                <c:pt idx="4838">
                  <c:v>44559</c:v>
                </c:pt>
                <c:pt idx="4839">
                  <c:v>44560</c:v>
                </c:pt>
                <c:pt idx="4840">
                  <c:v>44561</c:v>
                </c:pt>
                <c:pt idx="4841">
                  <c:v>44562</c:v>
                </c:pt>
                <c:pt idx="4842">
                  <c:v>44563</c:v>
                </c:pt>
                <c:pt idx="4843">
                  <c:v>44564</c:v>
                </c:pt>
                <c:pt idx="4844">
                  <c:v>44565</c:v>
                </c:pt>
                <c:pt idx="4845">
                  <c:v>44566</c:v>
                </c:pt>
                <c:pt idx="4846">
                  <c:v>44567</c:v>
                </c:pt>
                <c:pt idx="4847">
                  <c:v>44568</c:v>
                </c:pt>
                <c:pt idx="4848">
                  <c:v>44569</c:v>
                </c:pt>
                <c:pt idx="4849">
                  <c:v>44570</c:v>
                </c:pt>
                <c:pt idx="4850">
                  <c:v>44571</c:v>
                </c:pt>
                <c:pt idx="4851">
                  <c:v>44572</c:v>
                </c:pt>
                <c:pt idx="4852">
                  <c:v>44573</c:v>
                </c:pt>
                <c:pt idx="4853">
                  <c:v>44574</c:v>
                </c:pt>
                <c:pt idx="4854">
                  <c:v>44575</c:v>
                </c:pt>
                <c:pt idx="4855">
                  <c:v>44576</c:v>
                </c:pt>
                <c:pt idx="4856">
                  <c:v>44577</c:v>
                </c:pt>
                <c:pt idx="4857">
                  <c:v>44578</c:v>
                </c:pt>
                <c:pt idx="4858">
                  <c:v>44579</c:v>
                </c:pt>
                <c:pt idx="4859">
                  <c:v>44580</c:v>
                </c:pt>
                <c:pt idx="4860">
                  <c:v>44581</c:v>
                </c:pt>
                <c:pt idx="4861">
                  <c:v>44582</c:v>
                </c:pt>
                <c:pt idx="4862">
                  <c:v>44583</c:v>
                </c:pt>
                <c:pt idx="4863">
                  <c:v>44584</c:v>
                </c:pt>
                <c:pt idx="4864">
                  <c:v>44585</c:v>
                </c:pt>
                <c:pt idx="4865">
                  <c:v>44586</c:v>
                </c:pt>
                <c:pt idx="4866">
                  <c:v>44587</c:v>
                </c:pt>
                <c:pt idx="4867">
                  <c:v>44588</c:v>
                </c:pt>
                <c:pt idx="4868">
                  <c:v>44589</c:v>
                </c:pt>
                <c:pt idx="4869">
                  <c:v>44590</c:v>
                </c:pt>
                <c:pt idx="4870">
                  <c:v>44591</c:v>
                </c:pt>
                <c:pt idx="4871">
                  <c:v>44592</c:v>
                </c:pt>
                <c:pt idx="4872">
                  <c:v>44593</c:v>
                </c:pt>
                <c:pt idx="4873">
                  <c:v>44594</c:v>
                </c:pt>
                <c:pt idx="4874">
                  <c:v>44595</c:v>
                </c:pt>
                <c:pt idx="4875">
                  <c:v>44596</c:v>
                </c:pt>
                <c:pt idx="4876">
                  <c:v>44597</c:v>
                </c:pt>
                <c:pt idx="4877">
                  <c:v>44598</c:v>
                </c:pt>
                <c:pt idx="4878">
                  <c:v>44599</c:v>
                </c:pt>
                <c:pt idx="4879">
                  <c:v>44600</c:v>
                </c:pt>
                <c:pt idx="4880">
                  <c:v>44601</c:v>
                </c:pt>
                <c:pt idx="4881">
                  <c:v>44602</c:v>
                </c:pt>
                <c:pt idx="4882">
                  <c:v>44603</c:v>
                </c:pt>
                <c:pt idx="4883">
                  <c:v>44604</c:v>
                </c:pt>
                <c:pt idx="4884">
                  <c:v>44605</c:v>
                </c:pt>
                <c:pt idx="4885">
                  <c:v>44606</c:v>
                </c:pt>
                <c:pt idx="4886">
                  <c:v>44607</c:v>
                </c:pt>
                <c:pt idx="4887">
                  <c:v>44608</c:v>
                </c:pt>
                <c:pt idx="4888">
                  <c:v>44609</c:v>
                </c:pt>
                <c:pt idx="4889">
                  <c:v>44610</c:v>
                </c:pt>
                <c:pt idx="4890">
                  <c:v>44611</c:v>
                </c:pt>
                <c:pt idx="4891">
                  <c:v>44612</c:v>
                </c:pt>
                <c:pt idx="4892">
                  <c:v>44613</c:v>
                </c:pt>
                <c:pt idx="4893">
                  <c:v>44614</c:v>
                </c:pt>
                <c:pt idx="4894">
                  <c:v>44615</c:v>
                </c:pt>
                <c:pt idx="4895">
                  <c:v>44616</c:v>
                </c:pt>
                <c:pt idx="4896">
                  <c:v>44617</c:v>
                </c:pt>
                <c:pt idx="4897">
                  <c:v>44618</c:v>
                </c:pt>
                <c:pt idx="4898">
                  <c:v>44619</c:v>
                </c:pt>
                <c:pt idx="4899">
                  <c:v>44620</c:v>
                </c:pt>
                <c:pt idx="4900">
                  <c:v>44621</c:v>
                </c:pt>
                <c:pt idx="4901">
                  <c:v>44622</c:v>
                </c:pt>
                <c:pt idx="4902">
                  <c:v>44623</c:v>
                </c:pt>
                <c:pt idx="4903">
                  <c:v>44624</c:v>
                </c:pt>
                <c:pt idx="4904">
                  <c:v>44625</c:v>
                </c:pt>
                <c:pt idx="4905">
                  <c:v>44626</c:v>
                </c:pt>
                <c:pt idx="4906">
                  <c:v>44627</c:v>
                </c:pt>
                <c:pt idx="4907">
                  <c:v>44628</c:v>
                </c:pt>
                <c:pt idx="4908">
                  <c:v>44629</c:v>
                </c:pt>
                <c:pt idx="4909">
                  <c:v>44630</c:v>
                </c:pt>
                <c:pt idx="4910">
                  <c:v>44631</c:v>
                </c:pt>
                <c:pt idx="4911">
                  <c:v>44632</c:v>
                </c:pt>
                <c:pt idx="4912">
                  <c:v>44633</c:v>
                </c:pt>
                <c:pt idx="4913">
                  <c:v>44634</c:v>
                </c:pt>
                <c:pt idx="4914">
                  <c:v>44635</c:v>
                </c:pt>
                <c:pt idx="4915">
                  <c:v>44636</c:v>
                </c:pt>
                <c:pt idx="4916">
                  <c:v>44637</c:v>
                </c:pt>
                <c:pt idx="4917">
                  <c:v>44638</c:v>
                </c:pt>
                <c:pt idx="4918">
                  <c:v>44639</c:v>
                </c:pt>
                <c:pt idx="4919">
                  <c:v>44640</c:v>
                </c:pt>
                <c:pt idx="4920">
                  <c:v>44641</c:v>
                </c:pt>
                <c:pt idx="4921">
                  <c:v>44642</c:v>
                </c:pt>
                <c:pt idx="4922">
                  <c:v>44643</c:v>
                </c:pt>
                <c:pt idx="4923">
                  <c:v>44644</c:v>
                </c:pt>
                <c:pt idx="4924">
                  <c:v>44645</c:v>
                </c:pt>
                <c:pt idx="4925">
                  <c:v>44646</c:v>
                </c:pt>
                <c:pt idx="4926">
                  <c:v>44647</c:v>
                </c:pt>
                <c:pt idx="4927">
                  <c:v>44648</c:v>
                </c:pt>
                <c:pt idx="4928">
                  <c:v>44649</c:v>
                </c:pt>
                <c:pt idx="4929">
                  <c:v>44650</c:v>
                </c:pt>
                <c:pt idx="4930">
                  <c:v>44651</c:v>
                </c:pt>
                <c:pt idx="4931">
                  <c:v>44652</c:v>
                </c:pt>
                <c:pt idx="4932">
                  <c:v>44653</c:v>
                </c:pt>
                <c:pt idx="4933">
                  <c:v>44654</c:v>
                </c:pt>
                <c:pt idx="4934">
                  <c:v>44655</c:v>
                </c:pt>
                <c:pt idx="4935">
                  <c:v>44656</c:v>
                </c:pt>
                <c:pt idx="4936">
                  <c:v>44657</c:v>
                </c:pt>
                <c:pt idx="4937">
                  <c:v>44658</c:v>
                </c:pt>
                <c:pt idx="4938">
                  <c:v>44659</c:v>
                </c:pt>
                <c:pt idx="4939">
                  <c:v>44660</c:v>
                </c:pt>
                <c:pt idx="4940">
                  <c:v>44661</c:v>
                </c:pt>
                <c:pt idx="4941">
                  <c:v>44662</c:v>
                </c:pt>
                <c:pt idx="4942">
                  <c:v>44663</c:v>
                </c:pt>
                <c:pt idx="4943">
                  <c:v>44664</c:v>
                </c:pt>
                <c:pt idx="4944">
                  <c:v>44665</c:v>
                </c:pt>
                <c:pt idx="4945">
                  <c:v>44666</c:v>
                </c:pt>
                <c:pt idx="4946">
                  <c:v>44667</c:v>
                </c:pt>
                <c:pt idx="4947">
                  <c:v>44668</c:v>
                </c:pt>
                <c:pt idx="4948">
                  <c:v>44669</c:v>
                </c:pt>
                <c:pt idx="4949">
                  <c:v>44670</c:v>
                </c:pt>
                <c:pt idx="4950">
                  <c:v>44671</c:v>
                </c:pt>
                <c:pt idx="4951">
                  <c:v>44672</c:v>
                </c:pt>
                <c:pt idx="4952">
                  <c:v>44673</c:v>
                </c:pt>
                <c:pt idx="4953">
                  <c:v>44674</c:v>
                </c:pt>
                <c:pt idx="4954">
                  <c:v>44675</c:v>
                </c:pt>
                <c:pt idx="4955">
                  <c:v>44676</c:v>
                </c:pt>
                <c:pt idx="4956">
                  <c:v>44677</c:v>
                </c:pt>
                <c:pt idx="4957">
                  <c:v>44678</c:v>
                </c:pt>
                <c:pt idx="4958">
                  <c:v>44679</c:v>
                </c:pt>
                <c:pt idx="4959">
                  <c:v>44680</c:v>
                </c:pt>
                <c:pt idx="4960">
                  <c:v>44681</c:v>
                </c:pt>
                <c:pt idx="4961">
                  <c:v>44682</c:v>
                </c:pt>
                <c:pt idx="4962">
                  <c:v>44683</c:v>
                </c:pt>
                <c:pt idx="4963">
                  <c:v>44684</c:v>
                </c:pt>
                <c:pt idx="4964">
                  <c:v>44685</c:v>
                </c:pt>
                <c:pt idx="4965">
                  <c:v>44686</c:v>
                </c:pt>
                <c:pt idx="4966">
                  <c:v>44687</c:v>
                </c:pt>
                <c:pt idx="4967">
                  <c:v>44688</c:v>
                </c:pt>
                <c:pt idx="4968">
                  <c:v>44689</c:v>
                </c:pt>
                <c:pt idx="4969">
                  <c:v>44690</c:v>
                </c:pt>
                <c:pt idx="4970">
                  <c:v>44691</c:v>
                </c:pt>
                <c:pt idx="4971">
                  <c:v>44692</c:v>
                </c:pt>
                <c:pt idx="4972">
                  <c:v>44693</c:v>
                </c:pt>
                <c:pt idx="4973">
                  <c:v>44694</c:v>
                </c:pt>
                <c:pt idx="4974">
                  <c:v>44695</c:v>
                </c:pt>
                <c:pt idx="4975">
                  <c:v>44696</c:v>
                </c:pt>
                <c:pt idx="4976">
                  <c:v>44697</c:v>
                </c:pt>
                <c:pt idx="4977">
                  <c:v>44698</c:v>
                </c:pt>
                <c:pt idx="4978">
                  <c:v>44699</c:v>
                </c:pt>
                <c:pt idx="4979">
                  <c:v>44700</c:v>
                </c:pt>
                <c:pt idx="4980">
                  <c:v>44701</c:v>
                </c:pt>
                <c:pt idx="4981">
                  <c:v>44702</c:v>
                </c:pt>
                <c:pt idx="4982">
                  <c:v>44703</c:v>
                </c:pt>
                <c:pt idx="4983">
                  <c:v>44704</c:v>
                </c:pt>
                <c:pt idx="4984">
                  <c:v>44705</c:v>
                </c:pt>
                <c:pt idx="4985">
                  <c:v>44706</c:v>
                </c:pt>
                <c:pt idx="4986">
                  <c:v>44707</c:v>
                </c:pt>
                <c:pt idx="4987">
                  <c:v>44708</c:v>
                </c:pt>
                <c:pt idx="4988">
                  <c:v>44709</c:v>
                </c:pt>
                <c:pt idx="4989">
                  <c:v>44710</c:v>
                </c:pt>
                <c:pt idx="4990">
                  <c:v>44711</c:v>
                </c:pt>
                <c:pt idx="4991">
                  <c:v>44712</c:v>
                </c:pt>
                <c:pt idx="4992">
                  <c:v>44713</c:v>
                </c:pt>
                <c:pt idx="4993">
                  <c:v>44714</c:v>
                </c:pt>
                <c:pt idx="4994">
                  <c:v>44715</c:v>
                </c:pt>
                <c:pt idx="4995">
                  <c:v>44716</c:v>
                </c:pt>
                <c:pt idx="4996">
                  <c:v>44717</c:v>
                </c:pt>
                <c:pt idx="4997">
                  <c:v>44718</c:v>
                </c:pt>
                <c:pt idx="4998">
                  <c:v>44719</c:v>
                </c:pt>
                <c:pt idx="4999">
                  <c:v>44720</c:v>
                </c:pt>
                <c:pt idx="5000">
                  <c:v>44721</c:v>
                </c:pt>
                <c:pt idx="5001">
                  <c:v>44722</c:v>
                </c:pt>
                <c:pt idx="5002">
                  <c:v>44723</c:v>
                </c:pt>
                <c:pt idx="5003">
                  <c:v>44724</c:v>
                </c:pt>
                <c:pt idx="5004">
                  <c:v>44725</c:v>
                </c:pt>
                <c:pt idx="5005">
                  <c:v>44726</c:v>
                </c:pt>
                <c:pt idx="5006">
                  <c:v>44727</c:v>
                </c:pt>
                <c:pt idx="5007">
                  <c:v>44728</c:v>
                </c:pt>
                <c:pt idx="5008">
                  <c:v>44729</c:v>
                </c:pt>
                <c:pt idx="5009">
                  <c:v>44730</c:v>
                </c:pt>
                <c:pt idx="5010">
                  <c:v>44731</c:v>
                </c:pt>
                <c:pt idx="5011">
                  <c:v>44732</c:v>
                </c:pt>
                <c:pt idx="5012">
                  <c:v>44733</c:v>
                </c:pt>
                <c:pt idx="5013">
                  <c:v>44734</c:v>
                </c:pt>
                <c:pt idx="5014">
                  <c:v>44735</c:v>
                </c:pt>
                <c:pt idx="5015">
                  <c:v>44736</c:v>
                </c:pt>
                <c:pt idx="5016">
                  <c:v>44737</c:v>
                </c:pt>
                <c:pt idx="5017">
                  <c:v>44738</c:v>
                </c:pt>
                <c:pt idx="5018">
                  <c:v>44739</c:v>
                </c:pt>
                <c:pt idx="5019">
                  <c:v>44740</c:v>
                </c:pt>
                <c:pt idx="5020">
                  <c:v>44741</c:v>
                </c:pt>
                <c:pt idx="5021">
                  <c:v>44742</c:v>
                </c:pt>
                <c:pt idx="5022">
                  <c:v>44743</c:v>
                </c:pt>
                <c:pt idx="5023">
                  <c:v>44744</c:v>
                </c:pt>
                <c:pt idx="5024">
                  <c:v>44745</c:v>
                </c:pt>
                <c:pt idx="5025">
                  <c:v>44746</c:v>
                </c:pt>
                <c:pt idx="5026">
                  <c:v>44747</c:v>
                </c:pt>
                <c:pt idx="5027">
                  <c:v>44748</c:v>
                </c:pt>
                <c:pt idx="5028">
                  <c:v>44749</c:v>
                </c:pt>
                <c:pt idx="5029">
                  <c:v>44750</c:v>
                </c:pt>
                <c:pt idx="5030">
                  <c:v>44751</c:v>
                </c:pt>
                <c:pt idx="5031">
                  <c:v>44752</c:v>
                </c:pt>
                <c:pt idx="5032">
                  <c:v>44753</c:v>
                </c:pt>
                <c:pt idx="5033">
                  <c:v>44754</c:v>
                </c:pt>
                <c:pt idx="5034">
                  <c:v>44755</c:v>
                </c:pt>
                <c:pt idx="5035">
                  <c:v>44756</c:v>
                </c:pt>
                <c:pt idx="5036">
                  <c:v>44757</c:v>
                </c:pt>
                <c:pt idx="5037">
                  <c:v>44758</c:v>
                </c:pt>
                <c:pt idx="5038">
                  <c:v>44759</c:v>
                </c:pt>
                <c:pt idx="5039">
                  <c:v>44760</c:v>
                </c:pt>
                <c:pt idx="5040">
                  <c:v>44761</c:v>
                </c:pt>
                <c:pt idx="5041">
                  <c:v>44762</c:v>
                </c:pt>
                <c:pt idx="5042">
                  <c:v>44763</c:v>
                </c:pt>
                <c:pt idx="5043">
                  <c:v>44764</c:v>
                </c:pt>
                <c:pt idx="5044">
                  <c:v>44765</c:v>
                </c:pt>
                <c:pt idx="5045">
                  <c:v>44766</c:v>
                </c:pt>
                <c:pt idx="5046">
                  <c:v>44767</c:v>
                </c:pt>
                <c:pt idx="5047">
                  <c:v>44768</c:v>
                </c:pt>
                <c:pt idx="5048">
                  <c:v>44769</c:v>
                </c:pt>
                <c:pt idx="5049">
                  <c:v>44770</c:v>
                </c:pt>
                <c:pt idx="5050">
                  <c:v>44771</c:v>
                </c:pt>
                <c:pt idx="5051">
                  <c:v>44772</c:v>
                </c:pt>
                <c:pt idx="5052">
                  <c:v>44773</c:v>
                </c:pt>
                <c:pt idx="5053">
                  <c:v>44774</c:v>
                </c:pt>
                <c:pt idx="5054">
                  <c:v>44775</c:v>
                </c:pt>
                <c:pt idx="5055">
                  <c:v>44776</c:v>
                </c:pt>
                <c:pt idx="5056">
                  <c:v>44777</c:v>
                </c:pt>
                <c:pt idx="5057">
                  <c:v>44778</c:v>
                </c:pt>
                <c:pt idx="5058">
                  <c:v>44779</c:v>
                </c:pt>
                <c:pt idx="5059">
                  <c:v>44780</c:v>
                </c:pt>
                <c:pt idx="5060">
                  <c:v>44781</c:v>
                </c:pt>
                <c:pt idx="5061">
                  <c:v>44782</c:v>
                </c:pt>
                <c:pt idx="5062">
                  <c:v>44783</c:v>
                </c:pt>
                <c:pt idx="5063">
                  <c:v>44784</c:v>
                </c:pt>
                <c:pt idx="5064">
                  <c:v>44785</c:v>
                </c:pt>
                <c:pt idx="5065">
                  <c:v>44786</c:v>
                </c:pt>
                <c:pt idx="5066">
                  <c:v>44787</c:v>
                </c:pt>
                <c:pt idx="5067">
                  <c:v>44788</c:v>
                </c:pt>
                <c:pt idx="5068">
                  <c:v>44789</c:v>
                </c:pt>
                <c:pt idx="5069">
                  <c:v>44790</c:v>
                </c:pt>
                <c:pt idx="5070">
                  <c:v>44791</c:v>
                </c:pt>
                <c:pt idx="5071">
                  <c:v>44792</c:v>
                </c:pt>
                <c:pt idx="5072">
                  <c:v>44793</c:v>
                </c:pt>
                <c:pt idx="5073">
                  <c:v>44794</c:v>
                </c:pt>
                <c:pt idx="5074">
                  <c:v>44795</c:v>
                </c:pt>
                <c:pt idx="5075">
                  <c:v>44796</c:v>
                </c:pt>
                <c:pt idx="5076">
                  <c:v>44797</c:v>
                </c:pt>
                <c:pt idx="5077">
                  <c:v>44798</c:v>
                </c:pt>
                <c:pt idx="5078">
                  <c:v>44799</c:v>
                </c:pt>
                <c:pt idx="5079">
                  <c:v>44800</c:v>
                </c:pt>
                <c:pt idx="5080">
                  <c:v>44801</c:v>
                </c:pt>
                <c:pt idx="5081">
                  <c:v>44802</c:v>
                </c:pt>
                <c:pt idx="5082">
                  <c:v>44803</c:v>
                </c:pt>
                <c:pt idx="5083">
                  <c:v>44804</c:v>
                </c:pt>
                <c:pt idx="5084">
                  <c:v>44805</c:v>
                </c:pt>
                <c:pt idx="5085">
                  <c:v>44806</c:v>
                </c:pt>
                <c:pt idx="5086">
                  <c:v>44807</c:v>
                </c:pt>
                <c:pt idx="5087">
                  <c:v>44808</c:v>
                </c:pt>
                <c:pt idx="5088">
                  <c:v>44809</c:v>
                </c:pt>
                <c:pt idx="5089">
                  <c:v>44810</c:v>
                </c:pt>
                <c:pt idx="5090">
                  <c:v>44811</c:v>
                </c:pt>
                <c:pt idx="5091">
                  <c:v>44812</c:v>
                </c:pt>
                <c:pt idx="5092">
                  <c:v>44813</c:v>
                </c:pt>
                <c:pt idx="5093">
                  <c:v>44814</c:v>
                </c:pt>
                <c:pt idx="5094">
                  <c:v>44815</c:v>
                </c:pt>
                <c:pt idx="5095">
                  <c:v>44816</c:v>
                </c:pt>
                <c:pt idx="5096">
                  <c:v>44817</c:v>
                </c:pt>
                <c:pt idx="5097">
                  <c:v>44818</c:v>
                </c:pt>
                <c:pt idx="5098">
                  <c:v>44819</c:v>
                </c:pt>
                <c:pt idx="5099">
                  <c:v>44820</c:v>
                </c:pt>
                <c:pt idx="5100">
                  <c:v>44821</c:v>
                </c:pt>
                <c:pt idx="5101">
                  <c:v>44822</c:v>
                </c:pt>
                <c:pt idx="5102">
                  <c:v>44823</c:v>
                </c:pt>
                <c:pt idx="5103">
                  <c:v>44824</c:v>
                </c:pt>
                <c:pt idx="5104">
                  <c:v>44825</c:v>
                </c:pt>
                <c:pt idx="5105">
                  <c:v>44826</c:v>
                </c:pt>
                <c:pt idx="5106">
                  <c:v>44827</c:v>
                </c:pt>
                <c:pt idx="5107">
                  <c:v>44828</c:v>
                </c:pt>
                <c:pt idx="5108">
                  <c:v>44829</c:v>
                </c:pt>
                <c:pt idx="5109">
                  <c:v>44830</c:v>
                </c:pt>
                <c:pt idx="5110">
                  <c:v>44831</c:v>
                </c:pt>
                <c:pt idx="5111">
                  <c:v>44832</c:v>
                </c:pt>
                <c:pt idx="5112">
                  <c:v>44833</c:v>
                </c:pt>
                <c:pt idx="5113">
                  <c:v>44834</c:v>
                </c:pt>
                <c:pt idx="5114">
                  <c:v>44835</c:v>
                </c:pt>
                <c:pt idx="5115">
                  <c:v>44836</c:v>
                </c:pt>
                <c:pt idx="5116">
                  <c:v>44837</c:v>
                </c:pt>
                <c:pt idx="5117">
                  <c:v>44838</c:v>
                </c:pt>
                <c:pt idx="5118">
                  <c:v>44839</c:v>
                </c:pt>
                <c:pt idx="5119">
                  <c:v>44840</c:v>
                </c:pt>
                <c:pt idx="5120">
                  <c:v>44841</c:v>
                </c:pt>
                <c:pt idx="5121">
                  <c:v>44842</c:v>
                </c:pt>
                <c:pt idx="5122">
                  <c:v>44843</c:v>
                </c:pt>
                <c:pt idx="5123">
                  <c:v>44844</c:v>
                </c:pt>
                <c:pt idx="5124">
                  <c:v>44845</c:v>
                </c:pt>
                <c:pt idx="5125">
                  <c:v>44846</c:v>
                </c:pt>
                <c:pt idx="5126">
                  <c:v>44847</c:v>
                </c:pt>
                <c:pt idx="5127">
                  <c:v>44848</c:v>
                </c:pt>
                <c:pt idx="5128">
                  <c:v>44849</c:v>
                </c:pt>
                <c:pt idx="5129">
                  <c:v>44850</c:v>
                </c:pt>
                <c:pt idx="5130">
                  <c:v>44851</c:v>
                </c:pt>
                <c:pt idx="5131">
                  <c:v>44852</c:v>
                </c:pt>
                <c:pt idx="5132">
                  <c:v>44853</c:v>
                </c:pt>
                <c:pt idx="5133">
                  <c:v>44854</c:v>
                </c:pt>
                <c:pt idx="5134">
                  <c:v>44855</c:v>
                </c:pt>
                <c:pt idx="5135">
                  <c:v>44856</c:v>
                </c:pt>
                <c:pt idx="5136">
                  <c:v>44857</c:v>
                </c:pt>
                <c:pt idx="5137">
                  <c:v>44858</c:v>
                </c:pt>
                <c:pt idx="5138">
                  <c:v>44859</c:v>
                </c:pt>
                <c:pt idx="5139">
                  <c:v>44860</c:v>
                </c:pt>
                <c:pt idx="5140">
                  <c:v>44861</c:v>
                </c:pt>
                <c:pt idx="5141">
                  <c:v>44862</c:v>
                </c:pt>
                <c:pt idx="5142">
                  <c:v>44863</c:v>
                </c:pt>
                <c:pt idx="5143">
                  <c:v>44864</c:v>
                </c:pt>
                <c:pt idx="5144">
                  <c:v>44865</c:v>
                </c:pt>
                <c:pt idx="5145">
                  <c:v>44866</c:v>
                </c:pt>
                <c:pt idx="5146">
                  <c:v>44867</c:v>
                </c:pt>
                <c:pt idx="5147">
                  <c:v>44868</c:v>
                </c:pt>
                <c:pt idx="5148">
                  <c:v>44869</c:v>
                </c:pt>
                <c:pt idx="5149">
                  <c:v>44870</c:v>
                </c:pt>
                <c:pt idx="5150">
                  <c:v>44871</c:v>
                </c:pt>
                <c:pt idx="5151">
                  <c:v>44872</c:v>
                </c:pt>
                <c:pt idx="5152">
                  <c:v>44873</c:v>
                </c:pt>
                <c:pt idx="5153">
                  <c:v>44874</c:v>
                </c:pt>
                <c:pt idx="5154">
                  <c:v>44875</c:v>
                </c:pt>
                <c:pt idx="5155">
                  <c:v>44876</c:v>
                </c:pt>
                <c:pt idx="5156">
                  <c:v>44877</c:v>
                </c:pt>
                <c:pt idx="5157">
                  <c:v>44878</c:v>
                </c:pt>
                <c:pt idx="5158">
                  <c:v>44879</c:v>
                </c:pt>
                <c:pt idx="5159">
                  <c:v>44880</c:v>
                </c:pt>
                <c:pt idx="5160">
                  <c:v>44881</c:v>
                </c:pt>
                <c:pt idx="5161">
                  <c:v>44882</c:v>
                </c:pt>
                <c:pt idx="5162">
                  <c:v>44883</c:v>
                </c:pt>
                <c:pt idx="5163">
                  <c:v>44884</c:v>
                </c:pt>
                <c:pt idx="5164">
                  <c:v>44885</c:v>
                </c:pt>
                <c:pt idx="5165">
                  <c:v>44886</c:v>
                </c:pt>
                <c:pt idx="5166">
                  <c:v>44887</c:v>
                </c:pt>
                <c:pt idx="5167">
                  <c:v>44888</c:v>
                </c:pt>
                <c:pt idx="5168">
                  <c:v>44889</c:v>
                </c:pt>
                <c:pt idx="5169">
                  <c:v>44890</c:v>
                </c:pt>
                <c:pt idx="5170">
                  <c:v>44891</c:v>
                </c:pt>
                <c:pt idx="5171">
                  <c:v>44892</c:v>
                </c:pt>
                <c:pt idx="5172">
                  <c:v>44893</c:v>
                </c:pt>
                <c:pt idx="5173">
                  <c:v>44894</c:v>
                </c:pt>
                <c:pt idx="5174">
                  <c:v>44895</c:v>
                </c:pt>
                <c:pt idx="5175">
                  <c:v>44896</c:v>
                </c:pt>
                <c:pt idx="5176">
                  <c:v>44897</c:v>
                </c:pt>
                <c:pt idx="5177">
                  <c:v>44898</c:v>
                </c:pt>
                <c:pt idx="5178">
                  <c:v>44899</c:v>
                </c:pt>
                <c:pt idx="5179">
                  <c:v>44900</c:v>
                </c:pt>
                <c:pt idx="5180">
                  <c:v>44901</c:v>
                </c:pt>
                <c:pt idx="5181">
                  <c:v>44902</c:v>
                </c:pt>
                <c:pt idx="5182">
                  <c:v>44903</c:v>
                </c:pt>
                <c:pt idx="5183">
                  <c:v>44904</c:v>
                </c:pt>
                <c:pt idx="5184">
                  <c:v>44905</c:v>
                </c:pt>
                <c:pt idx="5185">
                  <c:v>44906</c:v>
                </c:pt>
                <c:pt idx="5186">
                  <c:v>44907</c:v>
                </c:pt>
                <c:pt idx="5187">
                  <c:v>44908</c:v>
                </c:pt>
                <c:pt idx="5188">
                  <c:v>44909</c:v>
                </c:pt>
                <c:pt idx="5189">
                  <c:v>44910</c:v>
                </c:pt>
                <c:pt idx="5190">
                  <c:v>44911</c:v>
                </c:pt>
                <c:pt idx="5191">
                  <c:v>44912</c:v>
                </c:pt>
                <c:pt idx="5192">
                  <c:v>44913</c:v>
                </c:pt>
                <c:pt idx="5193">
                  <c:v>44914</c:v>
                </c:pt>
                <c:pt idx="5194">
                  <c:v>44915</c:v>
                </c:pt>
                <c:pt idx="5195">
                  <c:v>44916</c:v>
                </c:pt>
                <c:pt idx="5196">
                  <c:v>44917</c:v>
                </c:pt>
                <c:pt idx="5197">
                  <c:v>44918</c:v>
                </c:pt>
                <c:pt idx="5198">
                  <c:v>44919</c:v>
                </c:pt>
                <c:pt idx="5199">
                  <c:v>44920</c:v>
                </c:pt>
                <c:pt idx="5200">
                  <c:v>44921</c:v>
                </c:pt>
                <c:pt idx="5201">
                  <c:v>44922</c:v>
                </c:pt>
                <c:pt idx="5202">
                  <c:v>44923</c:v>
                </c:pt>
                <c:pt idx="5203">
                  <c:v>44924</c:v>
                </c:pt>
                <c:pt idx="5204">
                  <c:v>44925</c:v>
                </c:pt>
                <c:pt idx="5205">
                  <c:v>44926</c:v>
                </c:pt>
                <c:pt idx="5206">
                  <c:v>44927</c:v>
                </c:pt>
                <c:pt idx="5207">
                  <c:v>44928</c:v>
                </c:pt>
                <c:pt idx="5208">
                  <c:v>44929</c:v>
                </c:pt>
                <c:pt idx="5209">
                  <c:v>44930</c:v>
                </c:pt>
                <c:pt idx="5210">
                  <c:v>44931</c:v>
                </c:pt>
                <c:pt idx="5211">
                  <c:v>44932</c:v>
                </c:pt>
                <c:pt idx="5212">
                  <c:v>44933</c:v>
                </c:pt>
                <c:pt idx="5213">
                  <c:v>44934</c:v>
                </c:pt>
                <c:pt idx="5214">
                  <c:v>44935</c:v>
                </c:pt>
                <c:pt idx="5215">
                  <c:v>44936</c:v>
                </c:pt>
                <c:pt idx="5216">
                  <c:v>44937</c:v>
                </c:pt>
                <c:pt idx="5217">
                  <c:v>44938</c:v>
                </c:pt>
                <c:pt idx="5218">
                  <c:v>44939</c:v>
                </c:pt>
                <c:pt idx="5219">
                  <c:v>44940</c:v>
                </c:pt>
                <c:pt idx="5220">
                  <c:v>44941</c:v>
                </c:pt>
                <c:pt idx="5221">
                  <c:v>44942</c:v>
                </c:pt>
                <c:pt idx="5222">
                  <c:v>44943</c:v>
                </c:pt>
                <c:pt idx="5223">
                  <c:v>44944</c:v>
                </c:pt>
                <c:pt idx="5224">
                  <c:v>44945</c:v>
                </c:pt>
                <c:pt idx="5225">
                  <c:v>44946</c:v>
                </c:pt>
                <c:pt idx="5226">
                  <c:v>44947</c:v>
                </c:pt>
                <c:pt idx="5227">
                  <c:v>44948</c:v>
                </c:pt>
                <c:pt idx="5228">
                  <c:v>44949</c:v>
                </c:pt>
                <c:pt idx="5229">
                  <c:v>44950</c:v>
                </c:pt>
                <c:pt idx="5230">
                  <c:v>44951</c:v>
                </c:pt>
                <c:pt idx="5231">
                  <c:v>44952</c:v>
                </c:pt>
                <c:pt idx="5232">
                  <c:v>44953</c:v>
                </c:pt>
                <c:pt idx="5233">
                  <c:v>44954</c:v>
                </c:pt>
                <c:pt idx="5234">
                  <c:v>44955</c:v>
                </c:pt>
                <c:pt idx="5235">
                  <c:v>44956</c:v>
                </c:pt>
                <c:pt idx="5236">
                  <c:v>44957</c:v>
                </c:pt>
                <c:pt idx="5237">
                  <c:v>44958</c:v>
                </c:pt>
                <c:pt idx="5238">
                  <c:v>44959</c:v>
                </c:pt>
                <c:pt idx="5239">
                  <c:v>44960</c:v>
                </c:pt>
                <c:pt idx="5240">
                  <c:v>44961</c:v>
                </c:pt>
                <c:pt idx="5241">
                  <c:v>44962</c:v>
                </c:pt>
                <c:pt idx="5242">
                  <c:v>44963</c:v>
                </c:pt>
                <c:pt idx="5243">
                  <c:v>44964</c:v>
                </c:pt>
                <c:pt idx="5244">
                  <c:v>44965</c:v>
                </c:pt>
                <c:pt idx="5245">
                  <c:v>44966</c:v>
                </c:pt>
                <c:pt idx="5246">
                  <c:v>44967</c:v>
                </c:pt>
                <c:pt idx="5247">
                  <c:v>44968</c:v>
                </c:pt>
                <c:pt idx="5248">
                  <c:v>44969</c:v>
                </c:pt>
                <c:pt idx="5249">
                  <c:v>44970</c:v>
                </c:pt>
                <c:pt idx="5250">
                  <c:v>44971</c:v>
                </c:pt>
                <c:pt idx="5251">
                  <c:v>44972</c:v>
                </c:pt>
                <c:pt idx="5252">
                  <c:v>44973</c:v>
                </c:pt>
                <c:pt idx="5253">
                  <c:v>44974</c:v>
                </c:pt>
                <c:pt idx="5254">
                  <c:v>44975</c:v>
                </c:pt>
                <c:pt idx="5255">
                  <c:v>44976</c:v>
                </c:pt>
                <c:pt idx="5256">
                  <c:v>44977</c:v>
                </c:pt>
                <c:pt idx="5257">
                  <c:v>44978</c:v>
                </c:pt>
                <c:pt idx="5258">
                  <c:v>44979</c:v>
                </c:pt>
                <c:pt idx="5259">
                  <c:v>44980</c:v>
                </c:pt>
                <c:pt idx="5260">
                  <c:v>44981</c:v>
                </c:pt>
                <c:pt idx="5261">
                  <c:v>44982</c:v>
                </c:pt>
                <c:pt idx="5262">
                  <c:v>44983</c:v>
                </c:pt>
                <c:pt idx="5263">
                  <c:v>44984</c:v>
                </c:pt>
                <c:pt idx="5264">
                  <c:v>44985</c:v>
                </c:pt>
                <c:pt idx="5265">
                  <c:v>44986</c:v>
                </c:pt>
                <c:pt idx="5266">
                  <c:v>44987</c:v>
                </c:pt>
                <c:pt idx="5267">
                  <c:v>44988</c:v>
                </c:pt>
                <c:pt idx="5268">
                  <c:v>44989</c:v>
                </c:pt>
                <c:pt idx="5269">
                  <c:v>44990</c:v>
                </c:pt>
                <c:pt idx="5270">
                  <c:v>44991</c:v>
                </c:pt>
                <c:pt idx="5271">
                  <c:v>44992</c:v>
                </c:pt>
                <c:pt idx="5272">
                  <c:v>44993</c:v>
                </c:pt>
                <c:pt idx="5273">
                  <c:v>44994</c:v>
                </c:pt>
                <c:pt idx="5274">
                  <c:v>44995</c:v>
                </c:pt>
                <c:pt idx="5275">
                  <c:v>44996</c:v>
                </c:pt>
                <c:pt idx="5276">
                  <c:v>44997</c:v>
                </c:pt>
                <c:pt idx="5277">
                  <c:v>44998</c:v>
                </c:pt>
                <c:pt idx="5278">
                  <c:v>44999</c:v>
                </c:pt>
                <c:pt idx="5279">
                  <c:v>45000</c:v>
                </c:pt>
                <c:pt idx="5280">
                  <c:v>45001</c:v>
                </c:pt>
                <c:pt idx="5281">
                  <c:v>45002</c:v>
                </c:pt>
                <c:pt idx="5282">
                  <c:v>45003</c:v>
                </c:pt>
                <c:pt idx="5283">
                  <c:v>45004</c:v>
                </c:pt>
                <c:pt idx="5284">
                  <c:v>45005</c:v>
                </c:pt>
                <c:pt idx="5285">
                  <c:v>45006</c:v>
                </c:pt>
                <c:pt idx="5286">
                  <c:v>45007</c:v>
                </c:pt>
                <c:pt idx="5287">
                  <c:v>45008</c:v>
                </c:pt>
                <c:pt idx="5288">
                  <c:v>45009</c:v>
                </c:pt>
                <c:pt idx="5289">
                  <c:v>45010</c:v>
                </c:pt>
                <c:pt idx="5290">
                  <c:v>45011</c:v>
                </c:pt>
                <c:pt idx="5291">
                  <c:v>45012</c:v>
                </c:pt>
                <c:pt idx="5292">
                  <c:v>45013</c:v>
                </c:pt>
                <c:pt idx="5293">
                  <c:v>45014</c:v>
                </c:pt>
                <c:pt idx="5294">
                  <c:v>45015</c:v>
                </c:pt>
                <c:pt idx="5295">
                  <c:v>45016</c:v>
                </c:pt>
                <c:pt idx="5296">
                  <c:v>45017</c:v>
                </c:pt>
                <c:pt idx="5297">
                  <c:v>45018</c:v>
                </c:pt>
                <c:pt idx="5298">
                  <c:v>45019</c:v>
                </c:pt>
                <c:pt idx="5299">
                  <c:v>45020</c:v>
                </c:pt>
                <c:pt idx="5300">
                  <c:v>45021</c:v>
                </c:pt>
                <c:pt idx="5301">
                  <c:v>45022</c:v>
                </c:pt>
                <c:pt idx="5302">
                  <c:v>45023</c:v>
                </c:pt>
                <c:pt idx="5303">
                  <c:v>45024</c:v>
                </c:pt>
                <c:pt idx="5304">
                  <c:v>45025</c:v>
                </c:pt>
                <c:pt idx="5305">
                  <c:v>45026</c:v>
                </c:pt>
                <c:pt idx="5306">
                  <c:v>45027</c:v>
                </c:pt>
                <c:pt idx="5307">
                  <c:v>45028</c:v>
                </c:pt>
                <c:pt idx="5308">
                  <c:v>45029</c:v>
                </c:pt>
                <c:pt idx="5309">
                  <c:v>45030</c:v>
                </c:pt>
                <c:pt idx="5310">
                  <c:v>45031</c:v>
                </c:pt>
                <c:pt idx="5311">
                  <c:v>45032</c:v>
                </c:pt>
                <c:pt idx="5312">
                  <c:v>45033</c:v>
                </c:pt>
                <c:pt idx="5313">
                  <c:v>45034</c:v>
                </c:pt>
                <c:pt idx="5314">
                  <c:v>45035</c:v>
                </c:pt>
                <c:pt idx="5315">
                  <c:v>45036</c:v>
                </c:pt>
                <c:pt idx="5316">
                  <c:v>45037</c:v>
                </c:pt>
                <c:pt idx="5317">
                  <c:v>45038</c:v>
                </c:pt>
                <c:pt idx="5318">
                  <c:v>45039</c:v>
                </c:pt>
                <c:pt idx="5319">
                  <c:v>45040</c:v>
                </c:pt>
                <c:pt idx="5320">
                  <c:v>45041</c:v>
                </c:pt>
                <c:pt idx="5321">
                  <c:v>45042</c:v>
                </c:pt>
                <c:pt idx="5322">
                  <c:v>45043</c:v>
                </c:pt>
                <c:pt idx="5323">
                  <c:v>45044</c:v>
                </c:pt>
                <c:pt idx="5324">
                  <c:v>45045</c:v>
                </c:pt>
                <c:pt idx="5325">
                  <c:v>45046</c:v>
                </c:pt>
                <c:pt idx="5326">
                  <c:v>45047</c:v>
                </c:pt>
                <c:pt idx="5327">
                  <c:v>45048</c:v>
                </c:pt>
                <c:pt idx="5328">
                  <c:v>45049</c:v>
                </c:pt>
                <c:pt idx="5329">
                  <c:v>45050</c:v>
                </c:pt>
                <c:pt idx="5330">
                  <c:v>45051</c:v>
                </c:pt>
                <c:pt idx="5331">
                  <c:v>45052</c:v>
                </c:pt>
                <c:pt idx="5332">
                  <c:v>45053</c:v>
                </c:pt>
                <c:pt idx="5333">
                  <c:v>45054</c:v>
                </c:pt>
                <c:pt idx="5334">
                  <c:v>45055</c:v>
                </c:pt>
                <c:pt idx="5335">
                  <c:v>45056</c:v>
                </c:pt>
                <c:pt idx="5336">
                  <c:v>45057</c:v>
                </c:pt>
                <c:pt idx="5337">
                  <c:v>45058</c:v>
                </c:pt>
                <c:pt idx="5338">
                  <c:v>45059</c:v>
                </c:pt>
                <c:pt idx="5339">
                  <c:v>45060</c:v>
                </c:pt>
                <c:pt idx="5340">
                  <c:v>45061</c:v>
                </c:pt>
                <c:pt idx="5341">
                  <c:v>45062</c:v>
                </c:pt>
                <c:pt idx="5342">
                  <c:v>45063</c:v>
                </c:pt>
                <c:pt idx="5343">
                  <c:v>45064</c:v>
                </c:pt>
                <c:pt idx="5344">
                  <c:v>45065</c:v>
                </c:pt>
                <c:pt idx="5345">
                  <c:v>45066</c:v>
                </c:pt>
                <c:pt idx="5346">
                  <c:v>45067</c:v>
                </c:pt>
                <c:pt idx="5347">
                  <c:v>45068</c:v>
                </c:pt>
                <c:pt idx="5348">
                  <c:v>45069</c:v>
                </c:pt>
                <c:pt idx="5349">
                  <c:v>45070</c:v>
                </c:pt>
                <c:pt idx="5350">
                  <c:v>45071</c:v>
                </c:pt>
                <c:pt idx="5351">
                  <c:v>45072</c:v>
                </c:pt>
                <c:pt idx="5352">
                  <c:v>45073</c:v>
                </c:pt>
                <c:pt idx="5353">
                  <c:v>45074</c:v>
                </c:pt>
                <c:pt idx="5354">
                  <c:v>45075</c:v>
                </c:pt>
                <c:pt idx="5355">
                  <c:v>45076</c:v>
                </c:pt>
                <c:pt idx="5356">
                  <c:v>45077</c:v>
                </c:pt>
                <c:pt idx="5357">
                  <c:v>45078</c:v>
                </c:pt>
                <c:pt idx="5358">
                  <c:v>45079</c:v>
                </c:pt>
                <c:pt idx="5359">
                  <c:v>45080</c:v>
                </c:pt>
                <c:pt idx="5360">
                  <c:v>45081</c:v>
                </c:pt>
                <c:pt idx="5361">
                  <c:v>45082</c:v>
                </c:pt>
                <c:pt idx="5362">
                  <c:v>45083</c:v>
                </c:pt>
                <c:pt idx="5363">
                  <c:v>45084</c:v>
                </c:pt>
                <c:pt idx="5364">
                  <c:v>45085</c:v>
                </c:pt>
                <c:pt idx="5365">
                  <c:v>45086</c:v>
                </c:pt>
                <c:pt idx="5366">
                  <c:v>45087</c:v>
                </c:pt>
                <c:pt idx="5367">
                  <c:v>45088</c:v>
                </c:pt>
                <c:pt idx="5368">
                  <c:v>45089</c:v>
                </c:pt>
                <c:pt idx="5369">
                  <c:v>45090</c:v>
                </c:pt>
                <c:pt idx="5370">
                  <c:v>45091</c:v>
                </c:pt>
                <c:pt idx="5371">
                  <c:v>45092</c:v>
                </c:pt>
                <c:pt idx="5372">
                  <c:v>45093</c:v>
                </c:pt>
                <c:pt idx="5373">
                  <c:v>45094</c:v>
                </c:pt>
                <c:pt idx="5374">
                  <c:v>45095</c:v>
                </c:pt>
                <c:pt idx="5375">
                  <c:v>45096</c:v>
                </c:pt>
                <c:pt idx="5376">
                  <c:v>45097</c:v>
                </c:pt>
                <c:pt idx="5377">
                  <c:v>45098</c:v>
                </c:pt>
                <c:pt idx="5378">
                  <c:v>45099</c:v>
                </c:pt>
                <c:pt idx="5379">
                  <c:v>45100</c:v>
                </c:pt>
                <c:pt idx="5380">
                  <c:v>45101</c:v>
                </c:pt>
                <c:pt idx="5381">
                  <c:v>45102</c:v>
                </c:pt>
                <c:pt idx="5382">
                  <c:v>45103</c:v>
                </c:pt>
                <c:pt idx="5383">
                  <c:v>45104</c:v>
                </c:pt>
                <c:pt idx="5384">
                  <c:v>45105</c:v>
                </c:pt>
                <c:pt idx="5385">
                  <c:v>45106</c:v>
                </c:pt>
                <c:pt idx="5386">
                  <c:v>45107</c:v>
                </c:pt>
                <c:pt idx="5387">
                  <c:v>45108</c:v>
                </c:pt>
                <c:pt idx="5388">
                  <c:v>45109</c:v>
                </c:pt>
                <c:pt idx="5389">
                  <c:v>45110</c:v>
                </c:pt>
                <c:pt idx="5390">
                  <c:v>45111</c:v>
                </c:pt>
                <c:pt idx="5391">
                  <c:v>45112</c:v>
                </c:pt>
                <c:pt idx="5392">
                  <c:v>45113</c:v>
                </c:pt>
                <c:pt idx="5393">
                  <c:v>45114</c:v>
                </c:pt>
                <c:pt idx="5394">
                  <c:v>45115</c:v>
                </c:pt>
                <c:pt idx="5395">
                  <c:v>45116</c:v>
                </c:pt>
                <c:pt idx="5396">
                  <c:v>45117</c:v>
                </c:pt>
                <c:pt idx="5397">
                  <c:v>45118</c:v>
                </c:pt>
                <c:pt idx="5398">
                  <c:v>45119</c:v>
                </c:pt>
                <c:pt idx="5399">
                  <c:v>45120</c:v>
                </c:pt>
                <c:pt idx="5400">
                  <c:v>45121</c:v>
                </c:pt>
                <c:pt idx="5401">
                  <c:v>45122</c:v>
                </c:pt>
                <c:pt idx="5402">
                  <c:v>45123</c:v>
                </c:pt>
                <c:pt idx="5403">
                  <c:v>45124</c:v>
                </c:pt>
                <c:pt idx="5404">
                  <c:v>45125</c:v>
                </c:pt>
                <c:pt idx="5405">
                  <c:v>45126</c:v>
                </c:pt>
                <c:pt idx="5406">
                  <c:v>45127</c:v>
                </c:pt>
                <c:pt idx="5407">
                  <c:v>45128</c:v>
                </c:pt>
                <c:pt idx="5408">
                  <c:v>45129</c:v>
                </c:pt>
                <c:pt idx="5409">
                  <c:v>45130</c:v>
                </c:pt>
                <c:pt idx="5410">
                  <c:v>45131</c:v>
                </c:pt>
                <c:pt idx="5411">
                  <c:v>45132</c:v>
                </c:pt>
                <c:pt idx="5412">
                  <c:v>45133</c:v>
                </c:pt>
                <c:pt idx="5413">
                  <c:v>45134</c:v>
                </c:pt>
                <c:pt idx="5414">
                  <c:v>45135</c:v>
                </c:pt>
                <c:pt idx="5415">
                  <c:v>45136</c:v>
                </c:pt>
                <c:pt idx="5416">
                  <c:v>45137</c:v>
                </c:pt>
                <c:pt idx="5417">
                  <c:v>45138</c:v>
                </c:pt>
                <c:pt idx="5418">
                  <c:v>45139</c:v>
                </c:pt>
                <c:pt idx="5419">
                  <c:v>45140</c:v>
                </c:pt>
                <c:pt idx="5420">
                  <c:v>45141</c:v>
                </c:pt>
                <c:pt idx="5421">
                  <c:v>45142</c:v>
                </c:pt>
                <c:pt idx="5422">
                  <c:v>45143</c:v>
                </c:pt>
                <c:pt idx="5423">
                  <c:v>45144</c:v>
                </c:pt>
                <c:pt idx="5424">
                  <c:v>45145</c:v>
                </c:pt>
                <c:pt idx="5425">
                  <c:v>45146</c:v>
                </c:pt>
                <c:pt idx="5426">
                  <c:v>45147</c:v>
                </c:pt>
                <c:pt idx="5427">
                  <c:v>45148</c:v>
                </c:pt>
                <c:pt idx="5428">
                  <c:v>45149</c:v>
                </c:pt>
                <c:pt idx="5429">
                  <c:v>45150</c:v>
                </c:pt>
                <c:pt idx="5430">
                  <c:v>45151</c:v>
                </c:pt>
                <c:pt idx="5431">
                  <c:v>45152</c:v>
                </c:pt>
                <c:pt idx="5432">
                  <c:v>45153</c:v>
                </c:pt>
                <c:pt idx="5433">
                  <c:v>45154</c:v>
                </c:pt>
                <c:pt idx="5434">
                  <c:v>45155</c:v>
                </c:pt>
                <c:pt idx="5435">
                  <c:v>45156</c:v>
                </c:pt>
                <c:pt idx="5436">
                  <c:v>45157</c:v>
                </c:pt>
                <c:pt idx="5437">
                  <c:v>45158</c:v>
                </c:pt>
                <c:pt idx="5438">
                  <c:v>45159</c:v>
                </c:pt>
                <c:pt idx="5439">
                  <c:v>45160</c:v>
                </c:pt>
                <c:pt idx="5440">
                  <c:v>45161</c:v>
                </c:pt>
                <c:pt idx="5441">
                  <c:v>45162</c:v>
                </c:pt>
                <c:pt idx="5442">
                  <c:v>45163</c:v>
                </c:pt>
                <c:pt idx="5443">
                  <c:v>45164</c:v>
                </c:pt>
                <c:pt idx="5444">
                  <c:v>45165</c:v>
                </c:pt>
                <c:pt idx="5445">
                  <c:v>45166</c:v>
                </c:pt>
                <c:pt idx="5446">
                  <c:v>45167</c:v>
                </c:pt>
                <c:pt idx="5447">
                  <c:v>45168</c:v>
                </c:pt>
                <c:pt idx="5448">
                  <c:v>45169</c:v>
                </c:pt>
                <c:pt idx="5449">
                  <c:v>45170</c:v>
                </c:pt>
                <c:pt idx="5450">
                  <c:v>45171</c:v>
                </c:pt>
                <c:pt idx="5451">
                  <c:v>45172</c:v>
                </c:pt>
                <c:pt idx="5452">
                  <c:v>45173</c:v>
                </c:pt>
                <c:pt idx="5453">
                  <c:v>45174</c:v>
                </c:pt>
                <c:pt idx="5454">
                  <c:v>45175</c:v>
                </c:pt>
                <c:pt idx="5455">
                  <c:v>45176</c:v>
                </c:pt>
                <c:pt idx="5456">
                  <c:v>45177</c:v>
                </c:pt>
                <c:pt idx="5457">
                  <c:v>45178</c:v>
                </c:pt>
                <c:pt idx="5458">
                  <c:v>45179</c:v>
                </c:pt>
                <c:pt idx="5459">
                  <c:v>45180</c:v>
                </c:pt>
                <c:pt idx="5460">
                  <c:v>45181</c:v>
                </c:pt>
                <c:pt idx="5461">
                  <c:v>45182</c:v>
                </c:pt>
                <c:pt idx="5462">
                  <c:v>45183</c:v>
                </c:pt>
                <c:pt idx="5463">
                  <c:v>45184</c:v>
                </c:pt>
                <c:pt idx="5464">
                  <c:v>45185</c:v>
                </c:pt>
                <c:pt idx="5465">
                  <c:v>45186</c:v>
                </c:pt>
                <c:pt idx="5466">
                  <c:v>45187</c:v>
                </c:pt>
                <c:pt idx="5467">
                  <c:v>45188</c:v>
                </c:pt>
                <c:pt idx="5468">
                  <c:v>45189</c:v>
                </c:pt>
                <c:pt idx="5469">
                  <c:v>45190</c:v>
                </c:pt>
                <c:pt idx="5470">
                  <c:v>45191</c:v>
                </c:pt>
                <c:pt idx="5471">
                  <c:v>45192</c:v>
                </c:pt>
                <c:pt idx="5472">
                  <c:v>45193</c:v>
                </c:pt>
                <c:pt idx="5473">
                  <c:v>45194</c:v>
                </c:pt>
                <c:pt idx="5474">
                  <c:v>45195</c:v>
                </c:pt>
                <c:pt idx="5475">
                  <c:v>45196</c:v>
                </c:pt>
                <c:pt idx="5476">
                  <c:v>45197</c:v>
                </c:pt>
                <c:pt idx="5477">
                  <c:v>45198</c:v>
                </c:pt>
                <c:pt idx="5478">
                  <c:v>45199</c:v>
                </c:pt>
                <c:pt idx="5479">
                  <c:v>45200</c:v>
                </c:pt>
                <c:pt idx="5480">
                  <c:v>45201</c:v>
                </c:pt>
                <c:pt idx="5481">
                  <c:v>45202</c:v>
                </c:pt>
                <c:pt idx="5482">
                  <c:v>45203</c:v>
                </c:pt>
                <c:pt idx="5483">
                  <c:v>45204</c:v>
                </c:pt>
                <c:pt idx="5484">
                  <c:v>45205</c:v>
                </c:pt>
                <c:pt idx="5485">
                  <c:v>45206</c:v>
                </c:pt>
                <c:pt idx="5486">
                  <c:v>45207</c:v>
                </c:pt>
                <c:pt idx="5487">
                  <c:v>45208</c:v>
                </c:pt>
                <c:pt idx="5488">
                  <c:v>45209</c:v>
                </c:pt>
                <c:pt idx="5489">
                  <c:v>45210</c:v>
                </c:pt>
                <c:pt idx="5490">
                  <c:v>45211</c:v>
                </c:pt>
                <c:pt idx="5491">
                  <c:v>45212</c:v>
                </c:pt>
                <c:pt idx="5492">
                  <c:v>45213</c:v>
                </c:pt>
                <c:pt idx="5493">
                  <c:v>45214</c:v>
                </c:pt>
                <c:pt idx="5494">
                  <c:v>45215</c:v>
                </c:pt>
                <c:pt idx="5495">
                  <c:v>45216</c:v>
                </c:pt>
                <c:pt idx="5496">
                  <c:v>45217</c:v>
                </c:pt>
                <c:pt idx="5497">
                  <c:v>45218</c:v>
                </c:pt>
                <c:pt idx="5498">
                  <c:v>45219</c:v>
                </c:pt>
                <c:pt idx="5499">
                  <c:v>45220</c:v>
                </c:pt>
                <c:pt idx="5500">
                  <c:v>45221</c:v>
                </c:pt>
                <c:pt idx="5501">
                  <c:v>45222</c:v>
                </c:pt>
                <c:pt idx="5502">
                  <c:v>45223</c:v>
                </c:pt>
                <c:pt idx="5503">
                  <c:v>45224</c:v>
                </c:pt>
                <c:pt idx="5504">
                  <c:v>45225</c:v>
                </c:pt>
                <c:pt idx="5505">
                  <c:v>45226</c:v>
                </c:pt>
                <c:pt idx="5506">
                  <c:v>45227</c:v>
                </c:pt>
                <c:pt idx="5507">
                  <c:v>45228</c:v>
                </c:pt>
                <c:pt idx="5508">
                  <c:v>45229</c:v>
                </c:pt>
                <c:pt idx="5509">
                  <c:v>45230</c:v>
                </c:pt>
                <c:pt idx="5510">
                  <c:v>45231</c:v>
                </c:pt>
                <c:pt idx="5511">
                  <c:v>45232</c:v>
                </c:pt>
                <c:pt idx="5512">
                  <c:v>45233</c:v>
                </c:pt>
                <c:pt idx="5513">
                  <c:v>45234</c:v>
                </c:pt>
                <c:pt idx="5514">
                  <c:v>45235</c:v>
                </c:pt>
                <c:pt idx="5515">
                  <c:v>45236</c:v>
                </c:pt>
                <c:pt idx="5516">
                  <c:v>45237</c:v>
                </c:pt>
                <c:pt idx="5517">
                  <c:v>45238</c:v>
                </c:pt>
                <c:pt idx="5518">
                  <c:v>45239</c:v>
                </c:pt>
                <c:pt idx="5519">
                  <c:v>45240</c:v>
                </c:pt>
                <c:pt idx="5520">
                  <c:v>45241</c:v>
                </c:pt>
                <c:pt idx="5521">
                  <c:v>45242</c:v>
                </c:pt>
                <c:pt idx="5522">
                  <c:v>45243</c:v>
                </c:pt>
                <c:pt idx="5523">
                  <c:v>45244</c:v>
                </c:pt>
                <c:pt idx="5524">
                  <c:v>45245</c:v>
                </c:pt>
                <c:pt idx="5525">
                  <c:v>45246</c:v>
                </c:pt>
                <c:pt idx="5526">
                  <c:v>45247</c:v>
                </c:pt>
                <c:pt idx="5527">
                  <c:v>45248</c:v>
                </c:pt>
                <c:pt idx="5528">
                  <c:v>45249</c:v>
                </c:pt>
                <c:pt idx="5529">
                  <c:v>45250</c:v>
                </c:pt>
                <c:pt idx="5530">
                  <c:v>45251</c:v>
                </c:pt>
                <c:pt idx="5531">
                  <c:v>45252</c:v>
                </c:pt>
                <c:pt idx="5532">
                  <c:v>45253</c:v>
                </c:pt>
                <c:pt idx="5533">
                  <c:v>45254</c:v>
                </c:pt>
                <c:pt idx="5534">
                  <c:v>45255</c:v>
                </c:pt>
                <c:pt idx="5535">
                  <c:v>45256</c:v>
                </c:pt>
                <c:pt idx="5536">
                  <c:v>45257</c:v>
                </c:pt>
                <c:pt idx="5537">
                  <c:v>45258</c:v>
                </c:pt>
                <c:pt idx="5538">
                  <c:v>45259</c:v>
                </c:pt>
                <c:pt idx="5539">
                  <c:v>45260</c:v>
                </c:pt>
                <c:pt idx="5540">
                  <c:v>45261</c:v>
                </c:pt>
                <c:pt idx="5541">
                  <c:v>45262</c:v>
                </c:pt>
                <c:pt idx="5542">
                  <c:v>45263</c:v>
                </c:pt>
                <c:pt idx="5543">
                  <c:v>45264</c:v>
                </c:pt>
                <c:pt idx="5544">
                  <c:v>45265</c:v>
                </c:pt>
                <c:pt idx="5545">
                  <c:v>45266</c:v>
                </c:pt>
                <c:pt idx="5546">
                  <c:v>45267</c:v>
                </c:pt>
                <c:pt idx="5547">
                  <c:v>45268</c:v>
                </c:pt>
                <c:pt idx="5548">
                  <c:v>45269</c:v>
                </c:pt>
                <c:pt idx="5549">
                  <c:v>45270</c:v>
                </c:pt>
                <c:pt idx="5550">
                  <c:v>45271</c:v>
                </c:pt>
                <c:pt idx="5551">
                  <c:v>45272</c:v>
                </c:pt>
                <c:pt idx="5552">
                  <c:v>45273</c:v>
                </c:pt>
                <c:pt idx="5553">
                  <c:v>45274</c:v>
                </c:pt>
                <c:pt idx="5554">
                  <c:v>45275</c:v>
                </c:pt>
                <c:pt idx="5555">
                  <c:v>45276</c:v>
                </c:pt>
                <c:pt idx="5556">
                  <c:v>45277</c:v>
                </c:pt>
                <c:pt idx="5557">
                  <c:v>45278</c:v>
                </c:pt>
                <c:pt idx="5558">
                  <c:v>45279</c:v>
                </c:pt>
                <c:pt idx="5559">
                  <c:v>45280</c:v>
                </c:pt>
                <c:pt idx="5560">
                  <c:v>45281</c:v>
                </c:pt>
                <c:pt idx="5561">
                  <c:v>45282</c:v>
                </c:pt>
                <c:pt idx="5562">
                  <c:v>45283</c:v>
                </c:pt>
                <c:pt idx="5563">
                  <c:v>45284</c:v>
                </c:pt>
                <c:pt idx="5564">
                  <c:v>45285</c:v>
                </c:pt>
                <c:pt idx="5565">
                  <c:v>45286</c:v>
                </c:pt>
                <c:pt idx="5566">
                  <c:v>45287</c:v>
                </c:pt>
                <c:pt idx="5567">
                  <c:v>45288</c:v>
                </c:pt>
                <c:pt idx="5568">
                  <c:v>45289</c:v>
                </c:pt>
                <c:pt idx="5569">
                  <c:v>45290</c:v>
                </c:pt>
                <c:pt idx="5570">
                  <c:v>45291</c:v>
                </c:pt>
                <c:pt idx="5571">
                  <c:v>45292</c:v>
                </c:pt>
                <c:pt idx="5572">
                  <c:v>45293</c:v>
                </c:pt>
                <c:pt idx="5573">
                  <c:v>45294</c:v>
                </c:pt>
                <c:pt idx="5574">
                  <c:v>45295</c:v>
                </c:pt>
                <c:pt idx="5575">
                  <c:v>45296</c:v>
                </c:pt>
                <c:pt idx="5576">
                  <c:v>45297</c:v>
                </c:pt>
                <c:pt idx="5577">
                  <c:v>45298</c:v>
                </c:pt>
                <c:pt idx="5578">
                  <c:v>45299</c:v>
                </c:pt>
                <c:pt idx="5579">
                  <c:v>45300</c:v>
                </c:pt>
                <c:pt idx="5580">
                  <c:v>45301</c:v>
                </c:pt>
                <c:pt idx="5581">
                  <c:v>45302</c:v>
                </c:pt>
              </c:numCache>
            </c:numRef>
          </c:cat>
          <c:val>
            <c:numRef>
              <c:f>Data!$C$4:$C$6305</c:f>
              <c:numCache>
                <c:formatCode>0.000</c:formatCode>
                <c:ptCount val="6302"/>
                <c:pt idx="0">
                  <c:v>1.4944325433116403</c:v>
                </c:pt>
                <c:pt idx="1">
                  <c:v>1.5955200405831542</c:v>
                </c:pt>
                <c:pt idx="2">
                  <c:v>1.7031407658238393</c:v>
                </c:pt>
                <c:pt idx="3">
                  <c:v>1.8180207044913246</c:v>
                </c:pt>
                <c:pt idx="4">
                  <c:v>1.9406495037187073</c:v>
                </c:pt>
                <c:pt idx="5">
                  <c:v>2.0719203344364381</c:v>
                </c:pt>
                <c:pt idx="6">
                  <c:v>2.2116751249506792</c:v>
                </c:pt>
                <c:pt idx="7">
                  <c:v>2.3608566299708094</c:v>
                </c:pt>
                <c:pt idx="8">
                  <c:v>2.4380891854140452</c:v>
                </c:pt>
                <c:pt idx="9">
                  <c:v>2.4385252371000927</c:v>
                </c:pt>
                <c:pt idx="10">
                  <c:v>2.5201006985153036</c:v>
                </c:pt>
                <c:pt idx="11">
                  <c:v>2.6905671900443102</c:v>
                </c:pt>
                <c:pt idx="12">
                  <c:v>2.8720508348348375</c:v>
                </c:pt>
                <c:pt idx="13">
                  <c:v>3.0657758811589617</c:v>
                </c:pt>
                <c:pt idx="14">
                  <c:v>3.2725680337884797</c:v>
                </c:pt>
                <c:pt idx="15">
                  <c:v>3.4939334702325726</c:v>
                </c:pt>
                <c:pt idx="16">
                  <c:v>3.7296056300580922</c:v>
                </c:pt>
                <c:pt idx="17">
                  <c:v>3.981174305197948</c:v>
                </c:pt>
                <c:pt idx="18">
                  <c:v>4.2497117444885149</c:v>
                </c:pt>
                <c:pt idx="19">
                  <c:v>4.5371738492843159</c:v>
                </c:pt>
                <c:pt idx="20">
                  <c:v>4.8432144678807321</c:v>
                </c:pt>
                <c:pt idx="21">
                  <c:v>5.1698980821705245</c:v>
                </c:pt>
                <c:pt idx="22">
                  <c:v>5.5186170997143336</c:v>
                </c:pt>
                <c:pt idx="23">
                  <c:v>5.8919114270539188</c:v>
                </c:pt>
                <c:pt idx="24">
                  <c:v>6.2893315563565029</c:v>
                </c:pt>
                <c:pt idx="25">
                  <c:v>6.7135583953542906</c:v>
                </c:pt>
                <c:pt idx="26">
                  <c:v>7.1664001053146622</c:v>
                </c:pt>
                <c:pt idx="27">
                  <c:v>7.3231629975992725</c:v>
                </c:pt>
                <c:pt idx="28">
                  <c:v>7.6511549738664666</c:v>
                </c:pt>
                <c:pt idx="29">
                  <c:v>8.1672392763334081</c:v>
                </c:pt>
                <c:pt idx="30">
                  <c:v>8.7181344025468945</c:v>
                </c:pt>
                <c:pt idx="31">
                  <c:v>9.3061884058077613</c:v>
                </c:pt>
                <c:pt idx="32">
                  <c:v>9.9356843969721549</c:v>
                </c:pt>
                <c:pt idx="33">
                  <c:v>10.605864359220629</c:v>
                </c:pt>
                <c:pt idx="34">
                  <c:v>11.321249177405974</c:v>
                </c:pt>
                <c:pt idx="35">
                  <c:v>12.084888001182588</c:v>
                </c:pt>
                <c:pt idx="36">
                  <c:v>12.902342819276278</c:v>
                </c:pt>
                <c:pt idx="37">
                  <c:v>13.770166490405597</c:v>
                </c:pt>
                <c:pt idx="38">
                  <c:v>13.846718187026033</c:v>
                </c:pt>
                <c:pt idx="39">
                  <c:v>13.916227375469701</c:v>
                </c:pt>
                <c:pt idx="40">
                  <c:v>13.993591059989436</c:v>
                </c:pt>
                <c:pt idx="41">
                  <c:v>14.068868614109729</c:v>
                </c:pt>
                <c:pt idx="42">
                  <c:v>14.147080868310908</c:v>
                </c:pt>
                <c:pt idx="43">
                  <c:v>14.223184110226653</c:v>
                </c:pt>
                <c:pt idx="44">
                  <c:v>14.302254241712818</c:v>
                </c:pt>
                <c:pt idx="45">
                  <c:v>14.38176394324495</c:v>
                </c:pt>
                <c:pt idx="46">
                  <c:v>14.459129646511668</c:v>
                </c:pt>
                <c:pt idx="47">
                  <c:v>14.539511456482273</c:v>
                </c:pt>
                <c:pt idx="48">
                  <c:v>14.617725751573207</c:v>
                </c:pt>
                <c:pt idx="49">
                  <c:v>14.698989235772547</c:v>
                </c:pt>
                <c:pt idx="50">
                  <c:v>14.780704483397761</c:v>
                </c:pt>
                <c:pt idx="51">
                  <c:v>14.854902192875896</c:v>
                </c:pt>
                <c:pt idx="52">
                  <c:v>14.937484198459321</c:v>
                </c:pt>
                <c:pt idx="53">
                  <c:v>15.01783936035808</c:v>
                </c:pt>
                <c:pt idx="54">
                  <c:v>15.101327173189514</c:v>
                </c:pt>
                <c:pt idx="55">
                  <c:v>15.182563717025522</c:v>
                </c:pt>
                <c:pt idx="56">
                  <c:v>15.266967272523271</c:v>
                </c:pt>
                <c:pt idx="57">
                  <c:v>15.351840047865146</c:v>
                </c:pt>
                <c:pt idx="58">
                  <c:v>15.434424208363691</c:v>
                </c:pt>
                <c:pt idx="59">
                  <c:v>15.520227917442524</c:v>
                </c:pt>
                <c:pt idx="60">
                  <c:v>15.603717908825439</c:v>
                </c:pt>
                <c:pt idx="61">
                  <c:v>15.690462762661413</c:v>
                </c:pt>
                <c:pt idx="62">
                  <c:v>15.777689852187056</c:v>
                </c:pt>
                <c:pt idx="63">
                  <c:v>15.8597283334813</c:v>
                </c:pt>
                <c:pt idx="64">
                  <c:v>15.947896411384576</c:v>
                </c:pt>
                <c:pt idx="65">
                  <c:v>16.033687015816735</c:v>
                </c:pt>
                <c:pt idx="66">
                  <c:v>16.122822172243275</c:v>
                </c:pt>
                <c:pt idx="67">
                  <c:v>16.209553777693216</c:v>
                </c:pt>
                <c:pt idx="68">
                  <c:v>16.29966662012016</c:v>
                </c:pt>
                <c:pt idx="69">
                  <c:v>16.390280421702528</c:v>
                </c:pt>
                <c:pt idx="70">
                  <c:v>16.47845080028528</c:v>
                </c:pt>
                <c:pt idx="71">
                  <c:v>16.570058506504168</c:v>
                </c:pt>
                <c:pt idx="72">
                  <c:v>16.659195988845365</c:v>
                </c:pt>
                <c:pt idx="73">
                  <c:v>16.751808501422261</c:v>
                </c:pt>
                <c:pt idx="74">
                  <c:v>16.844935869427431</c:v>
                </c:pt>
                <c:pt idx="75">
                  <c:v>16.929495821168675</c:v>
                </c:pt>
                <c:pt idx="76">
                  <c:v>17.023610996097172</c:v>
                </c:pt>
                <c:pt idx="77">
                  <c:v>17.115188332649865</c:v>
                </c:pt>
                <c:pt idx="78">
                  <c:v>17.21033581730488</c:v>
                </c:pt>
                <c:pt idx="79">
                  <c:v>17.30291762710349</c:v>
                </c:pt>
                <c:pt idx="80">
                  <c:v>17.399108744455724</c:v>
                </c:pt>
                <c:pt idx="81">
                  <c:v>17.49583461156849</c:v>
                </c:pt>
                <c:pt idx="82">
                  <c:v>17.589952242361473</c:v>
                </c:pt>
                <c:pt idx="83">
                  <c:v>17.687739054784078</c:v>
                </c:pt>
                <c:pt idx="84">
                  <c:v>17.782889022240894</c:v>
                </c:pt>
                <c:pt idx="85">
                  <c:v>17.88174841703572</c:v>
                </c:pt>
                <c:pt idx="86">
                  <c:v>17.981157395192803</c:v>
                </c:pt>
                <c:pt idx="87">
                  <c:v>18.07142106929491</c:v>
                </c:pt>
                <c:pt idx="88">
                  <c:v>18.171884483746787</c:v>
                </c:pt>
                <c:pt idx="89">
                  <c:v>18.269638878014042</c:v>
                </c:pt>
                <c:pt idx="90">
                  <c:v>18.37120423335881</c:v>
                </c:pt>
                <c:pt idx="91">
                  <c:v>18.470030854417207</c:v>
                </c:pt>
                <c:pt idx="92">
                  <c:v>18.572710237380559</c:v>
                </c:pt>
                <c:pt idx="93">
                  <c:v>18.675960439947232</c:v>
                </c:pt>
                <c:pt idx="94">
                  <c:v>18.776426475916104</c:v>
                </c:pt>
                <c:pt idx="95">
                  <c:v>18.880809186481141</c:v>
                </c:pt>
                <c:pt idx="96">
                  <c:v>18.982377192097228</c:v>
                </c:pt>
                <c:pt idx="97">
                  <c:v>19.087904832663998</c:v>
                </c:pt>
                <c:pt idx="98">
                  <c:v>19.194019126989193</c:v>
                </c:pt>
                <c:pt idx="99">
                  <c:v>19.290371249887119</c:v>
                </c:pt>
                <c:pt idx="100">
                  <c:v>19.397611104150744</c:v>
                </c:pt>
                <c:pt idx="101">
                  <c:v>19.50195920989696</c:v>
                </c:pt>
                <c:pt idx="102">
                  <c:v>19.610375332968562</c:v>
                </c:pt>
                <c:pt idx="103">
                  <c:v>19.715867989150826</c:v>
                </c:pt>
                <c:pt idx="104">
                  <c:v>19.825473283027694</c:v>
                </c:pt>
                <c:pt idx="105">
                  <c:v>19.935687899327093</c:v>
                </c:pt>
                <c:pt idx="106">
                  <c:v>20.042930551933797</c:v>
                </c:pt>
                <c:pt idx="107">
                  <c:v>20.15435406595342</c:v>
                </c:pt>
                <c:pt idx="108">
                  <c:v>20.262773018061949</c:v>
                </c:pt>
                <c:pt idx="109">
                  <c:v>20.37541868969187</c:v>
                </c:pt>
                <c:pt idx="110">
                  <c:v>20.48869058594196</c:v>
                </c:pt>
                <c:pt idx="111">
                  <c:v>20.595224627054783</c:v>
                </c:pt>
                <c:pt idx="112">
                  <c:v>20.709718477842912</c:v>
                </c:pt>
                <c:pt idx="113">
                  <c:v>20.821124974348955</c:v>
                </c:pt>
                <c:pt idx="114">
                  <c:v>20.936874659978617</c:v>
                </c:pt>
                <c:pt idx="115">
                  <c:v>21.049503127437038</c:v>
                </c:pt>
                <c:pt idx="116">
                  <c:v>21.16652242263185</c:v>
                </c:pt>
                <c:pt idx="117">
                  <c:v>21.284192256481429</c:v>
                </c:pt>
                <c:pt idx="118">
                  <c:v>21.398689094900202</c:v>
                </c:pt>
                <c:pt idx="119">
                  <c:v>21.51764959961227</c:v>
                </c:pt>
                <c:pt idx="120">
                  <c:v>21.633402305642651</c:v>
                </c:pt>
                <c:pt idx="121">
                  <c:v>21.753667638042462</c:v>
                </c:pt>
                <c:pt idx="122">
                  <c:v>21.874601554605455</c:v>
                </c:pt>
                <c:pt idx="123">
                  <c:v>21.984409942488575</c:v>
                </c:pt>
                <c:pt idx="124">
                  <c:v>22.10662661150775</c:v>
                </c:pt>
                <c:pt idx="125">
                  <c:v>22.22554767858988</c:v>
                </c:pt>
                <c:pt idx="126">
                  <c:v>22.349104890792063</c:v>
                </c:pt>
                <c:pt idx="127">
                  <c:v>22.469330352987182</c:v>
                </c:pt>
                <c:pt idx="128">
                  <c:v>22.594242812226135</c:v>
                </c:pt>
                <c:pt idx="129">
                  <c:v>22.719849690133898</c:v>
                </c:pt>
                <c:pt idx="130">
                  <c:v>22.842069548304835</c:v>
                </c:pt>
                <c:pt idx="131">
                  <c:v>22.96905415516947</c:v>
                </c:pt>
                <c:pt idx="132">
                  <c:v>23.092614591503889</c:v>
                </c:pt>
                <c:pt idx="133">
                  <c:v>23.220992039054234</c:v>
                </c:pt>
                <c:pt idx="134">
                  <c:v>23.350083167984145</c:v>
                </c:pt>
                <c:pt idx="135">
                  <c:v>23.467298331113508</c:v>
                </c:pt>
                <c:pt idx="136">
                  <c:v>23.597758736483076</c:v>
                </c:pt>
                <c:pt idx="137">
                  <c:v>23.724701245577993</c:v>
                </c:pt>
                <c:pt idx="138">
                  <c:v>23.856592616203578</c:v>
                </c:pt>
                <c:pt idx="139">
                  <c:v>23.984927504231475</c:v>
                </c:pt>
                <c:pt idx="140">
                  <c:v>24.118265535768447</c:v>
                </c:pt>
                <c:pt idx="141">
                  <c:v>24.252344825774998</c:v>
                </c:pt>
                <c:pt idx="142">
                  <c:v>24.382808635410402</c:v>
                </c:pt>
                <c:pt idx="143">
                  <c:v>24.518358584694788</c:v>
                </c:pt>
                <c:pt idx="144">
                  <c:v>24.650253396926189</c:v>
                </c:pt>
                <c:pt idx="145">
                  <c:v>24.787290136530839</c:v>
                </c:pt>
                <c:pt idx="146">
                  <c:v>24.925088696620627</c:v>
                </c:pt>
                <c:pt idx="147">
                  <c:v>25.05021023544213</c:v>
                </c:pt>
                <c:pt idx="148">
                  <c:v>25.189470432154913</c:v>
                </c:pt>
                <c:pt idx="149">
                  <c:v>25.324975444098538</c:v>
                </c:pt>
                <c:pt idx="150">
                  <c:v>25.465763127273433</c:v>
                </c:pt>
                <c:pt idx="151">
                  <c:v>25.602754436638534</c:v>
                </c:pt>
                <c:pt idx="152">
                  <c:v>25.74508636063138</c:v>
                </c:pt>
                <c:pt idx="153">
                  <c:v>25.888209542324148</c:v>
                </c:pt>
                <c:pt idx="154">
                  <c:v>26.027473372926718</c:v>
                </c:pt>
                <c:pt idx="155">
                  <c:v>26.172166412537308</c:v>
                </c:pt>
                <c:pt idx="156">
                  <c:v>26.312957769460557</c:v>
                </c:pt>
                <c:pt idx="157">
                  <c:v>26.459237886099505</c:v>
                </c:pt>
                <c:pt idx="158">
                  <c:v>26.606331209399269</c:v>
                </c:pt>
                <c:pt idx="159">
                  <c:v>26.744674846882301</c:v>
                </c:pt>
                <c:pt idx="160">
                  <c:v>26.893354983503542</c:v>
                </c:pt>
                <c:pt idx="161">
                  <c:v>27.038025924405577</c:v>
                </c:pt>
                <c:pt idx="162">
                  <c:v>27.188336870843507</c:v>
                </c:pt>
                <c:pt idx="163">
                  <c:v>27.334594646382435</c:v>
                </c:pt>
                <c:pt idx="164">
                  <c:v>27.486554290303271</c:v>
                </c:pt>
                <c:pt idx="165">
                  <c:v>27.639358714755122</c:v>
                </c:pt>
                <c:pt idx="166">
                  <c:v>27.788042731072345</c:v>
                </c:pt>
                <c:pt idx="167">
                  <c:v>27.942523202917556</c:v>
                </c:pt>
                <c:pt idx="168">
                  <c:v>28.09283807160622</c:v>
                </c:pt>
                <c:pt idx="169">
                  <c:v>28.249012974702925</c:v>
                </c:pt>
                <c:pt idx="170">
                  <c:v>28.406056091979185</c:v>
                </c:pt>
                <c:pt idx="171">
                  <c:v>28.548651751049405</c:v>
                </c:pt>
                <c:pt idx="172">
                  <c:v>28.707360632985708</c:v>
                </c:pt>
                <c:pt idx="173">
                  <c:v>28.861789891668213</c:v>
                </c:pt>
                <c:pt idx="174">
                  <c:v>29.022239584505929</c:v>
                </c:pt>
                <c:pt idx="175">
                  <c:v>29.178362712704335</c:v>
                </c:pt>
                <c:pt idx="176">
                  <c:v>29.340572310665276</c:v>
                </c:pt>
                <c:pt idx="177">
                  <c:v>29.503683671138727</c:v>
                </c:pt>
                <c:pt idx="178">
                  <c:v>29.662396694463567</c:v>
                </c:pt>
                <c:pt idx="179">
                  <c:v>29.827297154771852</c:v>
                </c:pt>
                <c:pt idx="180">
                  <c:v>29.987751034423248</c:v>
                </c:pt>
                <c:pt idx="181">
                  <c:v>30.154460218449163</c:v>
                </c:pt>
                <c:pt idx="182">
                  <c:v>30.322096179278258</c:v>
                </c:pt>
                <c:pt idx="183">
                  <c:v>30.474310174599349</c:v>
                </c:pt>
                <c:pt idx="184">
                  <c:v>30.643724258940914</c:v>
                </c:pt>
                <c:pt idx="185">
                  <c:v>30.80857005166564</c:v>
                </c:pt>
                <c:pt idx="186">
                  <c:v>30.979842367766395</c:v>
                </c:pt>
                <c:pt idx="187">
                  <c:v>31.146496284583044</c:v>
                </c:pt>
                <c:pt idx="188">
                  <c:v>31.319647214604728</c:v>
                </c:pt>
                <c:pt idx="189">
                  <c:v>31.493760732658554</c:v>
                </c:pt>
                <c:pt idx="190">
                  <c:v>31.663179237732841</c:v>
                </c:pt>
                <c:pt idx="191">
                  <c:v>31.839202533655548</c:v>
                </c:pt>
                <c:pt idx="192">
                  <c:v>32.010479318978149</c:v>
                </c:pt>
                <c:pt idx="193">
                  <c:v>32.188433340319044</c:v>
                </c:pt>
                <c:pt idx="194">
                  <c:v>32.367376651242139</c:v>
                </c:pt>
                <c:pt idx="195">
                  <c:v>32.52985775706734</c:v>
                </c:pt>
                <c:pt idx="196">
                  <c:v>32.71069912916407</c:v>
                </c:pt>
                <c:pt idx="197">
                  <c:v>32.886664070075383</c:v>
                </c:pt>
                <c:pt idx="198">
                  <c:v>33.069489015039167</c:v>
                </c:pt>
                <c:pt idx="199">
                  <c:v>33.247384041297153</c:v>
                </c:pt>
                <c:pt idx="200">
                  <c:v>33.432214316103618</c:v>
                </c:pt>
                <c:pt idx="201">
                  <c:v>33.618072107253717</c:v>
                </c:pt>
                <c:pt idx="202">
                  <c:v>33.798918198269575</c:v>
                </c:pt>
                <c:pt idx="203">
                  <c:v>33.986814585275184</c:v>
                </c:pt>
                <c:pt idx="204">
                  <c:v>34.169644300917994</c:v>
                </c:pt>
                <c:pt idx="205">
                  <c:v>34.359601644278698</c:v>
                </c:pt>
                <c:pt idx="206">
                  <c:v>34.55061500660112</c:v>
                </c:pt>
                <c:pt idx="207">
                  <c:v>34.730266147514556</c:v>
                </c:pt>
                <c:pt idx="208">
                  <c:v>34.923340123746001</c:v>
                </c:pt>
                <c:pt idx="209">
                  <c:v>35.111207813673239</c:v>
                </c:pt>
                <c:pt idx="210">
                  <c:v>35.306399537055981</c:v>
                </c:pt>
                <c:pt idx="211">
                  <c:v>35.496327868572138</c:v>
                </c:pt>
                <c:pt idx="212">
                  <c:v>35.693660567783006</c:v>
                </c:pt>
                <c:pt idx="213">
                  <c:v>35.892090287348232</c:v>
                </c:pt>
                <c:pt idx="214">
                  <c:v>36.085169301699437</c:v>
                </c:pt>
                <c:pt idx="215">
                  <c:v>36.285775513309545</c:v>
                </c:pt>
                <c:pt idx="216">
                  <c:v>36.480972330073023</c:v>
                </c:pt>
                <c:pt idx="217">
                  <c:v>36.683778906752863</c:v>
                </c:pt>
                <c:pt idx="218">
                  <c:v>36.887712934400064</c:v>
                </c:pt>
                <c:pt idx="219">
                  <c:v>37.0728856919431</c:v>
                </c:pt>
                <c:pt idx="220">
                  <c:v>37.278982858619429</c:v>
                </c:pt>
                <c:pt idx="221">
                  <c:v>37.479522565522309</c:v>
                </c:pt>
                <c:pt idx="222">
                  <c:v>37.687880325242489</c:v>
                </c:pt>
                <c:pt idx="223">
                  <c:v>37.890619667752951</c:v>
                </c:pt>
                <c:pt idx="224">
                  <c:v>38.101262816010248</c:v>
                </c:pt>
                <c:pt idx="225">
                  <c:v>38.31307698063776</c:v>
                </c:pt>
                <c:pt idx="226">
                  <c:v>38.519179525264128</c:v>
                </c:pt>
                <c:pt idx="227">
                  <c:v>38.733316990278873</c:v>
                </c:pt>
                <c:pt idx="228">
                  <c:v>38.941680186937582</c:v>
                </c:pt>
                <c:pt idx="229">
                  <c:v>39.15816643564326</c:v>
                </c:pt>
                <c:pt idx="230">
                  <c:v>39.375856183932264</c:v>
                </c:pt>
                <c:pt idx="231">
                  <c:v>39.573519180365885</c:v>
                </c:pt>
                <c:pt idx="232">
                  <c:v>39.793517975341175</c:v>
                </c:pt>
                <c:pt idx="233">
                  <c:v>40.007584449785377</c:v>
                </c:pt>
                <c:pt idx="234">
                  <c:v>40.229996318912036</c:v>
                </c:pt>
                <c:pt idx="235">
                  <c:v>40.4464107983815</c:v>
                </c:pt>
                <c:pt idx="236">
                  <c:v>40.671262209653889</c:v>
                </c:pt>
                <c:pt idx="237">
                  <c:v>40.897363624477954</c:v>
                </c:pt>
                <c:pt idx="238">
                  <c:v>41.117368160155827</c:v>
                </c:pt>
                <c:pt idx="239">
                  <c:v>41.34594958619887</c:v>
                </c:pt>
                <c:pt idx="240">
                  <c:v>41.568367258995458</c:v>
                </c:pt>
                <c:pt idx="241">
                  <c:v>41.799455898456337</c:v>
                </c:pt>
                <c:pt idx="242">
                  <c:v>42.031829215733765</c:v>
                </c:pt>
                <c:pt idx="243">
                  <c:v>42.242824940361565</c:v>
                </c:pt>
                <c:pt idx="244">
                  <c:v>42.477663053719006</c:v>
                </c:pt>
                <c:pt idx="245">
                  <c:v>42.706168700748563</c:v>
                </c:pt>
                <c:pt idx="246">
                  <c:v>42.943582654492616</c:v>
                </c:pt>
                <c:pt idx="247">
                  <c:v>43.174594683751891</c:v>
                </c:pt>
                <c:pt idx="248">
                  <c:v>43.41461273119117</c:v>
                </c:pt>
                <c:pt idx="249">
                  <c:v>43.655965097192528</c:v>
                </c:pt>
                <c:pt idx="250">
                  <c:v>43.890809338473368</c:v>
                </c:pt>
                <c:pt idx="251">
                  <c:v>44.134808996955748</c:v>
                </c:pt>
                <c:pt idx="252">
                  <c:v>44.372229145837778</c:v>
                </c:pt>
                <c:pt idx="253">
                  <c:v>44.61890513383775</c:v>
                </c:pt>
                <c:pt idx="254">
                  <c:v>44.866952453506812</c:v>
                </c:pt>
                <c:pt idx="255">
                  <c:v>45.100244949054009</c:v>
                </c:pt>
                <c:pt idx="256">
                  <c:v>45.350968153544919</c:v>
                </c:pt>
                <c:pt idx="257">
                  <c:v>45.59493054639681</c:v>
                </c:pt>
                <c:pt idx="258">
                  <c:v>45.848403828150495</c:v>
                </c:pt>
                <c:pt idx="259">
                  <c:v>46.095042141768999</c:v>
                </c:pt>
                <c:pt idx="260">
                  <c:v>46.351295665225059</c:v>
                </c:pt>
                <c:pt idx="261">
                  <c:v>46.608973764193621</c:v>
                </c:pt>
                <c:pt idx="262">
                  <c:v>46.859703511117367</c:v>
                </c:pt>
                <c:pt idx="263">
                  <c:v>47.120207972657923</c:v>
                </c:pt>
                <c:pt idx="264">
                  <c:v>47.37368786860565</c:v>
                </c:pt>
                <c:pt idx="265">
                  <c:v>47.637049693899165</c:v>
                </c:pt>
                <c:pt idx="266">
                  <c:v>47.901875611479817</c:v>
                </c:pt>
                <c:pt idx="267">
                  <c:v>48.142338402280544</c:v>
                </c:pt>
                <c:pt idx="268">
                  <c:v>48.409973342390927</c:v>
                </c:pt>
                <c:pt idx="269">
                  <c:v>48.670391441835264</c:v>
                </c:pt>
                <c:pt idx="270">
                  <c:v>48.940961956915785</c:v>
                </c:pt>
                <c:pt idx="271">
                  <c:v>49.204236472843604</c:v>
                </c:pt>
                <c:pt idx="272">
                  <c:v>49.477774761980058</c:v>
                </c:pt>
                <c:pt idx="273">
                  <c:v>49.752833716835305</c:v>
                </c:pt>
                <c:pt idx="274">
                  <c:v>50.02047564067751</c:v>
                </c:pt>
                <c:pt idx="275">
                  <c:v>50.298551601394713</c:v>
                </c:pt>
                <c:pt idx="276">
                  <c:v>50.569129176808666</c:v>
                </c:pt>
                <c:pt idx="277">
                  <c:v>50.850255235654814</c:v>
                </c:pt>
                <c:pt idx="278">
                  <c:v>51.132944142472596</c:v>
                </c:pt>
                <c:pt idx="279">
                  <c:v>51.389626585349816</c:v>
                </c:pt>
                <c:pt idx="280">
                  <c:v>51.675313988370007</c:v>
                </c:pt>
                <c:pt idx="281">
                  <c:v>51.953297761710687</c:v>
                </c:pt>
                <c:pt idx="282">
                  <c:v>52.242118749565627</c:v>
                </c:pt>
                <c:pt idx="283">
                  <c:v>52.523151609870766</c:v>
                </c:pt>
                <c:pt idx="284">
                  <c:v>52.815140553533098</c:v>
                </c:pt>
                <c:pt idx="285">
                  <c:v>53.108752734579497</c:v>
                </c:pt>
                <c:pt idx="286">
                  <c:v>53.394447592396908</c:v>
                </c:pt>
                <c:pt idx="287">
                  <c:v>53.691280281831474</c:v>
                </c:pt>
                <c:pt idx="288">
                  <c:v>53.980108806252176</c:v>
                </c:pt>
                <c:pt idx="289">
                  <c:v>54.280197328475481</c:v>
                </c:pt>
                <c:pt idx="290">
                  <c:v>54.581954115605249</c:v>
                </c:pt>
                <c:pt idx="291">
                  <c:v>54.855950255557033</c:v>
                </c:pt>
                <c:pt idx="292">
                  <c:v>55.160907792905249</c:v>
                </c:pt>
                <c:pt idx="293">
                  <c:v>55.457642076757338</c:v>
                </c:pt>
                <c:pt idx="294">
                  <c:v>55.765944564930059</c:v>
                </c:pt>
                <c:pt idx="295">
                  <c:v>56.065933602201454</c:v>
                </c:pt>
                <c:pt idx="296">
                  <c:v>56.377617730555883</c:v>
                </c:pt>
                <c:pt idx="297">
                  <c:v>56.691034586604758</c:v>
                </c:pt>
                <c:pt idx="298">
                  <c:v>56.996000081589848</c:v>
                </c:pt>
                <c:pt idx="299">
                  <c:v>57.312854675168261</c:v>
                </c:pt>
                <c:pt idx="300">
                  <c:v>57.621165208261779</c:v>
                </c:pt>
                <c:pt idx="301">
                  <c:v>57.941495246465216</c:v>
                </c:pt>
                <c:pt idx="302">
                  <c:v>58.263606077073703</c:v>
                </c:pt>
                <c:pt idx="303">
                  <c:v>58.566556496436057</c:v>
                </c:pt>
                <c:pt idx="304">
                  <c:v>58.892142194193816</c:v>
                </c:pt>
                <c:pt idx="305">
                  <c:v>59.208948395138115</c:v>
                </c:pt>
                <c:pt idx="306">
                  <c:v>59.53810530532639</c:v>
                </c:pt>
                <c:pt idx="307">
                  <c:v>59.858386420097254</c:v>
                </c:pt>
                <c:pt idx="308">
                  <c:v>60.191153713841516</c:v>
                </c:pt>
                <c:pt idx="309">
                  <c:v>60.52577094171216</c:v>
                </c:pt>
                <c:pt idx="310">
                  <c:v>60.851365135383006</c:v>
                </c:pt>
                <c:pt idx="311">
                  <c:v>61.18965263873519</c:v>
                </c:pt>
                <c:pt idx="312">
                  <c:v>61.518818138024699</c:v>
                </c:pt>
                <c:pt idx="313">
                  <c:v>61.860816174564867</c:v>
                </c:pt>
                <c:pt idx="314">
                  <c:v>62.204715461170274</c:v>
                </c:pt>
                <c:pt idx="315">
                  <c:v>62.516977127124164</c:v>
                </c:pt>
                <c:pt idx="316">
                  <c:v>62.864524171671292</c:v>
                </c:pt>
                <c:pt idx="317">
                  <c:v>63.202699526395648</c:v>
                </c:pt>
                <c:pt idx="318">
                  <c:v>63.554058668139376</c:v>
                </c:pt>
                <c:pt idx="319">
                  <c:v>63.895943325940664</c:v>
                </c:pt>
                <c:pt idx="320">
                  <c:v>64.251156378170066</c:v>
                </c:pt>
                <c:pt idx="321">
                  <c:v>64.608344145943292</c:v>
                </c:pt>
                <c:pt idx="322">
                  <c:v>64.955900259468379</c:v>
                </c:pt>
                <c:pt idx="323">
                  <c:v>65.317005869472055</c:v>
                </c:pt>
                <c:pt idx="324">
                  <c:v>65.668374179667481</c:v>
                </c:pt>
                <c:pt idx="325">
                  <c:v>66.033440605063433</c:v>
                </c:pt>
                <c:pt idx="326">
                  <c:v>66.400536523295415</c:v>
                </c:pt>
                <c:pt idx="327">
                  <c:v>66.733860805888426</c:v>
                </c:pt>
                <c:pt idx="328">
                  <c:v>67.104850529962036</c:v>
                </c:pt>
                <c:pt idx="329">
                  <c:v>67.46583642670916</c:v>
                </c:pt>
                <c:pt idx="330">
                  <c:v>67.840895380860545</c:v>
                </c:pt>
                <c:pt idx="331">
                  <c:v>68.205840779915647</c:v>
                </c:pt>
                <c:pt idx="332">
                  <c:v>68.585013597816129</c:v>
                </c:pt>
                <c:pt idx="333">
                  <c:v>68.966294329411284</c:v>
                </c:pt>
                <c:pt idx="334">
                  <c:v>69.337293734181799</c:v>
                </c:pt>
                <c:pt idx="335">
                  <c:v>69.722756573583197</c:v>
                </c:pt>
                <c:pt idx="336">
                  <c:v>70.097825314614965</c:v>
                </c:pt>
                <c:pt idx="337">
                  <c:v>70.487516133602199</c:v>
                </c:pt>
                <c:pt idx="338">
                  <c:v>70.879373338404164</c:v>
                </c:pt>
                <c:pt idx="339">
                  <c:v>71.235180949392017</c:v>
                </c:pt>
                <c:pt idx="340">
                  <c:v>71.631194604313293</c:v>
                </c:pt>
                <c:pt idx="341">
                  <c:v>72.016529655581522</c:v>
                </c:pt>
                <c:pt idx="342">
                  <c:v>72.416887017541654</c:v>
                </c:pt>
                <c:pt idx="343">
                  <c:v>72.806448646741515</c:v>
                </c:pt>
                <c:pt idx="344">
                  <c:v>73.211197360034134</c:v>
                </c:pt>
                <c:pt idx="345">
                  <c:v>73.618196169629471</c:v>
                </c:pt>
                <c:pt idx="346">
                  <c:v>74.014220158228269</c:v>
                </c:pt>
                <c:pt idx="347">
                  <c:v>74.42568316639877</c:v>
                </c:pt>
                <c:pt idx="348">
                  <c:v>74.826050975382259</c:v>
                </c:pt>
                <c:pt idx="349">
                  <c:v>75.242027148042453</c:v>
                </c:pt>
                <c:pt idx="350">
                  <c:v>75.660315833176128</c:v>
                </c:pt>
                <c:pt idx="351">
                  <c:v>76.053723072344084</c:v>
                </c:pt>
                <c:pt idx="352">
                  <c:v>76.476524172065339</c:v>
                </c:pt>
                <c:pt idx="353">
                  <c:v>76.887924338228174</c:v>
                </c:pt>
                <c:pt idx="354">
                  <c:v>77.315362965191525</c:v>
                </c:pt>
                <c:pt idx="355">
                  <c:v>77.731275606556551</c:v>
                </c:pt>
                <c:pt idx="356">
                  <c:v>78.163402627845599</c:v>
                </c:pt>
                <c:pt idx="357">
                  <c:v>78.597931948094356</c:v>
                </c:pt>
                <c:pt idx="358">
                  <c:v>79.020744080491298</c:v>
                </c:pt>
                <c:pt idx="359">
                  <c:v>79.46003956989486</c:v>
                </c:pt>
                <c:pt idx="360">
                  <c:v>79.887489350546659</c:v>
                </c:pt>
                <c:pt idx="361">
                  <c:v>80.331603287207685</c:v>
                </c:pt>
                <c:pt idx="362">
                  <c:v>80.778186160999425</c:v>
                </c:pt>
                <c:pt idx="363">
                  <c:v>81.183684856658815</c:v>
                </c:pt>
                <c:pt idx="364">
                  <c:v>81.635004658638451</c:v>
                </c:pt>
                <c:pt idx="365">
                  <c:v>82.074154513379497</c:v>
                </c:pt>
                <c:pt idx="366">
                  <c:v>82.530424652238395</c:v>
                </c:pt>
                <c:pt idx="367">
                  <c:v>82.974391356831688</c:v>
                </c:pt>
                <c:pt idx="368">
                  <c:v>83.435666130730723</c:v>
                </c:pt>
                <c:pt idx="369">
                  <c:v>83.899505243018481</c:v>
                </c:pt>
                <c:pt idx="370">
                  <c:v>84.350836821847807</c:v>
                </c:pt>
                <c:pt idx="371">
                  <c:v>84.441394069515212</c:v>
                </c:pt>
                <c:pt idx="372">
                  <c:v>84.456496393284382</c:v>
                </c:pt>
                <c:pt idx="373">
                  <c:v>84.471601418100676</c:v>
                </c:pt>
                <c:pt idx="374">
                  <c:v>84.486709144447133</c:v>
                </c:pt>
                <c:pt idx="375">
                  <c:v>84.501819572806966</c:v>
                </c:pt>
                <c:pt idx="376">
                  <c:v>84.516932703663329</c:v>
                </c:pt>
                <c:pt idx="377">
                  <c:v>84.532048537499733</c:v>
                </c:pt>
                <c:pt idx="378">
                  <c:v>84.547167074799503</c:v>
                </c:pt>
                <c:pt idx="379">
                  <c:v>84.562288316046164</c:v>
                </c:pt>
                <c:pt idx="380">
                  <c:v>84.577412261723325</c:v>
                </c:pt>
                <c:pt idx="381">
                  <c:v>84.59253891231468</c:v>
                </c:pt>
                <c:pt idx="382">
                  <c:v>84.607668268303982</c:v>
                </c:pt>
                <c:pt idx="383">
                  <c:v>84.622800330175082</c:v>
                </c:pt>
                <c:pt idx="384">
                  <c:v>84.637935098411958</c:v>
                </c:pt>
                <c:pt idx="385">
                  <c:v>84.653072573498548</c:v>
                </c:pt>
                <c:pt idx="386">
                  <c:v>84.668212755919129</c:v>
                </c:pt>
                <c:pt idx="387">
                  <c:v>84.683355646157821</c:v>
                </c:pt>
                <c:pt idx="388">
                  <c:v>84.698501244698932</c:v>
                </c:pt>
                <c:pt idx="389">
                  <c:v>84.713649552026837</c:v>
                </c:pt>
                <c:pt idx="390">
                  <c:v>84.728800568625985</c:v>
                </c:pt>
                <c:pt idx="391">
                  <c:v>84.743954294980952</c:v>
                </c:pt>
                <c:pt idx="392">
                  <c:v>84.759110731576357</c:v>
                </c:pt>
                <c:pt idx="393">
                  <c:v>84.774269878896945</c:v>
                </c:pt>
                <c:pt idx="394">
                  <c:v>84.789431737427449</c:v>
                </c:pt>
                <c:pt idx="395">
                  <c:v>84.804596307652901</c:v>
                </c:pt>
                <c:pt idx="396">
                  <c:v>84.819763590058244</c:v>
                </c:pt>
                <c:pt idx="397">
                  <c:v>84.834933585128525</c:v>
                </c:pt>
                <c:pt idx="398">
                  <c:v>84.850106293348901</c:v>
                </c:pt>
                <c:pt idx="399">
                  <c:v>84.865281715204631</c:v>
                </c:pt>
                <c:pt idx="400">
                  <c:v>84.880459851181058</c:v>
                </c:pt>
                <c:pt idx="401">
                  <c:v>84.895640701763568</c:v>
                </c:pt>
                <c:pt idx="402">
                  <c:v>84.910824267437704</c:v>
                </c:pt>
                <c:pt idx="403">
                  <c:v>84.926010548688964</c:v>
                </c:pt>
                <c:pt idx="404">
                  <c:v>84.941199546003176</c:v>
                </c:pt>
                <c:pt idx="405">
                  <c:v>84.956391259866038</c:v>
                </c:pt>
                <c:pt idx="406">
                  <c:v>84.971585690763419</c:v>
                </c:pt>
                <c:pt idx="407">
                  <c:v>84.986782839181245</c:v>
                </c:pt>
                <c:pt idx="408">
                  <c:v>85.001982705605528</c:v>
                </c:pt>
                <c:pt idx="409">
                  <c:v>85.01718529052242</c:v>
                </c:pt>
                <c:pt idx="410">
                  <c:v>85.032390594418089</c:v>
                </c:pt>
                <c:pt idx="411">
                  <c:v>85.047598617778846</c:v>
                </c:pt>
                <c:pt idx="412">
                  <c:v>85.062809361091055</c:v>
                </c:pt>
                <c:pt idx="413">
                  <c:v>85.07802282484117</c:v>
                </c:pt>
                <c:pt idx="414">
                  <c:v>85.09323900951577</c:v>
                </c:pt>
                <c:pt idx="415">
                  <c:v>85.108457915601463</c:v>
                </c:pt>
                <c:pt idx="416">
                  <c:v>85.123679543584998</c:v>
                </c:pt>
                <c:pt idx="417">
                  <c:v>85.138903893953085</c:v>
                </c:pt>
                <c:pt idx="418">
                  <c:v>85.154130967192785</c:v>
                </c:pt>
                <c:pt idx="419">
                  <c:v>85.169360763791019</c:v>
                </c:pt>
                <c:pt idx="420">
                  <c:v>85.184593284234836</c:v>
                </c:pt>
                <c:pt idx="421">
                  <c:v>85.199828529011398</c:v>
                </c:pt>
                <c:pt idx="422">
                  <c:v>85.215066498607982</c:v>
                </c:pt>
                <c:pt idx="423">
                  <c:v>85.230307193511877</c:v>
                </c:pt>
                <c:pt idx="424">
                  <c:v>85.245550614210529</c:v>
                </c:pt>
                <c:pt idx="425">
                  <c:v>85.260796761191457</c:v>
                </c:pt>
                <c:pt idx="426">
                  <c:v>85.27604563494215</c:v>
                </c:pt>
                <c:pt idx="427">
                  <c:v>85.291297235950452</c:v>
                </c:pt>
                <c:pt idx="428">
                  <c:v>85.30655156470408</c:v>
                </c:pt>
                <c:pt idx="429">
                  <c:v>85.321808621690863</c:v>
                </c:pt>
                <c:pt idx="430">
                  <c:v>85.337068407398746</c:v>
                </c:pt>
                <c:pt idx="431">
                  <c:v>85.352330922315772</c:v>
                </c:pt>
                <c:pt idx="432">
                  <c:v>85.367596166930056</c:v>
                </c:pt>
                <c:pt idx="433">
                  <c:v>85.382864141729812</c:v>
                </c:pt>
                <c:pt idx="434">
                  <c:v>85.398134847203323</c:v>
                </c:pt>
                <c:pt idx="435">
                  <c:v>85.413408283838891</c:v>
                </c:pt>
                <c:pt idx="436">
                  <c:v>85.42868445212514</c:v>
                </c:pt>
                <c:pt idx="437">
                  <c:v>85.44396335255054</c:v>
                </c:pt>
                <c:pt idx="438">
                  <c:v>85.459244985603746</c:v>
                </c:pt>
                <c:pt idx="439">
                  <c:v>85.474529351773498</c:v>
                </c:pt>
                <c:pt idx="440">
                  <c:v>85.489816451548577</c:v>
                </c:pt>
                <c:pt idx="441">
                  <c:v>85.505106285417924</c:v>
                </c:pt>
                <c:pt idx="442">
                  <c:v>85.520398853870503</c:v>
                </c:pt>
                <c:pt idx="443">
                  <c:v>85.535694157395426</c:v>
                </c:pt>
                <c:pt idx="444">
                  <c:v>85.550992196481758</c:v>
                </c:pt>
                <c:pt idx="445">
                  <c:v>85.566292971618907</c:v>
                </c:pt>
                <c:pt idx="446">
                  <c:v>85.581596483296153</c:v>
                </c:pt>
                <c:pt idx="447">
                  <c:v>85.596902732002917</c:v>
                </c:pt>
                <c:pt idx="448">
                  <c:v>85.612211718228707</c:v>
                </c:pt>
                <c:pt idx="449">
                  <c:v>85.627523442463144</c:v>
                </c:pt>
                <c:pt idx="450">
                  <c:v>85.642837905195918</c:v>
                </c:pt>
                <c:pt idx="451">
                  <c:v>85.65815510691678</c:v>
                </c:pt>
                <c:pt idx="452">
                  <c:v>85.673475048115648</c:v>
                </c:pt>
                <c:pt idx="453">
                  <c:v>85.688797729282371</c:v>
                </c:pt>
                <c:pt idx="454">
                  <c:v>85.704123150907151</c:v>
                </c:pt>
                <c:pt idx="455">
                  <c:v>85.719451313480022</c:v>
                </c:pt>
                <c:pt idx="456">
                  <c:v>85.73478221749123</c:v>
                </c:pt>
                <c:pt idx="457">
                  <c:v>85.750115863431063</c:v>
                </c:pt>
                <c:pt idx="458">
                  <c:v>85.765452251789924</c:v>
                </c:pt>
                <c:pt idx="459">
                  <c:v>85.7807913830583</c:v>
                </c:pt>
                <c:pt idx="460">
                  <c:v>85.796133257726737</c:v>
                </c:pt>
                <c:pt idx="461">
                  <c:v>85.811477876285906</c:v>
                </c:pt>
                <c:pt idx="462">
                  <c:v>85.82682523922648</c:v>
                </c:pt>
                <c:pt idx="463">
                  <c:v>85.842175347039429</c:v>
                </c:pt>
                <c:pt idx="464">
                  <c:v>85.857528200215611</c:v>
                </c:pt>
                <c:pt idx="465">
                  <c:v>85.872883799246026</c:v>
                </c:pt>
                <c:pt idx="466">
                  <c:v>85.888242144621771</c:v>
                </c:pt>
                <c:pt idx="467">
                  <c:v>85.90360323683403</c:v>
                </c:pt>
                <c:pt idx="468">
                  <c:v>85.918967076374059</c:v>
                </c:pt>
                <c:pt idx="469">
                  <c:v>85.934333663733241</c:v>
                </c:pt>
                <c:pt idx="470">
                  <c:v>85.949702999403016</c:v>
                </c:pt>
                <c:pt idx="471">
                  <c:v>85.965075083874851</c:v>
                </c:pt>
                <c:pt idx="472">
                  <c:v>85.980449917640485</c:v>
                </c:pt>
                <c:pt idx="473">
                  <c:v>85.995827501191584</c:v>
                </c:pt>
                <c:pt idx="474">
                  <c:v>86.011207835019945</c:v>
                </c:pt>
                <c:pt idx="475">
                  <c:v>86.026590919617448</c:v>
                </c:pt>
                <c:pt idx="476">
                  <c:v>86.041976755476071</c:v>
                </c:pt>
                <c:pt idx="477">
                  <c:v>86.057365343087866</c:v>
                </c:pt>
                <c:pt idx="478">
                  <c:v>86.072756682944998</c:v>
                </c:pt>
                <c:pt idx="479">
                  <c:v>86.088150775539688</c:v>
                </c:pt>
                <c:pt idx="480">
                  <c:v>86.1035476213642</c:v>
                </c:pt>
                <c:pt idx="481">
                  <c:v>86.118947220911096</c:v>
                </c:pt>
                <c:pt idx="482">
                  <c:v>86.134349574672811</c:v>
                </c:pt>
                <c:pt idx="483">
                  <c:v>86.149754683141921</c:v>
                </c:pt>
                <c:pt idx="484">
                  <c:v>86.165162546811118</c:v>
                </c:pt>
                <c:pt idx="485">
                  <c:v>86.180573166173147</c:v>
                </c:pt>
                <c:pt idx="486">
                  <c:v>86.195986541720899</c:v>
                </c:pt>
                <c:pt idx="487">
                  <c:v>86.211402673947291</c:v>
                </c:pt>
                <c:pt idx="488">
                  <c:v>86.226821563345354</c:v>
                </c:pt>
                <c:pt idx="489">
                  <c:v>86.242243210408233</c:v>
                </c:pt>
                <c:pt idx="490">
                  <c:v>86.257667615629089</c:v>
                </c:pt>
                <c:pt idx="491">
                  <c:v>86.273094779501264</c:v>
                </c:pt>
                <c:pt idx="492">
                  <c:v>86.288524702518117</c:v>
                </c:pt>
                <c:pt idx="493">
                  <c:v>86.303957385173135</c:v>
                </c:pt>
                <c:pt idx="494">
                  <c:v>86.319392827959788</c:v>
                </c:pt>
                <c:pt idx="495">
                  <c:v>86.334831031371891</c:v>
                </c:pt>
                <c:pt idx="496">
                  <c:v>86.3502719959031</c:v>
                </c:pt>
                <c:pt idx="497">
                  <c:v>86.365715722047227</c:v>
                </c:pt>
                <c:pt idx="498">
                  <c:v>86.3811622102982</c:v>
                </c:pt>
                <c:pt idx="499">
                  <c:v>86.39661146115003</c:v>
                </c:pt>
                <c:pt idx="500">
                  <c:v>86.412063475096787</c:v>
                </c:pt>
                <c:pt idx="501">
                  <c:v>86.427518252632666</c:v>
                </c:pt>
                <c:pt idx="502">
                  <c:v>86.442975794251907</c:v>
                </c:pt>
                <c:pt idx="503">
                  <c:v>86.458436100448836</c:v>
                </c:pt>
                <c:pt idx="504">
                  <c:v>86.473899171718003</c:v>
                </c:pt>
                <c:pt idx="505">
                  <c:v>86.489365008553904</c:v>
                </c:pt>
                <c:pt idx="506">
                  <c:v>86.504833611451133</c:v>
                </c:pt>
                <c:pt idx="507">
                  <c:v>86.520304980904399</c:v>
                </c:pt>
                <c:pt idx="508">
                  <c:v>86.535779117408509</c:v>
                </c:pt>
                <c:pt idx="509">
                  <c:v>86.551256021458357</c:v>
                </c:pt>
                <c:pt idx="510">
                  <c:v>86.566735693548907</c:v>
                </c:pt>
                <c:pt idx="511">
                  <c:v>86.582218134175207</c:v>
                </c:pt>
                <c:pt idx="512">
                  <c:v>86.597703343832364</c:v>
                </c:pt>
                <c:pt idx="513">
                  <c:v>86.613191323015769</c:v>
                </c:pt>
                <c:pt idx="514">
                  <c:v>86.628682072220641</c:v>
                </c:pt>
                <c:pt idx="515">
                  <c:v>86.644175591942442</c:v>
                </c:pt>
                <c:pt idx="516">
                  <c:v>86.659671882676648</c:v>
                </c:pt>
                <c:pt idx="517">
                  <c:v>86.675170944918861</c:v>
                </c:pt>
                <c:pt idx="518">
                  <c:v>86.690672779164771</c:v>
                </c:pt>
                <c:pt idx="519">
                  <c:v>86.706177385910124</c:v>
                </c:pt>
                <c:pt idx="520">
                  <c:v>86.721684765650821</c:v>
                </c:pt>
                <c:pt idx="521">
                  <c:v>86.737194918882722</c:v>
                </c:pt>
                <c:pt idx="522">
                  <c:v>86.752707846101998</c:v>
                </c:pt>
                <c:pt idx="523">
                  <c:v>86.768223547804709</c:v>
                </c:pt>
                <c:pt idx="524">
                  <c:v>86.783742024487097</c:v>
                </c:pt>
                <c:pt idx="525">
                  <c:v>86.799263276645419</c:v>
                </c:pt>
                <c:pt idx="526">
                  <c:v>86.814787304776104</c:v>
                </c:pt>
                <c:pt idx="527">
                  <c:v>86.830314109375635</c:v>
                </c:pt>
                <c:pt idx="528">
                  <c:v>86.845843690940569</c:v>
                </c:pt>
                <c:pt idx="529">
                  <c:v>86.861376049967561</c:v>
                </c:pt>
                <c:pt idx="530">
                  <c:v>86.876911186953294</c:v>
                </c:pt>
                <c:pt idx="531">
                  <c:v>86.89244910239475</c:v>
                </c:pt>
                <c:pt idx="532">
                  <c:v>86.907989796788783</c:v>
                </c:pt>
                <c:pt idx="533">
                  <c:v>86.923533270632419</c:v>
                </c:pt>
                <c:pt idx="534">
                  <c:v>86.939079524422752</c:v>
                </c:pt>
                <c:pt idx="535">
                  <c:v>86.954628558656964</c:v>
                </c:pt>
                <c:pt idx="536">
                  <c:v>86.970180373832349</c:v>
                </c:pt>
                <c:pt idx="537">
                  <c:v>86.985734970446273</c:v>
                </c:pt>
                <c:pt idx="538">
                  <c:v>87.001292348996216</c:v>
                </c:pt>
                <c:pt idx="539">
                  <c:v>87.016852509979614</c:v>
                </c:pt>
                <c:pt idx="540">
                  <c:v>87.032415453894274</c:v>
                </c:pt>
                <c:pt idx="541">
                  <c:v>87.047981181237873</c:v>
                </c:pt>
                <c:pt idx="542">
                  <c:v>87.063549692508175</c:v>
                </c:pt>
                <c:pt idx="543">
                  <c:v>87.079120988203115</c:v>
                </c:pt>
                <c:pt idx="544">
                  <c:v>87.094695068820698</c:v>
                </c:pt>
                <c:pt idx="545">
                  <c:v>87.110271934858986</c:v>
                </c:pt>
                <c:pt idx="546">
                  <c:v>87.125851586816154</c:v>
                </c:pt>
                <c:pt idx="547">
                  <c:v>87.141434025190449</c:v>
                </c:pt>
                <c:pt idx="548">
                  <c:v>87.157019250480175</c:v>
                </c:pt>
                <c:pt idx="549">
                  <c:v>87.17260726318392</c:v>
                </c:pt>
                <c:pt idx="550">
                  <c:v>87.188198063800129</c:v>
                </c:pt>
                <c:pt idx="551">
                  <c:v>87.203791652827405</c:v>
                </c:pt>
                <c:pt idx="552">
                  <c:v>87.219388030764463</c:v>
                </c:pt>
                <c:pt idx="553">
                  <c:v>87.234987198110105</c:v>
                </c:pt>
                <c:pt idx="554">
                  <c:v>87.250589155363215</c:v>
                </c:pt>
                <c:pt idx="555">
                  <c:v>87.266193903022767</c:v>
                </c:pt>
                <c:pt idx="556">
                  <c:v>87.281801441587831</c:v>
                </c:pt>
                <c:pt idx="557">
                  <c:v>87.297411771557464</c:v>
                </c:pt>
                <c:pt idx="558">
                  <c:v>87.313024893431063</c:v>
                </c:pt>
                <c:pt idx="559">
                  <c:v>87.328640807707913</c:v>
                </c:pt>
                <c:pt idx="560">
                  <c:v>87.344259514887398</c:v>
                </c:pt>
                <c:pt idx="561">
                  <c:v>87.359881015469057</c:v>
                </c:pt>
                <c:pt idx="562">
                  <c:v>87.375505309952473</c:v>
                </c:pt>
                <c:pt idx="563">
                  <c:v>87.391132398837343</c:v>
                </c:pt>
                <c:pt idx="564">
                  <c:v>87.406762282623433</c:v>
                </c:pt>
                <c:pt idx="565">
                  <c:v>87.42239496181061</c:v>
                </c:pt>
                <c:pt idx="566">
                  <c:v>87.438030436898856</c:v>
                </c:pt>
                <c:pt idx="567">
                  <c:v>87.453668708388193</c:v>
                </c:pt>
                <c:pt idx="568">
                  <c:v>87.469309776778744</c:v>
                </c:pt>
                <c:pt idx="569">
                  <c:v>87.484953642570787</c:v>
                </c:pt>
                <c:pt idx="570">
                  <c:v>87.500600306264587</c:v>
                </c:pt>
                <c:pt idx="571">
                  <c:v>87.516249768360481</c:v>
                </c:pt>
                <c:pt idx="572">
                  <c:v>87.531902029359131</c:v>
                </c:pt>
                <c:pt idx="573">
                  <c:v>87.547557089761028</c:v>
                </c:pt>
                <c:pt idx="574">
                  <c:v>87.56321495006685</c:v>
                </c:pt>
                <c:pt idx="575">
                  <c:v>87.578875610777374</c:v>
                </c:pt>
                <c:pt idx="576">
                  <c:v>87.594539072393431</c:v>
                </c:pt>
                <c:pt idx="577">
                  <c:v>87.610205335415969</c:v>
                </c:pt>
                <c:pt idx="578">
                  <c:v>87.625874400346021</c:v>
                </c:pt>
                <c:pt idx="579">
                  <c:v>87.641546267684703</c:v>
                </c:pt>
                <c:pt idx="580">
                  <c:v>87.657220937933147</c:v>
                </c:pt>
                <c:pt idx="581">
                  <c:v>87.672898411592826</c:v>
                </c:pt>
                <c:pt idx="582">
                  <c:v>87.688578689165027</c:v>
                </c:pt>
                <c:pt idx="583">
                  <c:v>87.704261771151252</c:v>
                </c:pt>
                <c:pt idx="584">
                  <c:v>87.719947658053044</c:v>
                </c:pt>
                <c:pt idx="585">
                  <c:v>87.735636350372076</c:v>
                </c:pt>
                <c:pt idx="586">
                  <c:v>87.751327848610103</c:v>
                </c:pt>
                <c:pt idx="587">
                  <c:v>87.76702215326894</c:v>
                </c:pt>
                <c:pt idx="588">
                  <c:v>87.782719264850542</c:v>
                </c:pt>
                <c:pt idx="589">
                  <c:v>87.798419183856836</c:v>
                </c:pt>
                <c:pt idx="590">
                  <c:v>87.814121910790078</c:v>
                </c:pt>
                <c:pt idx="591">
                  <c:v>87.829827446152407</c:v>
                </c:pt>
                <c:pt idx="592">
                  <c:v>87.845535790446078</c:v>
                </c:pt>
                <c:pt idx="593">
                  <c:v>87.861246944173502</c:v>
                </c:pt>
                <c:pt idx="594">
                  <c:v>87.87696090783713</c:v>
                </c:pt>
                <c:pt idx="595">
                  <c:v>87.892677681939517</c:v>
                </c:pt>
                <c:pt idx="596">
                  <c:v>87.908397266983314</c:v>
                </c:pt>
                <c:pt idx="597">
                  <c:v>87.924119663471245</c:v>
                </c:pt>
                <c:pt idx="598">
                  <c:v>87.939844871906089</c:v>
                </c:pt>
                <c:pt idx="599">
                  <c:v>87.955572892790883</c:v>
                </c:pt>
                <c:pt idx="600">
                  <c:v>87.971303726628562</c:v>
                </c:pt>
                <c:pt idx="601">
                  <c:v>87.987037373922234</c:v>
                </c:pt>
                <c:pt idx="602">
                  <c:v>88.002773835175091</c:v>
                </c:pt>
                <c:pt idx="603">
                  <c:v>88.018513110890382</c:v>
                </c:pt>
                <c:pt idx="604">
                  <c:v>88.034255201571497</c:v>
                </c:pt>
                <c:pt idx="605">
                  <c:v>88.050000107721885</c:v>
                </c:pt>
                <c:pt idx="606">
                  <c:v>88.065747829845094</c:v>
                </c:pt>
                <c:pt idx="607">
                  <c:v>88.081498368444741</c:v>
                </c:pt>
                <c:pt idx="608">
                  <c:v>88.097251724024503</c:v>
                </c:pt>
                <c:pt idx="609">
                  <c:v>88.113007897088337</c:v>
                </c:pt>
                <c:pt idx="610">
                  <c:v>88.128766888140078</c:v>
                </c:pt>
                <c:pt idx="611">
                  <c:v>88.144528697683711</c:v>
                </c:pt>
                <c:pt idx="612">
                  <c:v>88.160293326223325</c:v>
                </c:pt>
                <c:pt idx="613">
                  <c:v>88.176060774263107</c:v>
                </c:pt>
                <c:pt idx="614">
                  <c:v>88.191831042307328</c:v>
                </c:pt>
                <c:pt idx="615">
                  <c:v>88.207604130860332</c:v>
                </c:pt>
                <c:pt idx="616">
                  <c:v>88.223380040426562</c:v>
                </c:pt>
                <c:pt idx="617">
                  <c:v>88.239158771510489</c:v>
                </c:pt>
                <c:pt idx="618">
                  <c:v>88.254940324616896</c:v>
                </c:pt>
                <c:pt idx="619">
                  <c:v>88.270724700250412</c:v>
                </c:pt>
                <c:pt idx="620">
                  <c:v>88.286511898915862</c:v>
                </c:pt>
                <c:pt idx="621">
                  <c:v>88.302301921118129</c:v>
                </c:pt>
                <c:pt idx="622">
                  <c:v>88.318094767362226</c:v>
                </c:pt>
                <c:pt idx="623">
                  <c:v>88.333890438153205</c:v>
                </c:pt>
                <c:pt idx="624">
                  <c:v>88.349688933996234</c:v>
                </c:pt>
                <c:pt idx="625">
                  <c:v>88.365490255396608</c:v>
                </c:pt>
                <c:pt idx="626">
                  <c:v>88.381294402859552</c:v>
                </c:pt>
                <c:pt idx="627">
                  <c:v>88.397101376890703</c:v>
                </c:pt>
                <c:pt idx="628">
                  <c:v>88.412911177995497</c:v>
                </c:pt>
                <c:pt idx="629">
                  <c:v>88.428723806679557</c:v>
                </c:pt>
                <c:pt idx="630">
                  <c:v>88.44453926344859</c:v>
                </c:pt>
                <c:pt idx="631">
                  <c:v>88.460357548808403</c:v>
                </c:pt>
                <c:pt idx="632">
                  <c:v>88.476178663264889</c:v>
                </c:pt>
                <c:pt idx="633">
                  <c:v>88.492002607324025</c:v>
                </c:pt>
                <c:pt idx="634">
                  <c:v>88.507829381491902</c:v>
                </c:pt>
                <c:pt idx="635">
                  <c:v>88.523658986274597</c:v>
                </c:pt>
                <c:pt idx="636">
                  <c:v>88.5394914221785</c:v>
                </c:pt>
                <c:pt idx="637">
                  <c:v>88.555326689709915</c:v>
                </c:pt>
                <c:pt idx="638">
                  <c:v>88.571164789375246</c:v>
                </c:pt>
                <c:pt idx="639">
                  <c:v>88.587005721681038</c:v>
                </c:pt>
                <c:pt idx="640">
                  <c:v>88.602849487133909</c:v>
                </c:pt>
                <c:pt idx="641">
                  <c:v>88.618696086240561</c:v>
                </c:pt>
                <c:pt idx="642">
                  <c:v>88.634545519507782</c:v>
                </c:pt>
                <c:pt idx="643">
                  <c:v>88.650397787442472</c:v>
                </c:pt>
                <c:pt idx="644">
                  <c:v>88.666252890551547</c:v>
                </c:pt>
                <c:pt idx="645">
                  <c:v>88.682110829342207</c:v>
                </c:pt>
                <c:pt idx="646">
                  <c:v>88.697971604321552</c:v>
                </c:pt>
                <c:pt idx="647">
                  <c:v>88.713835215996895</c:v>
                </c:pt>
                <c:pt idx="648">
                  <c:v>88.729701664875449</c:v>
                </c:pt>
                <c:pt idx="649">
                  <c:v>88.745570951464614</c:v>
                </c:pt>
                <c:pt idx="650">
                  <c:v>88.761443076272101</c:v>
                </c:pt>
                <c:pt idx="651">
                  <c:v>88.777318039805436</c:v>
                </c:pt>
                <c:pt idx="652">
                  <c:v>88.793195842572317</c:v>
                </c:pt>
                <c:pt idx="653">
                  <c:v>88.809076485080539</c:v>
                </c:pt>
                <c:pt idx="654">
                  <c:v>88.824959967837998</c:v>
                </c:pt>
                <c:pt idx="655">
                  <c:v>88.840846291352676</c:v>
                </c:pt>
                <c:pt idx="656">
                  <c:v>88.856735456132625</c:v>
                </c:pt>
                <c:pt idx="657">
                  <c:v>88.872627462686012</c:v>
                </c:pt>
                <c:pt idx="658">
                  <c:v>88.888522311521015</c:v>
                </c:pt>
                <c:pt idx="659">
                  <c:v>88.904420003146143</c:v>
                </c:pt>
                <c:pt idx="660">
                  <c:v>88.920320538069717</c:v>
                </c:pt>
                <c:pt idx="661">
                  <c:v>88.936223916800301</c:v>
                </c:pt>
                <c:pt idx="662">
                  <c:v>88.95213013984646</c:v>
                </c:pt>
                <c:pt idx="663">
                  <c:v>88.968039207716942</c:v>
                </c:pt>
                <c:pt idx="664">
                  <c:v>88.983951120920523</c:v>
                </c:pt>
                <c:pt idx="665">
                  <c:v>88.999865879966094</c:v>
                </c:pt>
                <c:pt idx="666">
                  <c:v>89.015783485362633</c:v>
                </c:pt>
                <c:pt idx="667">
                  <c:v>89.031703937619127</c:v>
                </c:pt>
                <c:pt idx="668">
                  <c:v>89.04762723724491</c:v>
                </c:pt>
                <c:pt idx="669">
                  <c:v>89.063553384749142</c:v>
                </c:pt>
                <c:pt idx="670">
                  <c:v>89.079482380641153</c:v>
                </c:pt>
                <c:pt idx="671">
                  <c:v>89.095414225430403</c:v>
                </c:pt>
                <c:pt idx="672">
                  <c:v>89.111348919626394</c:v>
                </c:pt>
                <c:pt idx="673">
                  <c:v>89.127286463738756</c:v>
                </c:pt>
                <c:pt idx="674">
                  <c:v>89.143226858277188</c:v>
                </c:pt>
                <c:pt idx="675">
                  <c:v>89.159170103751478</c:v>
                </c:pt>
                <c:pt idx="676">
                  <c:v>89.175116200671468</c:v>
                </c:pt>
                <c:pt idx="677">
                  <c:v>89.191065149547271</c:v>
                </c:pt>
                <c:pt idx="678">
                  <c:v>89.207016950888885</c:v>
                </c:pt>
                <c:pt idx="679">
                  <c:v>89.222971605206482</c:v>
                </c:pt>
                <c:pt idx="680">
                  <c:v>89.2389291130103</c:v>
                </c:pt>
                <c:pt idx="681">
                  <c:v>89.254889474810696</c:v>
                </c:pt>
                <c:pt idx="682">
                  <c:v>89.270852691118094</c:v>
                </c:pt>
                <c:pt idx="683">
                  <c:v>89.286818762443048</c:v>
                </c:pt>
                <c:pt idx="684">
                  <c:v>89.302787689296139</c:v>
                </c:pt>
                <c:pt idx="685">
                  <c:v>89.318759472188034</c:v>
                </c:pt>
                <c:pt idx="686">
                  <c:v>89.334734111629672</c:v>
                </c:pt>
                <c:pt idx="687">
                  <c:v>89.350711608131874</c:v>
                </c:pt>
                <c:pt idx="688">
                  <c:v>89.366691962205635</c:v>
                </c:pt>
                <c:pt idx="689">
                  <c:v>89.382675174362006</c:v>
                </c:pt>
                <c:pt idx="690">
                  <c:v>89.39866124511218</c:v>
                </c:pt>
                <c:pt idx="691">
                  <c:v>89.414650174967406</c:v>
                </c:pt>
                <c:pt idx="692">
                  <c:v>89.430641964439019</c:v>
                </c:pt>
                <c:pt idx="693">
                  <c:v>89.446636614038482</c:v>
                </c:pt>
                <c:pt idx="694">
                  <c:v>89.462634124277244</c:v>
                </c:pt>
                <c:pt idx="695">
                  <c:v>89.47863449566708</c:v>
                </c:pt>
                <c:pt idx="696">
                  <c:v>89.494637728719638</c:v>
                </c:pt>
                <c:pt idx="697">
                  <c:v>89.510643823946722</c:v>
                </c:pt>
                <c:pt idx="698">
                  <c:v>89.526652781860221</c:v>
                </c:pt>
                <c:pt idx="699">
                  <c:v>89.542664602972138</c:v>
                </c:pt>
                <c:pt idx="700">
                  <c:v>89.558679287794547</c:v>
                </c:pt>
                <c:pt idx="701">
                  <c:v>89.574696836839649</c:v>
                </c:pt>
                <c:pt idx="702">
                  <c:v>89.590717250619662</c:v>
                </c:pt>
                <c:pt idx="703">
                  <c:v>89.606740529646899</c:v>
                </c:pt>
                <c:pt idx="704">
                  <c:v>89.622766674433961</c:v>
                </c:pt>
                <c:pt idx="705">
                  <c:v>89.638795685493292</c:v>
                </c:pt>
                <c:pt idx="706">
                  <c:v>89.654827563337548</c:v>
                </c:pt>
                <c:pt idx="707">
                  <c:v>89.670862308479457</c:v>
                </c:pt>
                <c:pt idx="708">
                  <c:v>89.686899921431788</c:v>
                </c:pt>
                <c:pt idx="709">
                  <c:v>89.702940402707512</c:v>
                </c:pt>
                <c:pt idx="710">
                  <c:v>89.718983752819582</c:v>
                </c:pt>
                <c:pt idx="711">
                  <c:v>89.735029972281112</c:v>
                </c:pt>
                <c:pt idx="712">
                  <c:v>89.751079061605182</c:v>
                </c:pt>
                <c:pt idx="713">
                  <c:v>89.767131021305246</c:v>
                </c:pt>
                <c:pt idx="714">
                  <c:v>89.783185851894586</c:v>
                </c:pt>
                <c:pt idx="715">
                  <c:v>89.799243553886654</c:v>
                </c:pt>
                <c:pt idx="716">
                  <c:v>89.815304127795002</c:v>
                </c:pt>
                <c:pt idx="717">
                  <c:v>89.831367574133296</c:v>
                </c:pt>
                <c:pt idx="718">
                  <c:v>89.847433893415214</c:v>
                </c:pt>
                <c:pt idx="719">
                  <c:v>89.863503086154637</c:v>
                </c:pt>
                <c:pt idx="720">
                  <c:v>89.879575152865456</c:v>
                </c:pt>
                <c:pt idx="721">
                  <c:v>89.89565009406158</c:v>
                </c:pt>
                <c:pt idx="722">
                  <c:v>89.911727910257312</c:v>
                </c:pt>
                <c:pt idx="723">
                  <c:v>89.92780860196676</c:v>
                </c:pt>
                <c:pt idx="724">
                  <c:v>89.943892169704185</c:v>
                </c:pt>
                <c:pt idx="725">
                  <c:v>89.959978613983964</c:v>
                </c:pt>
                <c:pt idx="726">
                  <c:v>89.976067935320572</c:v>
                </c:pt>
                <c:pt idx="727">
                  <c:v>89.992160134228598</c:v>
                </c:pt>
                <c:pt idx="728">
                  <c:v>90.008255211222632</c:v>
                </c:pt>
                <c:pt idx="729">
                  <c:v>90.024353166817491</c:v>
                </c:pt>
                <c:pt idx="730">
                  <c:v>90.040454001527962</c:v>
                </c:pt>
                <c:pt idx="731">
                  <c:v>90.056557715869019</c:v>
                </c:pt>
                <c:pt idx="732">
                  <c:v>90.072664310355634</c:v>
                </c:pt>
                <c:pt idx="733">
                  <c:v>90.088773785502951</c:v>
                </c:pt>
                <c:pt idx="734">
                  <c:v>90.104886141826157</c:v>
                </c:pt>
                <c:pt idx="735">
                  <c:v>90.121001379840479</c:v>
                </c:pt>
                <c:pt idx="736">
                  <c:v>90.137119500061459</c:v>
                </c:pt>
                <c:pt idx="737">
                  <c:v>90.153240503004525</c:v>
                </c:pt>
                <c:pt idx="738">
                  <c:v>90.169364389185233</c:v>
                </c:pt>
                <c:pt idx="739">
                  <c:v>90.185491159119238</c:v>
                </c:pt>
                <c:pt idx="740">
                  <c:v>90.201620813322307</c:v>
                </c:pt>
                <c:pt idx="741">
                  <c:v>90.217753352310311</c:v>
                </c:pt>
                <c:pt idx="742">
                  <c:v>90.233888776599173</c:v>
                </c:pt>
                <c:pt idx="743">
                  <c:v>90.250027086704932</c:v>
                </c:pt>
                <c:pt idx="744">
                  <c:v>90.266168283143614</c:v>
                </c:pt>
                <c:pt idx="745">
                  <c:v>90.28231236643164</c:v>
                </c:pt>
                <c:pt idx="746">
                  <c:v>90.298459337085205</c:v>
                </c:pt>
                <c:pt idx="747">
                  <c:v>90.314609195620747</c:v>
                </c:pt>
                <c:pt idx="748">
                  <c:v>90.330761942554744</c:v>
                </c:pt>
                <c:pt idx="749">
                  <c:v>90.346917578403804</c:v>
                </c:pt>
                <c:pt idx="750">
                  <c:v>90.363076103684563</c:v>
                </c:pt>
                <c:pt idx="751">
                  <c:v>90.37923751891384</c:v>
                </c:pt>
                <c:pt idx="752">
                  <c:v>90.395401824608498</c:v>
                </c:pt>
                <c:pt idx="753">
                  <c:v>90.411569021285388</c:v>
                </c:pt>
                <c:pt idx="754">
                  <c:v>90.427739109461726</c:v>
                </c:pt>
                <c:pt idx="755">
                  <c:v>90.443912089654631</c:v>
                </c:pt>
                <c:pt idx="756">
                  <c:v>90.460087962381266</c:v>
                </c:pt>
                <c:pt idx="757">
                  <c:v>90.47626672815899</c:v>
                </c:pt>
                <c:pt idx="758">
                  <c:v>90.492448387505235</c:v>
                </c:pt>
                <c:pt idx="759">
                  <c:v>90.508632940937503</c:v>
                </c:pt>
                <c:pt idx="760">
                  <c:v>90.52482038897341</c:v>
                </c:pt>
                <c:pt idx="761">
                  <c:v>90.541010732130644</c:v>
                </c:pt>
                <c:pt idx="762">
                  <c:v>90.557203970926906</c:v>
                </c:pt>
                <c:pt idx="763">
                  <c:v>90.573400105880282</c:v>
                </c:pt>
                <c:pt idx="764">
                  <c:v>90.589599137508628</c:v>
                </c:pt>
                <c:pt idx="765">
                  <c:v>90.605801066330031</c:v>
                </c:pt>
                <c:pt idx="766">
                  <c:v>90.622005892862646</c:v>
                </c:pt>
                <c:pt idx="767">
                  <c:v>90.638213617624757</c:v>
                </c:pt>
                <c:pt idx="768">
                  <c:v>90.654424241134663</c:v>
                </c:pt>
                <c:pt idx="769">
                  <c:v>90.670637763910833</c:v>
                </c:pt>
                <c:pt idx="770">
                  <c:v>90.686854186471791</c:v>
                </c:pt>
                <c:pt idx="771">
                  <c:v>90.703073509336093</c:v>
                </c:pt>
                <c:pt idx="772">
                  <c:v>90.719295733022619</c:v>
                </c:pt>
                <c:pt idx="773">
                  <c:v>90.73552085805008</c:v>
                </c:pt>
                <c:pt idx="774">
                  <c:v>90.751748884937413</c:v>
                </c:pt>
                <c:pt idx="775">
                  <c:v>90.767979814203585</c:v>
                </c:pt>
                <c:pt idx="776">
                  <c:v>90.784213646367689</c:v>
                </c:pt>
                <c:pt idx="777">
                  <c:v>90.80045038194892</c:v>
                </c:pt>
                <c:pt idx="778">
                  <c:v>90.816690021466556</c:v>
                </c:pt>
                <c:pt idx="779">
                  <c:v>90.832932565439947</c:v>
                </c:pt>
                <c:pt idx="780">
                  <c:v>90.849178014388499</c:v>
                </c:pt>
                <c:pt idx="781">
                  <c:v>90.865426368831891</c:v>
                </c:pt>
                <c:pt idx="782">
                  <c:v>90.881677629289726</c:v>
                </c:pt>
                <c:pt idx="783">
                  <c:v>90.897931796281725</c:v>
                </c:pt>
                <c:pt idx="784">
                  <c:v>90.914188870327735</c:v>
                </c:pt>
                <c:pt idx="785">
                  <c:v>90.930448851947659</c:v>
                </c:pt>
                <c:pt idx="786">
                  <c:v>90.946711741661531</c:v>
                </c:pt>
                <c:pt idx="787">
                  <c:v>90.962977539989453</c:v>
                </c:pt>
                <c:pt idx="788">
                  <c:v>90.979246247451655</c:v>
                </c:pt>
                <c:pt idx="789">
                  <c:v>90.995517864568342</c:v>
                </c:pt>
                <c:pt idx="790">
                  <c:v>91.011792391860055</c:v>
                </c:pt>
                <c:pt idx="791">
                  <c:v>91.028069829847198</c:v>
                </c:pt>
                <c:pt idx="792">
                  <c:v>91.044350179050355</c:v>
                </c:pt>
                <c:pt idx="793">
                  <c:v>91.060633439990212</c:v>
                </c:pt>
                <c:pt idx="794">
                  <c:v>91.076919613187499</c:v>
                </c:pt>
                <c:pt idx="795">
                  <c:v>91.093208699163085</c:v>
                </c:pt>
                <c:pt idx="796">
                  <c:v>91.109500698437941</c:v>
                </c:pt>
                <c:pt idx="797">
                  <c:v>91.125795611533078</c:v>
                </c:pt>
                <c:pt idx="798">
                  <c:v>91.142093438969582</c:v>
                </c:pt>
                <c:pt idx="799">
                  <c:v>91.158394181268818</c:v>
                </c:pt>
                <c:pt idx="800">
                  <c:v>91.174697838952042</c:v>
                </c:pt>
                <c:pt idx="801">
                  <c:v>91.191004412540664</c:v>
                </c:pt>
                <c:pt idx="802">
                  <c:v>91.207313902556194</c:v>
                </c:pt>
                <c:pt idx="803">
                  <c:v>91.223626309520228</c:v>
                </c:pt>
                <c:pt idx="804">
                  <c:v>91.239941633954501</c:v>
                </c:pt>
                <c:pt idx="805">
                  <c:v>91.256259876380739</c:v>
                </c:pt>
                <c:pt idx="806">
                  <c:v>91.272581037320862</c:v>
                </c:pt>
                <c:pt idx="807">
                  <c:v>91.288905117296835</c:v>
                </c:pt>
                <c:pt idx="808">
                  <c:v>91.305232116830737</c:v>
                </c:pt>
                <c:pt idx="809">
                  <c:v>91.321562036444718</c:v>
                </c:pt>
                <c:pt idx="810">
                  <c:v>91.337894876661039</c:v>
                </c:pt>
                <c:pt idx="811">
                  <c:v>91.354230638002065</c:v>
                </c:pt>
                <c:pt idx="812">
                  <c:v>91.370569320990128</c:v>
                </c:pt>
                <c:pt idx="813">
                  <c:v>91.386910926147948</c:v>
                </c:pt>
                <c:pt idx="814">
                  <c:v>91.403255453998057</c:v>
                </c:pt>
                <c:pt idx="815">
                  <c:v>91.419602905063186</c:v>
                </c:pt>
                <c:pt idx="816">
                  <c:v>91.435953279866155</c:v>
                </c:pt>
                <c:pt idx="817">
                  <c:v>91.452306578929878</c:v>
                </c:pt>
                <c:pt idx="818">
                  <c:v>91.468662802777317</c:v>
                </c:pt>
                <c:pt idx="819">
                  <c:v>91.485021951931628</c:v>
                </c:pt>
                <c:pt idx="820">
                  <c:v>91.501384026915986</c:v>
                </c:pt>
                <c:pt idx="821">
                  <c:v>91.517749028253576</c:v>
                </c:pt>
                <c:pt idx="822">
                  <c:v>91.53411695646794</c:v>
                </c:pt>
                <c:pt idx="823">
                  <c:v>91.550487812082466</c:v>
                </c:pt>
                <c:pt idx="824">
                  <c:v>91.566861595620736</c:v>
                </c:pt>
                <c:pt idx="825">
                  <c:v>91.583238307606408</c:v>
                </c:pt>
                <c:pt idx="826">
                  <c:v>91.599617948563136</c:v>
                </c:pt>
                <c:pt idx="827">
                  <c:v>91.616000519014918</c:v>
                </c:pt>
                <c:pt idx="828">
                  <c:v>91.632386019485651</c:v>
                </c:pt>
                <c:pt idx="829">
                  <c:v>91.648774450499346</c:v>
                </c:pt>
                <c:pt idx="830">
                  <c:v>91.665165812580128</c:v>
                </c:pt>
                <c:pt idx="831">
                  <c:v>91.681560106252221</c:v>
                </c:pt>
                <c:pt idx="832">
                  <c:v>91.697957332039934</c:v>
                </c:pt>
                <c:pt idx="833">
                  <c:v>91.714357490467677</c:v>
                </c:pt>
                <c:pt idx="834">
                  <c:v>91.730760582059986</c:v>
                </c:pt>
                <c:pt idx="835">
                  <c:v>91.747166607341327</c:v>
                </c:pt>
                <c:pt idx="836">
                  <c:v>91.763575566836565</c:v>
                </c:pt>
                <c:pt idx="837">
                  <c:v>91.779987461070405</c:v>
                </c:pt>
                <c:pt idx="838">
                  <c:v>91.796402290567741</c:v>
                </c:pt>
                <c:pt idx="839">
                  <c:v>91.812820055853521</c:v>
                </c:pt>
                <c:pt idx="840">
                  <c:v>91.829240757452823</c:v>
                </c:pt>
                <c:pt idx="841">
                  <c:v>91.845664395890793</c:v>
                </c:pt>
                <c:pt idx="842">
                  <c:v>91.862090971692709</c:v>
                </c:pt>
                <c:pt idx="843">
                  <c:v>91.878520485383902</c:v>
                </c:pt>
                <c:pt idx="844">
                  <c:v>91.894952937489705</c:v>
                </c:pt>
                <c:pt idx="845">
                  <c:v>91.911388328535864</c:v>
                </c:pt>
                <c:pt idx="846">
                  <c:v>91.927826659047895</c:v>
                </c:pt>
                <c:pt idx="847">
                  <c:v>91.944267929551614</c:v>
                </c:pt>
                <c:pt idx="848">
                  <c:v>91.960712140572682</c:v>
                </c:pt>
                <c:pt idx="849">
                  <c:v>91.977159292637097</c:v>
                </c:pt>
                <c:pt idx="850">
                  <c:v>91.993609386270819</c:v>
                </c:pt>
                <c:pt idx="851">
                  <c:v>92.01006242199999</c:v>
                </c:pt>
                <c:pt idx="852">
                  <c:v>92.026518400350781</c:v>
                </c:pt>
                <c:pt idx="853">
                  <c:v>92.042977321849406</c:v>
                </c:pt>
                <c:pt idx="854">
                  <c:v>92.059439187022406</c:v>
                </c:pt>
                <c:pt idx="855">
                  <c:v>92.075903996396207</c:v>
                </c:pt>
                <c:pt idx="856">
                  <c:v>92.092371750497321</c:v>
                </c:pt>
                <c:pt idx="857">
                  <c:v>92.108842449852474</c:v>
                </c:pt>
                <c:pt idx="858">
                  <c:v>92.125316094988349</c:v>
                </c:pt>
                <c:pt idx="859">
                  <c:v>92.141792686431856</c:v>
                </c:pt>
                <c:pt idx="860">
                  <c:v>92.158272224709933</c:v>
                </c:pt>
                <c:pt idx="861">
                  <c:v>92.174754710349617</c:v>
                </c:pt>
                <c:pt idx="862">
                  <c:v>92.191240143877948</c:v>
                </c:pt>
                <c:pt idx="863">
                  <c:v>92.207728525822347</c:v>
                </c:pt>
                <c:pt idx="864">
                  <c:v>92.224219856710022</c:v>
                </c:pt>
                <c:pt idx="865">
                  <c:v>92.240714137068423</c:v>
                </c:pt>
                <c:pt idx="866">
                  <c:v>92.257211367425029</c:v>
                </c:pt>
                <c:pt idx="867">
                  <c:v>92.273711548307446</c:v>
                </c:pt>
                <c:pt idx="868">
                  <c:v>92.290214680243409</c:v>
                </c:pt>
                <c:pt idx="869">
                  <c:v>92.306720763760708</c:v>
                </c:pt>
                <c:pt idx="870">
                  <c:v>92.323229799387192</c:v>
                </c:pt>
                <c:pt idx="871">
                  <c:v>92.339741787650823</c:v>
                </c:pt>
                <c:pt idx="872">
                  <c:v>92.356256729079803</c:v>
                </c:pt>
                <c:pt idx="873">
                  <c:v>92.372774624202208</c:v>
                </c:pt>
                <c:pt idx="874">
                  <c:v>92.389295473546355</c:v>
                </c:pt>
                <c:pt idx="875">
                  <c:v>92.405819277640575</c:v>
                </c:pt>
                <c:pt idx="876">
                  <c:v>92.422346037013341</c:v>
                </c:pt>
                <c:pt idx="877">
                  <c:v>92.438875752193184</c:v>
                </c:pt>
                <c:pt idx="878">
                  <c:v>92.455408423708747</c:v>
                </c:pt>
                <c:pt idx="879">
                  <c:v>92.471944052088787</c:v>
                </c:pt>
                <c:pt idx="880">
                  <c:v>92.488482637862049</c:v>
                </c:pt>
                <c:pt idx="881">
                  <c:v>92.505024181557644</c:v>
                </c:pt>
                <c:pt idx="882">
                  <c:v>92.521568683704473</c:v>
                </c:pt>
                <c:pt idx="883">
                  <c:v>92.538116144831676</c:v>
                </c:pt>
                <c:pt idx="884">
                  <c:v>92.554666565468494</c:v>
                </c:pt>
                <c:pt idx="885">
                  <c:v>92.571219946144183</c:v>
                </c:pt>
                <c:pt idx="886">
                  <c:v>92.587776287388195</c:v>
                </c:pt>
                <c:pt idx="887">
                  <c:v>92.604335589729999</c:v>
                </c:pt>
                <c:pt idx="888">
                  <c:v>92.620897853699176</c:v>
                </c:pt>
                <c:pt idx="889">
                  <c:v>92.637463079825352</c:v>
                </c:pt>
                <c:pt idx="890">
                  <c:v>92.654031268638477</c:v>
                </c:pt>
                <c:pt idx="891">
                  <c:v>92.670602420668317</c:v>
                </c:pt>
                <c:pt idx="892">
                  <c:v>92.687176536444866</c:v>
                </c:pt>
                <c:pt idx="893">
                  <c:v>92.70375361649819</c:v>
                </c:pt>
                <c:pt idx="894">
                  <c:v>92.720333661358438</c:v>
                </c:pt>
                <c:pt idx="895">
                  <c:v>92.736916671555846</c:v>
                </c:pt>
                <c:pt idx="896">
                  <c:v>92.75350264762082</c:v>
                </c:pt>
                <c:pt idx="897">
                  <c:v>92.770091590083766</c:v>
                </c:pt>
                <c:pt idx="898">
                  <c:v>92.786683499475217</c:v>
                </c:pt>
                <c:pt idx="899">
                  <c:v>92.803278376325721</c:v>
                </c:pt>
                <c:pt idx="900">
                  <c:v>92.819876221166211</c:v>
                </c:pt>
                <c:pt idx="901">
                  <c:v>92.836477034527405</c:v>
                </c:pt>
                <c:pt idx="902">
                  <c:v>92.853080816940221</c:v>
                </c:pt>
                <c:pt idx="903">
                  <c:v>92.86968756893566</c:v>
                </c:pt>
                <c:pt idx="904">
                  <c:v>92.886297291044869</c:v>
                </c:pt>
                <c:pt idx="905">
                  <c:v>92.90290998379902</c:v>
                </c:pt>
                <c:pt idx="906">
                  <c:v>92.919525647729429</c:v>
                </c:pt>
                <c:pt idx="907">
                  <c:v>92.936144283367469</c:v>
                </c:pt>
                <c:pt idx="908">
                  <c:v>92.952765891244582</c:v>
                </c:pt>
                <c:pt idx="909">
                  <c:v>92.969390471892467</c:v>
                </c:pt>
                <c:pt idx="910">
                  <c:v>92.986018025842782</c:v>
                </c:pt>
                <c:pt idx="911">
                  <c:v>93.002648553627253</c:v>
                </c:pt>
                <c:pt idx="912">
                  <c:v>93.019282055777765</c:v>
                </c:pt>
                <c:pt idx="913">
                  <c:v>93.035918532826273</c:v>
                </c:pt>
                <c:pt idx="914">
                  <c:v>93.052557985304873</c:v>
                </c:pt>
                <c:pt idx="915">
                  <c:v>93.069200413745662</c:v>
                </c:pt>
                <c:pt idx="916">
                  <c:v>93.085845818680951</c:v>
                </c:pt>
                <c:pt idx="917">
                  <c:v>93.102494200642965</c:v>
                </c:pt>
                <c:pt idx="918">
                  <c:v>93.119145560164327</c:v>
                </c:pt>
                <c:pt idx="919">
                  <c:v>93.135799897777474</c:v>
                </c:pt>
                <c:pt idx="920">
                  <c:v>93.152457214015044</c:v>
                </c:pt>
                <c:pt idx="921">
                  <c:v>93.169117509409773</c:v>
                </c:pt>
                <c:pt idx="922">
                  <c:v>93.185780784494455</c:v>
                </c:pt>
                <c:pt idx="923">
                  <c:v>93.202447039802024</c:v>
                </c:pt>
                <c:pt idx="924">
                  <c:v>93.219116275865531</c:v>
                </c:pt>
                <c:pt idx="925">
                  <c:v>93.23578849321801</c:v>
                </c:pt>
                <c:pt idx="926">
                  <c:v>93.252463692392638</c:v>
                </c:pt>
                <c:pt idx="927">
                  <c:v>93.269141873922862</c:v>
                </c:pt>
                <c:pt idx="928">
                  <c:v>93.28582303834196</c:v>
                </c:pt>
                <c:pt idx="929">
                  <c:v>93.302507186183476</c:v>
                </c:pt>
                <c:pt idx="930">
                  <c:v>93.319194317980958</c:v>
                </c:pt>
                <c:pt idx="931">
                  <c:v>93.33588443426811</c:v>
                </c:pt>
                <c:pt idx="932">
                  <c:v>93.352577535578675</c:v>
                </c:pt>
                <c:pt idx="933">
                  <c:v>93.369273622446556</c:v>
                </c:pt>
                <c:pt idx="934">
                  <c:v>93.385972695405712</c:v>
                </c:pt>
                <c:pt idx="935">
                  <c:v>93.402674754990102</c:v>
                </c:pt>
                <c:pt idx="936">
                  <c:v>93.419379801734053</c:v>
                </c:pt>
                <c:pt idx="937">
                  <c:v>93.436087836171765</c:v>
                </c:pt>
                <c:pt idx="938">
                  <c:v>93.452798858837554</c:v>
                </c:pt>
                <c:pt idx="939">
                  <c:v>93.469512870265874</c:v>
                </c:pt>
                <c:pt idx="940">
                  <c:v>93.486229870991266</c:v>
                </c:pt>
                <c:pt idx="941">
                  <c:v>93.502949861548387</c:v>
                </c:pt>
                <c:pt idx="942">
                  <c:v>93.519672842471934</c:v>
                </c:pt>
                <c:pt idx="943">
                  <c:v>93.536398814296732</c:v>
                </c:pt>
                <c:pt idx="944">
                  <c:v>93.553127777557663</c:v>
                </c:pt>
                <c:pt idx="945">
                  <c:v>93.569859732789851</c:v>
                </c:pt>
                <c:pt idx="946">
                  <c:v>93.586594680528364</c:v>
                </c:pt>
                <c:pt idx="947">
                  <c:v>93.603332621308411</c:v>
                </c:pt>
                <c:pt idx="948">
                  <c:v>93.620073555665286</c:v>
                </c:pt>
                <c:pt idx="949">
                  <c:v>93.636817484134397</c:v>
                </c:pt>
                <c:pt idx="950">
                  <c:v>93.653564407251224</c:v>
                </c:pt>
                <c:pt idx="951">
                  <c:v>93.670314325551374</c:v>
                </c:pt>
                <c:pt idx="952">
                  <c:v>93.687067239570538</c:v>
                </c:pt>
                <c:pt idx="953">
                  <c:v>93.703823149844411</c:v>
                </c:pt>
                <c:pt idx="954">
                  <c:v>93.720582056909038</c:v>
                </c:pt>
                <c:pt idx="955">
                  <c:v>93.737343961300311</c:v>
                </c:pt>
                <c:pt idx="956">
                  <c:v>93.754108863554308</c:v>
                </c:pt>
                <c:pt idx="957">
                  <c:v>93.770876764207173</c:v>
                </c:pt>
                <c:pt idx="958">
                  <c:v>93.787647663795198</c:v>
                </c:pt>
                <c:pt idx="959">
                  <c:v>93.804421562854714</c:v>
                </c:pt>
                <c:pt idx="960">
                  <c:v>93.821198461922208</c:v>
                </c:pt>
                <c:pt idx="961">
                  <c:v>93.837978361534212</c:v>
                </c:pt>
                <c:pt idx="962">
                  <c:v>93.854761262227299</c:v>
                </c:pt>
                <c:pt idx="963">
                  <c:v>93.871547164538356</c:v>
                </c:pt>
                <c:pt idx="964">
                  <c:v>93.888336069004154</c:v>
                </c:pt>
                <c:pt idx="965">
                  <c:v>93.905127976161623</c:v>
                </c:pt>
                <c:pt idx="966">
                  <c:v>93.921922886547819</c:v>
                </c:pt>
                <c:pt idx="967">
                  <c:v>93.938720800699812</c:v>
                </c:pt>
                <c:pt idx="968">
                  <c:v>93.955521719154888</c:v>
                </c:pt>
                <c:pt idx="969">
                  <c:v>93.972325642450329</c:v>
                </c:pt>
                <c:pt idx="970">
                  <c:v>93.989132571123562</c:v>
                </c:pt>
                <c:pt idx="971">
                  <c:v>94.005942505712028</c:v>
                </c:pt>
                <c:pt idx="972">
                  <c:v>94.022755446753465</c:v>
                </c:pt>
                <c:pt idx="973">
                  <c:v>94.039571394785511</c:v>
                </c:pt>
                <c:pt idx="974">
                  <c:v>94.056390350345964</c:v>
                </c:pt>
                <c:pt idx="975">
                  <c:v>94.073212313972732</c:v>
                </c:pt>
                <c:pt idx="976">
                  <c:v>94.090037286203795</c:v>
                </c:pt>
                <c:pt idx="977">
                  <c:v>94.106865267577248</c:v>
                </c:pt>
                <c:pt idx="978">
                  <c:v>94.123696258631256</c:v>
                </c:pt>
                <c:pt idx="979">
                  <c:v>94.140530259904139</c:v>
                </c:pt>
                <c:pt idx="980">
                  <c:v>94.157367271934149</c:v>
                </c:pt>
                <c:pt idx="981">
                  <c:v>94.174207295259961</c:v>
                </c:pt>
                <c:pt idx="982">
                  <c:v>94.191050330420026</c:v>
                </c:pt>
                <c:pt idx="983">
                  <c:v>94.207896377953034</c:v>
                </c:pt>
                <c:pt idx="984">
                  <c:v>94.224745438397733</c:v>
                </c:pt>
                <c:pt idx="985">
                  <c:v>94.241597512293012</c:v>
                </c:pt>
                <c:pt idx="986">
                  <c:v>94.25845260017779</c:v>
                </c:pt>
                <c:pt idx="987">
                  <c:v>94.275310702591128</c:v>
                </c:pt>
                <c:pt idx="988">
                  <c:v>94.292171820072184</c:v>
                </c:pt>
                <c:pt idx="989">
                  <c:v>94.309035953160105</c:v>
                </c:pt>
                <c:pt idx="990">
                  <c:v>94.325903102394406</c:v>
                </c:pt>
                <c:pt idx="991">
                  <c:v>94.342773268314446</c:v>
                </c:pt>
                <c:pt idx="992">
                  <c:v>94.359646451459753</c:v>
                </c:pt>
                <c:pt idx="993">
                  <c:v>94.376522652369971</c:v>
                </c:pt>
                <c:pt idx="994">
                  <c:v>94.393401871584786</c:v>
                </c:pt>
                <c:pt idx="995">
                  <c:v>94.410284109644067</c:v>
                </c:pt>
                <c:pt idx="996">
                  <c:v>94.4271693670877</c:v>
                </c:pt>
                <c:pt idx="997">
                  <c:v>94.444057644455725</c:v>
                </c:pt>
                <c:pt idx="998">
                  <c:v>94.460948942288155</c:v>
                </c:pt>
                <c:pt idx="999">
                  <c:v>94.477843261125386</c:v>
                </c:pt>
                <c:pt idx="1000">
                  <c:v>94.494740601507615</c:v>
                </c:pt>
                <c:pt idx="1001">
                  <c:v>94.511640963975253</c:v>
                </c:pt>
                <c:pt idx="1002">
                  <c:v>94.52854434906881</c:v>
                </c:pt>
                <c:pt idx="1003">
                  <c:v>94.545450757328879</c:v>
                </c:pt>
                <c:pt idx="1004">
                  <c:v>94.562360189296143</c:v>
                </c:pt>
                <c:pt idx="1005">
                  <c:v>94.579272645511409</c:v>
                </c:pt>
                <c:pt idx="1006">
                  <c:v>94.596188126515614</c:v>
                </c:pt>
                <c:pt idx="1007">
                  <c:v>94.613106632849622</c:v>
                </c:pt>
                <c:pt idx="1008">
                  <c:v>94.630028165054469</c:v>
                </c:pt>
                <c:pt idx="1009">
                  <c:v>94.646952723671518</c:v>
                </c:pt>
                <c:pt idx="1010">
                  <c:v>94.663880309241947</c:v>
                </c:pt>
                <c:pt idx="1011">
                  <c:v>94.680810922307145</c:v>
                </c:pt>
                <c:pt idx="1012">
                  <c:v>94.697744563408563</c:v>
                </c:pt>
                <c:pt idx="1013">
                  <c:v>94.714681233087774</c:v>
                </c:pt>
                <c:pt idx="1014">
                  <c:v>94.73162093188644</c:v>
                </c:pt>
                <c:pt idx="1015">
                  <c:v>94.748563660346292</c:v>
                </c:pt>
                <c:pt idx="1016">
                  <c:v>94.76550941900922</c:v>
                </c:pt>
                <c:pt idx="1017">
                  <c:v>94.782458208417069</c:v>
                </c:pt>
                <c:pt idx="1018">
                  <c:v>94.799410029112053</c:v>
                </c:pt>
                <c:pt idx="1019">
                  <c:v>94.816364881636261</c:v>
                </c:pt>
                <c:pt idx="1020">
                  <c:v>94.833322766531893</c:v>
                </c:pt>
                <c:pt idx="1021">
                  <c:v>94.850283684341321</c:v>
                </c:pt>
                <c:pt idx="1022">
                  <c:v>94.867247635606972</c:v>
                </c:pt>
                <c:pt idx="1023">
                  <c:v>94.88421462087139</c:v>
                </c:pt>
                <c:pt idx="1024">
                  <c:v>94.901184640677187</c:v>
                </c:pt>
                <c:pt idx="1025">
                  <c:v>94.918157695567075</c:v>
                </c:pt>
                <c:pt idx="1026">
                  <c:v>94.935133786083838</c:v>
                </c:pt>
                <c:pt idx="1027">
                  <c:v>94.952112912770531</c:v>
                </c:pt>
                <c:pt idx="1028">
                  <c:v>94.969095076170092</c:v>
                </c:pt>
                <c:pt idx="1029">
                  <c:v>94.98608027682566</c:v>
                </c:pt>
                <c:pt idx="1030">
                  <c:v>95.003068515280404</c:v>
                </c:pt>
                <c:pt idx="1031">
                  <c:v>95.020059792077703</c:v>
                </c:pt>
                <c:pt idx="1032">
                  <c:v>95.037054107760881</c:v>
                </c:pt>
                <c:pt idx="1033">
                  <c:v>95.054051462873502</c:v>
                </c:pt>
                <c:pt idx="1034">
                  <c:v>95.071051857959148</c:v>
                </c:pt>
                <c:pt idx="1035">
                  <c:v>95.088055293561439</c:v>
                </c:pt>
                <c:pt idx="1036">
                  <c:v>95.10506177022431</c:v>
                </c:pt>
                <c:pt idx="1037">
                  <c:v>95.122071288491611</c:v>
                </c:pt>
                <c:pt idx="1038">
                  <c:v>95.139083848907305</c:v>
                </c:pt>
                <c:pt idx="1039">
                  <c:v>95.156099452015482</c:v>
                </c:pt>
                <c:pt idx="1040">
                  <c:v>95.173118098360348</c:v>
                </c:pt>
                <c:pt idx="1041">
                  <c:v>95.190139788486178</c:v>
                </c:pt>
                <c:pt idx="1042">
                  <c:v>95.207164522937319</c:v>
                </c:pt>
                <c:pt idx="1043">
                  <c:v>95.224192302258288</c:v>
                </c:pt>
                <c:pt idx="1044">
                  <c:v>95.24122312699356</c:v>
                </c:pt>
                <c:pt idx="1045">
                  <c:v>95.258256997687965</c:v>
                </c:pt>
                <c:pt idx="1046">
                  <c:v>95.275293914886205</c:v>
                </c:pt>
                <c:pt idx="1047">
                  <c:v>95.292333879133139</c:v>
                </c:pt>
                <c:pt idx="1048">
                  <c:v>95.309376890973738</c:v>
                </c:pt>
                <c:pt idx="1049">
                  <c:v>95.326422950953045</c:v>
                </c:pt>
                <c:pt idx="1050">
                  <c:v>95.343472059616232</c:v>
                </c:pt>
                <c:pt idx="1051">
                  <c:v>95.360524217508569</c:v>
                </c:pt>
                <c:pt idx="1052">
                  <c:v>95.377579425175384</c:v>
                </c:pt>
                <c:pt idx="1053">
                  <c:v>95.394637683162046</c:v>
                </c:pt>
                <c:pt idx="1054">
                  <c:v>95.411698992014294</c:v>
                </c:pt>
                <c:pt idx="1055">
                  <c:v>95.428763352277684</c:v>
                </c:pt>
                <c:pt idx="1056">
                  <c:v>95.445830764497941</c:v>
                </c:pt>
                <c:pt idx="1057">
                  <c:v>95.462901229220932</c:v>
                </c:pt>
                <c:pt idx="1058">
                  <c:v>95.479974746992568</c:v>
                </c:pt>
                <c:pt idx="1059">
                  <c:v>95.497051318358913</c:v>
                </c:pt>
                <c:pt idx="1060">
                  <c:v>95.514130943866078</c:v>
                </c:pt>
                <c:pt idx="1061">
                  <c:v>95.531213624060342</c:v>
                </c:pt>
                <c:pt idx="1062">
                  <c:v>95.548299359487885</c:v>
                </c:pt>
                <c:pt idx="1063">
                  <c:v>95.565388150695341</c:v>
                </c:pt>
                <c:pt idx="1064">
                  <c:v>95.582479998229161</c:v>
                </c:pt>
                <c:pt idx="1065">
                  <c:v>95.59957490263595</c:v>
                </c:pt>
                <c:pt idx="1066">
                  <c:v>95.616672864462416</c:v>
                </c:pt>
                <c:pt idx="1067">
                  <c:v>95.633773884255405</c:v>
                </c:pt>
                <c:pt idx="1068">
                  <c:v>95.650877962561822</c:v>
                </c:pt>
                <c:pt idx="1069">
                  <c:v>95.667985099928686</c:v>
                </c:pt>
                <c:pt idx="1070">
                  <c:v>95.685095296903114</c:v>
                </c:pt>
                <c:pt idx="1071">
                  <c:v>95.702208554032211</c:v>
                </c:pt>
                <c:pt idx="1072">
                  <c:v>95.719324871863449</c:v>
                </c:pt>
                <c:pt idx="1073">
                  <c:v>95.736444250944189</c:v>
                </c:pt>
                <c:pt idx="1074">
                  <c:v>95.753566691821902</c:v>
                </c:pt>
                <c:pt idx="1075">
                  <c:v>95.770692195044205</c:v>
                </c:pt>
                <c:pt idx="1076">
                  <c:v>95.787820761158798</c:v>
                </c:pt>
                <c:pt idx="1077">
                  <c:v>95.804952390713467</c:v>
                </c:pt>
                <c:pt idx="1078">
                  <c:v>95.822087084256111</c:v>
                </c:pt>
                <c:pt idx="1079">
                  <c:v>95.839224842334716</c:v>
                </c:pt>
                <c:pt idx="1080">
                  <c:v>95.856365665497322</c:v>
                </c:pt>
                <c:pt idx="1081">
                  <c:v>95.873509554292241</c:v>
                </c:pt>
                <c:pt idx="1082">
                  <c:v>95.890656509267714</c:v>
                </c:pt>
                <c:pt idx="1083">
                  <c:v>95.90780653097211</c:v>
                </c:pt>
                <c:pt idx="1084">
                  <c:v>95.924959619953924</c:v>
                </c:pt>
                <c:pt idx="1085">
                  <c:v>95.942115776761725</c:v>
                </c:pt>
                <c:pt idx="1086">
                  <c:v>95.959275001944178</c:v>
                </c:pt>
                <c:pt idx="1087">
                  <c:v>95.976437296050108</c:v>
                </c:pt>
                <c:pt idx="1088">
                  <c:v>95.993602659628337</c:v>
                </c:pt>
                <c:pt idx="1089">
                  <c:v>96.010771093227788</c:v>
                </c:pt>
                <c:pt idx="1090">
                  <c:v>96.027942597397725</c:v>
                </c:pt>
                <c:pt idx="1091">
                  <c:v>96.045117172687156</c:v>
                </c:pt>
                <c:pt idx="1092">
                  <c:v>96.062294819645444</c:v>
                </c:pt>
                <c:pt idx="1093">
                  <c:v>96.079475538821882</c:v>
                </c:pt>
                <c:pt idx="1094">
                  <c:v>96.096659330765974</c:v>
                </c:pt>
                <c:pt idx="1095">
                  <c:v>96.113846196027282</c:v>
                </c:pt>
                <c:pt idx="1096">
                  <c:v>96.131036135155455</c:v>
                </c:pt>
                <c:pt idx="1097">
                  <c:v>96.148229148700253</c:v>
                </c:pt>
                <c:pt idx="1098">
                  <c:v>96.165425237211466</c:v>
                </c:pt>
                <c:pt idx="1099">
                  <c:v>96.18262440123921</c:v>
                </c:pt>
                <c:pt idx="1100">
                  <c:v>96.199826641333459</c:v>
                </c:pt>
                <c:pt idx="1101">
                  <c:v>96.217031958044359</c:v>
                </c:pt>
                <c:pt idx="1102">
                  <c:v>96.234240351922168</c:v>
                </c:pt>
                <c:pt idx="1103">
                  <c:v>96.251451823517229</c:v>
                </c:pt>
                <c:pt idx="1104">
                  <c:v>96.268666373379986</c:v>
                </c:pt>
                <c:pt idx="1105">
                  <c:v>96.285884002061039</c:v>
                </c:pt>
                <c:pt idx="1106">
                  <c:v>96.303104710110972</c:v>
                </c:pt>
                <c:pt idx="1107">
                  <c:v>96.320328498080457</c:v>
                </c:pt>
                <c:pt idx="1108">
                  <c:v>96.337555366520519</c:v>
                </c:pt>
                <c:pt idx="1109">
                  <c:v>96.354785315982014</c:v>
                </c:pt>
                <c:pt idx="1110">
                  <c:v>96.372018347015967</c:v>
                </c:pt>
                <c:pt idx="1111">
                  <c:v>96.389254460173561</c:v>
                </c:pt>
                <c:pt idx="1112">
                  <c:v>96.406493656005964</c:v>
                </c:pt>
                <c:pt idx="1113">
                  <c:v>96.42373593506457</c:v>
                </c:pt>
                <c:pt idx="1114">
                  <c:v>96.440981297900777</c:v>
                </c:pt>
                <c:pt idx="1115">
                  <c:v>96.458229745066163</c:v>
                </c:pt>
                <c:pt idx="1116">
                  <c:v>96.475481277112294</c:v>
                </c:pt>
                <c:pt idx="1117">
                  <c:v>96.492735894590865</c:v>
                </c:pt>
                <c:pt idx="1118">
                  <c:v>96.509993598053853</c:v>
                </c:pt>
                <c:pt idx="1119">
                  <c:v>96.527254388053109</c:v>
                </c:pt>
                <c:pt idx="1120">
                  <c:v>96.544518265140667</c:v>
                </c:pt>
                <c:pt idx="1121">
                  <c:v>96.561785229868647</c:v>
                </c:pt>
                <c:pt idx="1122">
                  <c:v>96.579055282789255</c:v>
                </c:pt>
                <c:pt idx="1123">
                  <c:v>96.596328424454853</c:v>
                </c:pt>
                <c:pt idx="1124">
                  <c:v>96.613604655417802</c:v>
                </c:pt>
                <c:pt idx="1125">
                  <c:v>96.630883976230677</c:v>
                </c:pt>
                <c:pt idx="1126">
                  <c:v>96.648166387445983</c:v>
                </c:pt>
                <c:pt idx="1127">
                  <c:v>96.665451889616619</c:v>
                </c:pt>
                <c:pt idx="1128">
                  <c:v>96.682740483295319</c:v>
                </c:pt>
                <c:pt idx="1129">
                  <c:v>96.700032169034984</c:v>
                </c:pt>
                <c:pt idx="1130">
                  <c:v>96.717326947388656</c:v>
                </c:pt>
                <c:pt idx="1131">
                  <c:v>96.734624818909424</c:v>
                </c:pt>
                <c:pt idx="1132">
                  <c:v>96.751925784150487</c:v>
                </c:pt>
                <c:pt idx="1133">
                  <c:v>96.769229843665201</c:v>
                </c:pt>
                <c:pt idx="1134">
                  <c:v>96.786536998006937</c:v>
                </c:pt>
                <c:pt idx="1135">
                  <c:v>96.803847247729138</c:v>
                </c:pt>
                <c:pt idx="1136">
                  <c:v>96.821160593385571</c:v>
                </c:pt>
                <c:pt idx="1137">
                  <c:v>96.838477035529877</c:v>
                </c:pt>
                <c:pt idx="1138">
                  <c:v>96.855796574715839</c:v>
                </c:pt>
                <c:pt idx="1139">
                  <c:v>96.873119211497368</c:v>
                </c:pt>
                <c:pt idx="1140">
                  <c:v>96.890444946428474</c:v>
                </c:pt>
                <c:pt idx="1141">
                  <c:v>96.907773780063266</c:v>
                </c:pt>
                <c:pt idx="1142">
                  <c:v>96.925105712955926</c:v>
                </c:pt>
                <c:pt idx="1143">
                  <c:v>96.94244074566079</c:v>
                </c:pt>
                <c:pt idx="1144">
                  <c:v>96.959778878732152</c:v>
                </c:pt>
                <c:pt idx="1145">
                  <c:v>96.977120112724648</c:v>
                </c:pt>
                <c:pt idx="1146">
                  <c:v>96.994464448192858</c:v>
                </c:pt>
                <c:pt idx="1147">
                  <c:v>97.011811885691444</c:v>
                </c:pt>
                <c:pt idx="1148">
                  <c:v>97.029162425775198</c:v>
                </c:pt>
                <c:pt idx="1149">
                  <c:v>97.04651606899904</c:v>
                </c:pt>
                <c:pt idx="1150">
                  <c:v>97.063872815917961</c:v>
                </c:pt>
                <c:pt idx="1151">
                  <c:v>97.081232667087022</c:v>
                </c:pt>
                <c:pt idx="1152">
                  <c:v>97.098595623061456</c:v>
                </c:pt>
                <c:pt idx="1153">
                  <c:v>97.115961684396467</c:v>
                </c:pt>
                <c:pt idx="1154">
                  <c:v>97.1333308516476</c:v>
                </c:pt>
                <c:pt idx="1155">
                  <c:v>97.150703125370285</c:v>
                </c:pt>
                <c:pt idx="1156">
                  <c:v>97.168078506120096</c:v>
                </c:pt>
                <c:pt idx="1157">
                  <c:v>97.185456994452721</c:v>
                </c:pt>
                <c:pt idx="1158">
                  <c:v>97.20283859092396</c:v>
                </c:pt>
                <c:pt idx="1159">
                  <c:v>97.220223296089699</c:v>
                </c:pt>
                <c:pt idx="1160">
                  <c:v>97.237611110505938</c:v>
                </c:pt>
                <c:pt idx="1161">
                  <c:v>97.255002034728761</c:v>
                </c:pt>
                <c:pt idx="1162">
                  <c:v>97.272396069314254</c:v>
                </c:pt>
                <c:pt idx="1163">
                  <c:v>97.2897932148189</c:v>
                </c:pt>
                <c:pt idx="1164">
                  <c:v>97.307193471798982</c:v>
                </c:pt>
                <c:pt idx="1165">
                  <c:v>97.324596840810983</c:v>
                </c:pt>
                <c:pt idx="1166">
                  <c:v>97.342003322411628</c:v>
                </c:pt>
                <c:pt idx="1167">
                  <c:v>97.359412917157357</c:v>
                </c:pt>
                <c:pt idx="1168">
                  <c:v>97.376825625605065</c:v>
                </c:pt>
                <c:pt idx="1169">
                  <c:v>97.394241448311661</c:v>
                </c:pt>
                <c:pt idx="1170">
                  <c:v>97.411660385834111</c:v>
                </c:pt>
                <c:pt idx="1171">
                  <c:v>97.429082438729424</c:v>
                </c:pt>
                <c:pt idx="1172">
                  <c:v>97.446507607554949</c:v>
                </c:pt>
                <c:pt idx="1173">
                  <c:v>97.463935892867866</c:v>
                </c:pt>
                <c:pt idx="1174">
                  <c:v>97.481367295225567</c:v>
                </c:pt>
                <c:pt idx="1175">
                  <c:v>97.498801815185558</c:v>
                </c:pt>
                <c:pt idx="1176">
                  <c:v>97.516239453305417</c:v>
                </c:pt>
                <c:pt idx="1177">
                  <c:v>97.533680210142791</c:v>
                </c:pt>
                <c:pt idx="1178">
                  <c:v>97.551124086255498</c:v>
                </c:pt>
                <c:pt idx="1179">
                  <c:v>97.568571082201402</c:v>
                </c:pt>
                <c:pt idx="1180">
                  <c:v>97.586021198538404</c:v>
                </c:pt>
                <c:pt idx="1181">
                  <c:v>97.603474435824765</c:v>
                </c:pt>
                <c:pt idx="1182">
                  <c:v>97.620930794618573</c:v>
                </c:pt>
                <c:pt idx="1183">
                  <c:v>97.638390275478088</c:v>
                </c:pt>
                <c:pt idx="1184">
                  <c:v>97.655852878961724</c:v>
                </c:pt>
                <c:pt idx="1185">
                  <c:v>97.673318605627955</c:v>
                </c:pt>
                <c:pt idx="1186">
                  <c:v>97.690787456035352</c:v>
                </c:pt>
                <c:pt idx="1187">
                  <c:v>97.708259430742572</c:v>
                </c:pt>
                <c:pt idx="1188">
                  <c:v>97.725734530308443</c:v>
                </c:pt>
                <c:pt idx="1189">
                  <c:v>97.743212755291836</c:v>
                </c:pt>
                <c:pt idx="1190">
                  <c:v>97.760694106251606</c:v>
                </c:pt>
                <c:pt idx="1191">
                  <c:v>97.778178583747049</c:v>
                </c:pt>
                <c:pt idx="1192">
                  <c:v>97.795666188337236</c:v>
                </c:pt>
                <c:pt idx="1193">
                  <c:v>97.813156920581463</c:v>
                </c:pt>
                <c:pt idx="1194">
                  <c:v>97.830650781039083</c:v>
                </c:pt>
                <c:pt idx="1195">
                  <c:v>97.848147770269605</c:v>
                </c:pt>
                <c:pt idx="1196">
                  <c:v>97.865647888832584</c:v>
                </c:pt>
                <c:pt idx="1197">
                  <c:v>97.883151137287726</c:v>
                </c:pt>
                <c:pt idx="1198">
                  <c:v>97.900657516194798</c:v>
                </c:pt>
                <c:pt idx="1199">
                  <c:v>97.918167026113608</c:v>
                </c:pt>
                <c:pt idx="1200">
                  <c:v>97.935679667604276</c:v>
                </c:pt>
                <c:pt idx="1201">
                  <c:v>97.953195441226825</c:v>
                </c:pt>
                <c:pt idx="1202">
                  <c:v>97.970714347541431</c:v>
                </c:pt>
                <c:pt idx="1203">
                  <c:v>97.988236387108373</c:v>
                </c:pt>
                <c:pt idx="1204">
                  <c:v>98.005761560488054</c:v>
                </c:pt>
                <c:pt idx="1205">
                  <c:v>98.023289868240909</c:v>
                </c:pt>
                <c:pt idx="1206">
                  <c:v>98.040821310927541</c:v>
                </c:pt>
                <c:pt idx="1207">
                  <c:v>98.058355889108654</c:v>
                </c:pt>
                <c:pt idx="1208">
                  <c:v>98.075893603344895</c:v>
                </c:pt>
                <c:pt idx="1209">
                  <c:v>98.093434454197393</c:v>
                </c:pt>
                <c:pt idx="1210">
                  <c:v>98.11097844222698</c:v>
                </c:pt>
                <c:pt idx="1211">
                  <c:v>98.128525567994771</c:v>
                </c:pt>
                <c:pt idx="1212">
                  <c:v>98.146075832061925</c:v>
                </c:pt>
                <c:pt idx="1213">
                  <c:v>98.163629234989756</c:v>
                </c:pt>
                <c:pt idx="1214">
                  <c:v>98.181185777339635</c:v>
                </c:pt>
                <c:pt idx="1215">
                  <c:v>98.198745459673049</c:v>
                </c:pt>
                <c:pt idx="1216">
                  <c:v>98.216308282551566</c:v>
                </c:pt>
                <c:pt idx="1217">
                  <c:v>98.233874246536828</c:v>
                </c:pt>
                <c:pt idx="1218">
                  <c:v>98.251443352190748</c:v>
                </c:pt>
                <c:pt idx="1219">
                  <c:v>98.269015600075122</c:v>
                </c:pt>
                <c:pt idx="1220">
                  <c:v>98.286590990751975</c:v>
                </c:pt>
                <c:pt idx="1221">
                  <c:v>98.304169524783404</c:v>
                </c:pt>
                <c:pt idx="1222">
                  <c:v>98.321751202731548</c:v>
                </c:pt>
                <c:pt idx="1223">
                  <c:v>98.33933602515873</c:v>
                </c:pt>
                <c:pt idx="1224">
                  <c:v>98.35692399262733</c:v>
                </c:pt>
                <c:pt idx="1225">
                  <c:v>98.374515105699814</c:v>
                </c:pt>
                <c:pt idx="1226">
                  <c:v>98.392109364938733</c:v>
                </c:pt>
                <c:pt idx="1227">
                  <c:v>98.409706770906936</c:v>
                </c:pt>
                <c:pt idx="1228">
                  <c:v>98.427307324167117</c:v>
                </c:pt>
                <c:pt idx="1229">
                  <c:v>98.444911025282153</c:v>
                </c:pt>
                <c:pt idx="1230">
                  <c:v>98.462517874815063</c:v>
                </c:pt>
                <c:pt idx="1231">
                  <c:v>98.480127873328939</c:v>
                </c:pt>
                <c:pt idx="1232">
                  <c:v>98.497741021386972</c:v>
                </c:pt>
                <c:pt idx="1233">
                  <c:v>98.51535731955245</c:v>
                </c:pt>
                <c:pt idx="1234">
                  <c:v>98.532976768388778</c:v>
                </c:pt>
                <c:pt idx="1235">
                  <c:v>98.550599368459359</c:v>
                </c:pt>
                <c:pt idx="1236">
                  <c:v>98.568225120327966</c:v>
                </c:pt>
                <c:pt idx="1237">
                  <c:v>98.585854024558202</c:v>
                </c:pt>
                <c:pt idx="1238">
                  <c:v>98.603486081713896</c:v>
                </c:pt>
                <c:pt idx="1239">
                  <c:v>98.621121292358922</c:v>
                </c:pt>
                <c:pt idx="1240">
                  <c:v>98.638759657057278</c:v>
                </c:pt>
                <c:pt idx="1241">
                  <c:v>98.656401176373095</c:v>
                </c:pt>
                <c:pt idx="1242">
                  <c:v>98.674045850870527</c:v>
                </c:pt>
                <c:pt idx="1243">
                  <c:v>98.691693681113918</c:v>
                </c:pt>
                <c:pt idx="1244">
                  <c:v>98.709344667667565</c:v>
                </c:pt>
                <c:pt idx="1245">
                  <c:v>98.726998811096166</c:v>
                </c:pt>
                <c:pt idx="1246">
                  <c:v>98.744656111964233</c:v>
                </c:pt>
                <c:pt idx="1247">
                  <c:v>98.762316570836475</c:v>
                </c:pt>
                <c:pt idx="1248">
                  <c:v>98.779980188277676</c:v>
                </c:pt>
                <c:pt idx="1249">
                  <c:v>98.797646964852788</c:v>
                </c:pt>
                <c:pt idx="1250">
                  <c:v>98.815316901126792</c:v>
                </c:pt>
                <c:pt idx="1251">
                  <c:v>98.832989997664797</c:v>
                </c:pt>
                <c:pt idx="1252">
                  <c:v>98.85066625503201</c:v>
                </c:pt>
                <c:pt idx="1253">
                  <c:v>98.868345673793684</c:v>
                </c:pt>
                <c:pt idx="1254">
                  <c:v>98.886028254515395</c:v>
                </c:pt>
                <c:pt idx="1255">
                  <c:v>98.90371399776258</c:v>
                </c:pt>
                <c:pt idx="1256">
                  <c:v>98.921402904100859</c:v>
                </c:pt>
                <c:pt idx="1257">
                  <c:v>98.939094974095923</c:v>
                </c:pt>
                <c:pt idx="1258">
                  <c:v>98.956790208313592</c:v>
                </c:pt>
                <c:pt idx="1259">
                  <c:v>98.974488607319813</c:v>
                </c:pt>
                <c:pt idx="1260">
                  <c:v>98.992190171680605</c:v>
                </c:pt>
                <c:pt idx="1261">
                  <c:v>99.009894901962085</c:v>
                </c:pt>
                <c:pt idx="1262">
                  <c:v>99.027602798730385</c:v>
                </c:pt>
                <c:pt idx="1263">
                  <c:v>99.045313862552007</c:v>
                </c:pt>
                <c:pt idx="1264">
                  <c:v>99.063028093993282</c:v>
                </c:pt>
                <c:pt idx="1265">
                  <c:v>99.080745493620753</c:v>
                </c:pt>
                <c:pt idx="1266">
                  <c:v>99.098466062001037</c:v>
                </c:pt>
                <c:pt idx="1267">
                  <c:v>99.116189799700877</c:v>
                </c:pt>
                <c:pt idx="1268">
                  <c:v>99.133916707287099</c:v>
                </c:pt>
                <c:pt idx="1269">
                  <c:v>99.151646785326633</c:v>
                </c:pt>
                <c:pt idx="1270">
                  <c:v>99.169380034386521</c:v>
                </c:pt>
                <c:pt idx="1271">
                  <c:v>99.187116455033816</c:v>
                </c:pt>
                <c:pt idx="1272">
                  <c:v>99.204856047835904</c:v>
                </c:pt>
                <c:pt idx="1273">
                  <c:v>99.222598813360065</c:v>
                </c:pt>
                <c:pt idx="1274">
                  <c:v>99.240344752173726</c:v>
                </c:pt>
                <c:pt idx="1275">
                  <c:v>99.258093864844454</c:v>
                </c:pt>
                <c:pt idx="1276">
                  <c:v>99.275846151939845</c:v>
                </c:pt>
                <c:pt idx="1277">
                  <c:v>99.293601614027693</c:v>
                </c:pt>
                <c:pt idx="1278">
                  <c:v>99.311360251675808</c:v>
                </c:pt>
                <c:pt idx="1279">
                  <c:v>99.329122065452154</c:v>
                </c:pt>
                <c:pt idx="1280">
                  <c:v>99.346887055924682</c:v>
                </c:pt>
                <c:pt idx="1281">
                  <c:v>99.364655223661742</c:v>
                </c:pt>
                <c:pt idx="1282">
                  <c:v>99.382426569231498</c:v>
                </c:pt>
                <c:pt idx="1283">
                  <c:v>99.400201093202284</c:v>
                </c:pt>
                <c:pt idx="1284">
                  <c:v>99.417978796142549</c:v>
                </c:pt>
                <c:pt idx="1285">
                  <c:v>99.435759678620883</c:v>
                </c:pt>
                <c:pt idx="1286">
                  <c:v>99.45354374120592</c:v>
                </c:pt>
                <c:pt idx="1287">
                  <c:v>99.471330984466434</c:v>
                </c:pt>
                <c:pt idx="1288">
                  <c:v>99.489121408971286</c:v>
                </c:pt>
                <c:pt idx="1289">
                  <c:v>99.506915015289351</c:v>
                </c:pt>
                <c:pt idx="1290">
                  <c:v>99.52471180398986</c:v>
                </c:pt>
                <c:pt idx="1291">
                  <c:v>99.542511775641927</c:v>
                </c:pt>
                <c:pt idx="1292">
                  <c:v>99.560314930814783</c:v>
                </c:pt>
                <c:pt idx="1293">
                  <c:v>99.57812127007783</c:v>
                </c:pt>
                <c:pt idx="1294">
                  <c:v>99.595930794000537</c:v>
                </c:pt>
                <c:pt idx="1295">
                  <c:v>99.613743503152449</c:v>
                </c:pt>
                <c:pt idx="1296">
                  <c:v>99.631559398103278</c:v>
                </c:pt>
                <c:pt idx="1297">
                  <c:v>99.649378479422793</c:v>
                </c:pt>
                <c:pt idx="1298">
                  <c:v>99.667200747680795</c:v>
                </c:pt>
                <c:pt idx="1299">
                  <c:v>99.685026203447421</c:v>
                </c:pt>
                <c:pt idx="1300">
                  <c:v>99.702854847292699</c:v>
                </c:pt>
                <c:pt idx="1301">
                  <c:v>99.720686679786766</c:v>
                </c:pt>
                <c:pt idx="1302">
                  <c:v>99.738521701499977</c:v>
                </c:pt>
                <c:pt idx="1303">
                  <c:v>99.756359913002669</c:v>
                </c:pt>
                <c:pt idx="1304">
                  <c:v>99.774201314865365</c:v>
                </c:pt>
                <c:pt idx="1305">
                  <c:v>99.792045907658661</c:v>
                </c:pt>
                <c:pt idx="1306">
                  <c:v>99.809893691953235</c:v>
                </c:pt>
                <c:pt idx="1307">
                  <c:v>99.827744668319795</c:v>
                </c:pt>
                <c:pt idx="1308">
                  <c:v>99.845598837329447</c:v>
                </c:pt>
                <c:pt idx="1309">
                  <c:v>99.863456199553099</c:v>
                </c:pt>
                <c:pt idx="1310">
                  <c:v>99.881316755561826</c:v>
                </c:pt>
                <c:pt idx="1311">
                  <c:v>99.899180505926864</c:v>
                </c:pt>
                <c:pt idx="1312">
                  <c:v>99.917047451219531</c:v>
                </c:pt>
                <c:pt idx="1313">
                  <c:v>99.934917592011203</c:v>
                </c:pt>
                <c:pt idx="1314">
                  <c:v>99.952790928873426</c:v>
                </c:pt>
                <c:pt idx="1315">
                  <c:v>99.970667462377818</c:v>
                </c:pt>
                <c:pt idx="1316">
                  <c:v>99.988547193095997</c:v>
                </c:pt>
                <c:pt idx="1317">
                  <c:v>100.00643012159995</c:v>
                </c:pt>
                <c:pt idx="1318">
                  <c:v>100.02431624846153</c:v>
                </c:pt>
                <c:pt idx="1319">
                  <c:v>100.04220557425275</c:v>
                </c:pt>
                <c:pt idx="1320">
                  <c:v>100.06009809954574</c:v>
                </c:pt>
                <c:pt idx="1321">
                  <c:v>100.07799382491274</c:v>
                </c:pt>
                <c:pt idx="1322">
                  <c:v>100.09589275092608</c:v>
                </c:pt>
                <c:pt idx="1323">
                  <c:v>100.11379487815817</c:v>
                </c:pt>
                <c:pt idx="1324">
                  <c:v>100.13170020718161</c:v>
                </c:pt>
                <c:pt idx="1325">
                  <c:v>100.14960873856896</c:v>
                </c:pt>
                <c:pt idx="1326">
                  <c:v>100.16752047289302</c:v>
                </c:pt>
                <c:pt idx="1327">
                  <c:v>100.1854354107266</c:v>
                </c:pt>
                <c:pt idx="1328">
                  <c:v>100.20335355264268</c:v>
                </c:pt>
                <c:pt idx="1329">
                  <c:v>100.22127489921429</c:v>
                </c:pt>
                <c:pt idx="1330">
                  <c:v>100.23919945101457</c:v>
                </c:pt>
                <c:pt idx="1331">
                  <c:v>100.25712720861679</c:v>
                </c:pt>
                <c:pt idx="1332">
                  <c:v>100.27505817259431</c:v>
                </c:pt>
                <c:pt idx="1333">
                  <c:v>100.29299234352058</c:v>
                </c:pt>
                <c:pt idx="1334">
                  <c:v>100.31092972196917</c:v>
                </c:pt>
                <c:pt idx="1335">
                  <c:v>100.32887030851366</c:v>
                </c:pt>
                <c:pt idx="1336">
                  <c:v>100.34681410372797</c:v>
                </c:pt>
                <c:pt idx="1337">
                  <c:v>100.3647611081859</c:v>
                </c:pt>
                <c:pt idx="1338">
                  <c:v>100.38271132246142</c:v>
                </c:pt>
                <c:pt idx="1339">
                  <c:v>100.4006647471286</c:v>
                </c:pt>
                <c:pt idx="1340">
                  <c:v>100.41862138276163</c:v>
                </c:pt>
                <c:pt idx="1341">
                  <c:v>100.43658122993479</c:v>
                </c:pt>
                <c:pt idx="1342">
                  <c:v>100.45454428922245</c:v>
                </c:pt>
                <c:pt idx="1343">
                  <c:v>100.47251056119912</c:v>
                </c:pt>
                <c:pt idx="1344">
                  <c:v>100.49048004643926</c:v>
                </c:pt>
                <c:pt idx="1345">
                  <c:v>100.50845274551776</c:v>
                </c:pt>
                <c:pt idx="1346">
                  <c:v>100.52642865900934</c:v>
                </c:pt>
                <c:pt idx="1347">
                  <c:v>100.54440778748888</c:v>
                </c:pt>
                <c:pt idx="1348">
                  <c:v>100.56239013153137</c:v>
                </c:pt>
                <c:pt idx="1349">
                  <c:v>100.58037569171195</c:v>
                </c:pt>
                <c:pt idx="1350">
                  <c:v>100.59836446860578</c:v>
                </c:pt>
                <c:pt idx="1351">
                  <c:v>100.6163564627882</c:v>
                </c:pt>
                <c:pt idx="1352">
                  <c:v>100.63435167483462</c:v>
                </c:pt>
                <c:pt idx="1353">
                  <c:v>100.65235010532044</c:v>
                </c:pt>
                <c:pt idx="1354">
                  <c:v>100.67035175482148</c:v>
                </c:pt>
                <c:pt idx="1355">
                  <c:v>100.68835662391336</c:v>
                </c:pt>
                <c:pt idx="1356">
                  <c:v>100.70636471317192</c:v>
                </c:pt>
                <c:pt idx="1357">
                  <c:v>100.72437602317308</c:v>
                </c:pt>
                <c:pt idx="1358">
                  <c:v>100.74239055449284</c:v>
                </c:pt>
                <c:pt idx="1359">
                  <c:v>100.76040830770737</c:v>
                </c:pt>
                <c:pt idx="1360">
                  <c:v>100.77842928339288</c:v>
                </c:pt>
                <c:pt idx="1361">
                  <c:v>100.7964534821257</c:v>
                </c:pt>
                <c:pt idx="1362">
                  <c:v>100.81448090448222</c:v>
                </c:pt>
                <c:pt idx="1363">
                  <c:v>100.83251155103913</c:v>
                </c:pt>
                <c:pt idx="1364">
                  <c:v>100.85054542237303</c:v>
                </c:pt>
                <c:pt idx="1365">
                  <c:v>100.8685825190606</c:v>
                </c:pt>
                <c:pt idx="1366">
                  <c:v>100.88662284167876</c:v>
                </c:pt>
                <c:pt idx="1367">
                  <c:v>100.90466639080444</c:v>
                </c:pt>
                <c:pt idx="1368">
                  <c:v>100.92271316701469</c:v>
                </c:pt>
                <c:pt idx="1369">
                  <c:v>100.94076317088668</c:v>
                </c:pt>
                <c:pt idx="1370">
                  <c:v>100.95881640299768</c:v>
                </c:pt>
                <c:pt idx="1371">
                  <c:v>100.97687286392498</c:v>
                </c:pt>
                <c:pt idx="1372">
                  <c:v>100.99493255424625</c:v>
                </c:pt>
                <c:pt idx="1373">
                  <c:v>101.01299547453891</c:v>
                </c:pt>
                <c:pt idx="1374">
                  <c:v>101.0310616253807</c:v>
                </c:pt>
                <c:pt idx="1375">
                  <c:v>101.04913100734937</c:v>
                </c:pt>
                <c:pt idx="1376">
                  <c:v>101.06720362102284</c:v>
                </c:pt>
                <c:pt idx="1377">
                  <c:v>101.08527946697907</c:v>
                </c:pt>
                <c:pt idx="1378">
                  <c:v>101.10335854579615</c:v>
                </c:pt>
                <c:pt idx="1379">
                  <c:v>101.12144085805231</c:v>
                </c:pt>
                <c:pt idx="1380">
                  <c:v>101.13952640432572</c:v>
                </c:pt>
                <c:pt idx="1381">
                  <c:v>101.157615185195</c:v>
                </c:pt>
                <c:pt idx="1382">
                  <c:v>101.17570720123854</c:v>
                </c:pt>
                <c:pt idx="1383">
                  <c:v>101.19380245303496</c:v>
                </c:pt>
                <c:pt idx="1384">
                  <c:v>101.21190094116297</c:v>
                </c:pt>
                <c:pt idx="1385">
                  <c:v>101.23000266620137</c:v>
                </c:pt>
                <c:pt idx="1386">
                  <c:v>101.24810762872913</c:v>
                </c:pt>
                <c:pt idx="1387">
                  <c:v>101.26621582932522</c:v>
                </c:pt>
                <c:pt idx="1388">
                  <c:v>101.28432726856882</c:v>
                </c:pt>
                <c:pt idx="1389">
                  <c:v>101.30244194703901</c:v>
                </c:pt>
                <c:pt idx="1390">
                  <c:v>101.32055986531537</c:v>
                </c:pt>
                <c:pt idx="1391">
                  <c:v>101.33868102397719</c:v>
                </c:pt>
                <c:pt idx="1392">
                  <c:v>101.35680542360406</c:v>
                </c:pt>
                <c:pt idx="1393">
                  <c:v>101.37493306477559</c:v>
                </c:pt>
                <c:pt idx="1394">
                  <c:v>101.39306394807156</c:v>
                </c:pt>
                <c:pt idx="1395">
                  <c:v>101.41119807407181</c:v>
                </c:pt>
                <c:pt idx="1396">
                  <c:v>101.42933544335627</c:v>
                </c:pt>
                <c:pt idx="1397">
                  <c:v>101.44747605650504</c:v>
                </c:pt>
                <c:pt idx="1398">
                  <c:v>101.46561991409818</c:v>
                </c:pt>
                <c:pt idx="1399">
                  <c:v>101.48376701671614</c:v>
                </c:pt>
                <c:pt idx="1400">
                  <c:v>101.50191736493919</c:v>
                </c:pt>
                <c:pt idx="1401">
                  <c:v>101.52007095934782</c:v>
                </c:pt>
                <c:pt idx="1402">
                  <c:v>101.53822780052261</c:v>
                </c:pt>
                <c:pt idx="1403">
                  <c:v>101.55638788904423</c:v>
                </c:pt>
                <c:pt idx="1404">
                  <c:v>101.57455122549348</c:v>
                </c:pt>
                <c:pt idx="1405">
                  <c:v>101.59271781045123</c:v>
                </c:pt>
                <c:pt idx="1406">
                  <c:v>101.61088764449852</c:v>
                </c:pt>
                <c:pt idx="1407">
                  <c:v>101.6290607282164</c:v>
                </c:pt>
                <c:pt idx="1408">
                  <c:v>101.64723706218601</c:v>
                </c:pt>
                <c:pt idx="1409">
                  <c:v>101.66541664698885</c:v>
                </c:pt>
                <c:pt idx="1410">
                  <c:v>101.68359948320619</c:v>
                </c:pt>
                <c:pt idx="1411">
                  <c:v>101.70178557141959</c:v>
                </c:pt>
                <c:pt idx="1412">
                  <c:v>101.71997491221065</c:v>
                </c:pt>
                <c:pt idx="1413">
                  <c:v>101.7381675061611</c:v>
                </c:pt>
                <c:pt idx="1414">
                  <c:v>101.75636335385275</c:v>
                </c:pt>
                <c:pt idx="1415">
                  <c:v>101.77456245586757</c:v>
                </c:pt>
                <c:pt idx="1416">
                  <c:v>101.79276481278755</c:v>
                </c:pt>
                <c:pt idx="1417">
                  <c:v>101.81097042519477</c:v>
                </c:pt>
                <c:pt idx="1418">
                  <c:v>101.82917929367164</c:v>
                </c:pt>
                <c:pt idx="1419">
                  <c:v>101.84739141880041</c:v>
                </c:pt>
                <c:pt idx="1420">
                  <c:v>101.86560680116354</c:v>
                </c:pt>
                <c:pt idx="1421">
                  <c:v>101.88382544134359</c:v>
                </c:pt>
                <c:pt idx="1422">
                  <c:v>101.90204733992323</c:v>
                </c:pt>
                <c:pt idx="1423">
                  <c:v>101.92027249748519</c:v>
                </c:pt>
                <c:pt idx="1424">
                  <c:v>101.93850091461238</c:v>
                </c:pt>
                <c:pt idx="1425">
                  <c:v>101.95673259188774</c:v>
                </c:pt>
                <c:pt idx="1426">
                  <c:v>101.97496752989426</c:v>
                </c:pt>
                <c:pt idx="1427">
                  <c:v>101.99320572921532</c:v>
                </c:pt>
                <c:pt idx="1428">
                  <c:v>102.0114471904341</c:v>
                </c:pt>
                <c:pt idx="1429">
                  <c:v>102.02969191413399</c:v>
                </c:pt>
                <c:pt idx="1430">
                  <c:v>102.04793990089848</c:v>
                </c:pt>
                <c:pt idx="1431">
                  <c:v>102.06619115131119</c:v>
                </c:pt>
                <c:pt idx="1432">
                  <c:v>102.0844456659558</c:v>
                </c:pt>
                <c:pt idx="1433">
                  <c:v>102.10270344541614</c:v>
                </c:pt>
                <c:pt idx="1434">
                  <c:v>102.12096449027608</c:v>
                </c:pt>
                <c:pt idx="1435">
                  <c:v>102.1392288011196</c:v>
                </c:pt>
                <c:pt idx="1436">
                  <c:v>102.15749637853095</c:v>
                </c:pt>
                <c:pt idx="1437">
                  <c:v>102.17576722309431</c:v>
                </c:pt>
                <c:pt idx="1438">
                  <c:v>102.19404133539398</c:v>
                </c:pt>
                <c:pt idx="1439">
                  <c:v>102.21231871601439</c:v>
                </c:pt>
                <c:pt idx="1440">
                  <c:v>102.2305993655401</c:v>
                </c:pt>
                <c:pt idx="1441">
                  <c:v>102.24888328455575</c:v>
                </c:pt>
                <c:pt idx="1442">
                  <c:v>102.26717047364608</c:v>
                </c:pt>
                <c:pt idx="1443">
                  <c:v>102.28546093339595</c:v>
                </c:pt>
                <c:pt idx="1444">
                  <c:v>102.3037546643902</c:v>
                </c:pt>
                <c:pt idx="1445">
                  <c:v>102.3220516672141</c:v>
                </c:pt>
                <c:pt idx="1446">
                  <c:v>102.34035194245271</c:v>
                </c:pt>
                <c:pt idx="1447">
                  <c:v>102.35865549069131</c:v>
                </c:pt>
                <c:pt idx="1448">
                  <c:v>102.37696231251527</c:v>
                </c:pt>
                <c:pt idx="1449">
                  <c:v>102.39527240851008</c:v>
                </c:pt>
                <c:pt idx="1450">
                  <c:v>102.41358577926133</c:v>
                </c:pt>
                <c:pt idx="1451">
                  <c:v>102.43190242535468</c:v>
                </c:pt>
                <c:pt idx="1452">
                  <c:v>102.45022234737594</c:v>
                </c:pt>
                <c:pt idx="1453">
                  <c:v>102.46854554591091</c:v>
                </c:pt>
                <c:pt idx="1454">
                  <c:v>102.48687202154581</c:v>
                </c:pt>
                <c:pt idx="1455">
                  <c:v>102.50520177486661</c:v>
                </c:pt>
                <c:pt idx="1456">
                  <c:v>102.52353480645955</c:v>
                </c:pt>
                <c:pt idx="1457">
                  <c:v>102.54187111691095</c:v>
                </c:pt>
                <c:pt idx="1458">
                  <c:v>102.56021070680721</c:v>
                </c:pt>
                <c:pt idx="1459">
                  <c:v>102.57855357673489</c:v>
                </c:pt>
                <c:pt idx="1460">
                  <c:v>102.5968997272806</c:v>
                </c:pt>
                <c:pt idx="1461">
                  <c:v>102.61524915903111</c:v>
                </c:pt>
                <c:pt idx="1462">
                  <c:v>102.63360187257311</c:v>
                </c:pt>
                <c:pt idx="1463">
                  <c:v>102.6519578684938</c:v>
                </c:pt>
                <c:pt idx="1464">
                  <c:v>102.67031714738009</c:v>
                </c:pt>
                <c:pt idx="1465">
                  <c:v>102.68867970981916</c:v>
                </c:pt>
                <c:pt idx="1466">
                  <c:v>102.70704555639827</c:v>
                </c:pt>
                <c:pt idx="1467">
                  <c:v>102.72541468770478</c:v>
                </c:pt>
                <c:pt idx="1468">
                  <c:v>102.74378710432617</c:v>
                </c:pt>
                <c:pt idx="1469">
                  <c:v>102.76216280685003</c:v>
                </c:pt>
                <c:pt idx="1470">
                  <c:v>102.78054179586402</c:v>
                </c:pt>
                <c:pt idx="1471">
                  <c:v>102.79892407195584</c:v>
                </c:pt>
                <c:pt idx="1472">
                  <c:v>102.81730963571357</c:v>
                </c:pt>
                <c:pt idx="1473">
                  <c:v>102.83569848772515</c:v>
                </c:pt>
                <c:pt idx="1474">
                  <c:v>102.85409062857862</c:v>
                </c:pt>
                <c:pt idx="1475">
                  <c:v>102.87248605886224</c:v>
                </c:pt>
                <c:pt idx="1476">
                  <c:v>102.8908847791643</c:v>
                </c:pt>
                <c:pt idx="1477">
                  <c:v>102.90928679007321</c:v>
                </c:pt>
                <c:pt idx="1478">
                  <c:v>102.92769209217752</c:v>
                </c:pt>
                <c:pt idx="1479">
                  <c:v>102.94610068606585</c:v>
                </c:pt>
                <c:pt idx="1480">
                  <c:v>102.96451257232683</c:v>
                </c:pt>
                <c:pt idx="1481">
                  <c:v>102.98292775154951</c:v>
                </c:pt>
                <c:pt idx="1482">
                  <c:v>103.00134622432273</c:v>
                </c:pt>
                <c:pt idx="1483">
                  <c:v>103.01976799123553</c:v>
                </c:pt>
                <c:pt idx="1484">
                  <c:v>103.03819305287708</c:v>
                </c:pt>
                <c:pt idx="1485">
                  <c:v>103.05662140983662</c:v>
                </c:pt>
                <c:pt idx="1486">
                  <c:v>103.07505306270365</c:v>
                </c:pt>
                <c:pt idx="1487">
                  <c:v>103.09348801206741</c:v>
                </c:pt>
                <c:pt idx="1488">
                  <c:v>103.11192625851761</c:v>
                </c:pt>
                <c:pt idx="1489">
                  <c:v>103.13036780264392</c:v>
                </c:pt>
                <c:pt idx="1490">
                  <c:v>103.148812645036</c:v>
                </c:pt>
                <c:pt idx="1491">
                  <c:v>103.167260786284</c:v>
                </c:pt>
                <c:pt idx="1492">
                  <c:v>103.18571222697777</c:v>
                </c:pt>
                <c:pt idx="1493">
                  <c:v>103.20416696770744</c:v>
                </c:pt>
                <c:pt idx="1494">
                  <c:v>103.22262500906321</c:v>
                </c:pt>
                <c:pt idx="1495">
                  <c:v>103.24108635163542</c:v>
                </c:pt>
                <c:pt idx="1496">
                  <c:v>103.25955099601445</c:v>
                </c:pt>
                <c:pt idx="1497">
                  <c:v>103.27801894279085</c:v>
                </c:pt>
                <c:pt idx="1498">
                  <c:v>103.29649019255527</c:v>
                </c:pt>
                <c:pt idx="1499">
                  <c:v>103.31496474589832</c:v>
                </c:pt>
                <c:pt idx="1500">
                  <c:v>103.33344260341106</c:v>
                </c:pt>
                <c:pt idx="1501">
                  <c:v>103.35192376568432</c:v>
                </c:pt>
                <c:pt idx="1502">
                  <c:v>103.37040823330921</c:v>
                </c:pt>
                <c:pt idx="1503">
                  <c:v>103.38889600687682</c:v>
                </c:pt>
                <c:pt idx="1504">
                  <c:v>103.40738708697845</c:v>
                </c:pt>
                <c:pt idx="1505">
                  <c:v>103.42588147420548</c:v>
                </c:pt>
                <c:pt idx="1506">
                  <c:v>103.44437916914937</c:v>
                </c:pt>
                <c:pt idx="1507">
                  <c:v>103.46288017240174</c:v>
                </c:pt>
                <c:pt idx="1508">
                  <c:v>103.48138448455416</c:v>
                </c:pt>
                <c:pt idx="1509">
                  <c:v>103.4998921061986</c:v>
                </c:pt>
                <c:pt idx="1510">
                  <c:v>103.5184030379269</c:v>
                </c:pt>
                <c:pt idx="1511">
                  <c:v>103.53691728033102</c:v>
                </c:pt>
                <c:pt idx="1512">
                  <c:v>103.55543483400314</c:v>
                </c:pt>
                <c:pt idx="1513">
                  <c:v>103.57395569953542</c:v>
                </c:pt>
                <c:pt idx="1514">
                  <c:v>103.59247987752023</c:v>
                </c:pt>
                <c:pt idx="1515">
                  <c:v>103.61100736854996</c:v>
                </c:pt>
                <c:pt idx="1516">
                  <c:v>103.6295381732172</c:v>
                </c:pt>
                <c:pt idx="1517">
                  <c:v>103.64807229211446</c:v>
                </c:pt>
                <c:pt idx="1518">
                  <c:v>103.66660972583466</c:v>
                </c:pt>
                <c:pt idx="1519">
                  <c:v>103.68515047497061</c:v>
                </c:pt>
                <c:pt idx="1520">
                  <c:v>103.70369454011524</c:v>
                </c:pt>
                <c:pt idx="1521">
                  <c:v>103.72224192186162</c:v>
                </c:pt>
                <c:pt idx="1522">
                  <c:v>103.74079262080294</c:v>
                </c:pt>
                <c:pt idx="1523">
                  <c:v>103.75934663753247</c:v>
                </c:pt>
                <c:pt idx="1524">
                  <c:v>103.77790397264359</c:v>
                </c:pt>
                <c:pt idx="1525">
                  <c:v>103.79646462672979</c:v>
                </c:pt>
                <c:pt idx="1526">
                  <c:v>103.81502860038459</c:v>
                </c:pt>
                <c:pt idx="1527">
                  <c:v>103.83359589420186</c:v>
                </c:pt>
                <c:pt idx="1528">
                  <c:v>103.85216650877533</c:v>
                </c:pt>
                <c:pt idx="1529">
                  <c:v>103.87074044469894</c:v>
                </c:pt>
                <c:pt idx="1530">
                  <c:v>103.88931770256664</c:v>
                </c:pt>
                <c:pt idx="1531">
                  <c:v>103.90789828297264</c:v>
                </c:pt>
                <c:pt idx="1532">
                  <c:v>103.92648218651114</c:v>
                </c:pt>
                <c:pt idx="1533">
                  <c:v>103.94506941377648</c:v>
                </c:pt>
                <c:pt idx="1534">
                  <c:v>103.96365996536311</c:v>
                </c:pt>
                <c:pt idx="1535">
                  <c:v>103.98225384186549</c:v>
                </c:pt>
                <c:pt idx="1536">
                  <c:v>104.00085104387847</c:v>
                </c:pt>
                <c:pt idx="1537">
                  <c:v>104.01945157199673</c:v>
                </c:pt>
                <c:pt idx="1538">
                  <c:v>104.03805542681512</c:v>
                </c:pt>
                <c:pt idx="1539">
                  <c:v>104.05666260892863</c:v>
                </c:pt>
                <c:pt idx="1540">
                  <c:v>104.07527311893236</c:v>
                </c:pt>
                <c:pt idx="1541">
                  <c:v>104.09388695742152</c:v>
                </c:pt>
                <c:pt idx="1542">
                  <c:v>104.11250412499133</c:v>
                </c:pt>
                <c:pt idx="1543">
                  <c:v>104.13112462223728</c:v>
                </c:pt>
                <c:pt idx="1544">
                  <c:v>104.14974844975477</c:v>
                </c:pt>
                <c:pt idx="1545">
                  <c:v>104.16837560813956</c:v>
                </c:pt>
                <c:pt idx="1546">
                  <c:v>104.18700609798732</c:v>
                </c:pt>
                <c:pt idx="1547">
                  <c:v>104.20563991989388</c:v>
                </c:pt>
                <c:pt idx="1548">
                  <c:v>104.22427707445517</c:v>
                </c:pt>
                <c:pt idx="1549">
                  <c:v>104.24291756226724</c:v>
                </c:pt>
                <c:pt idx="1550">
                  <c:v>104.26156138392622</c:v>
                </c:pt>
                <c:pt idx="1551">
                  <c:v>104.2802085400284</c:v>
                </c:pt>
                <c:pt idx="1552">
                  <c:v>104.29885903117014</c:v>
                </c:pt>
                <c:pt idx="1553">
                  <c:v>104.31751285794778</c:v>
                </c:pt>
                <c:pt idx="1554">
                  <c:v>104.33617002095812</c:v>
                </c:pt>
                <c:pt idx="1555">
                  <c:v>104.35483052079776</c:v>
                </c:pt>
                <c:pt idx="1556">
                  <c:v>104.37349435806345</c:v>
                </c:pt>
                <c:pt idx="1557">
                  <c:v>104.39216153335214</c:v>
                </c:pt>
                <c:pt idx="1558">
                  <c:v>104.41083204726078</c:v>
                </c:pt>
                <c:pt idx="1559">
                  <c:v>104.42950590038652</c:v>
                </c:pt>
                <c:pt idx="1560">
                  <c:v>104.44818309332655</c:v>
                </c:pt>
                <c:pt idx="1561">
                  <c:v>104.46686362667825</c:v>
                </c:pt>
                <c:pt idx="1562">
                  <c:v>104.48554750103887</c:v>
                </c:pt>
                <c:pt idx="1563">
                  <c:v>104.50423471700621</c:v>
                </c:pt>
                <c:pt idx="1564">
                  <c:v>104.52292527517781</c:v>
                </c:pt>
                <c:pt idx="1565">
                  <c:v>104.54161917615139</c:v>
                </c:pt>
                <c:pt idx="1566">
                  <c:v>104.56031642052483</c:v>
                </c:pt>
                <c:pt idx="1567">
                  <c:v>104.5790170088961</c:v>
                </c:pt>
                <c:pt idx="1568">
                  <c:v>104.59772094186327</c:v>
                </c:pt>
                <c:pt idx="1569">
                  <c:v>104.6164282200245</c:v>
                </c:pt>
                <c:pt idx="1570">
                  <c:v>104.63513884397813</c:v>
                </c:pt>
                <c:pt idx="1571">
                  <c:v>104.65385281432241</c:v>
                </c:pt>
                <c:pt idx="1572">
                  <c:v>104.67257013165603</c:v>
                </c:pt>
                <c:pt idx="1573">
                  <c:v>104.69129079657755</c:v>
                </c:pt>
                <c:pt idx="1574">
                  <c:v>104.71001480968562</c:v>
                </c:pt>
                <c:pt idx="1575">
                  <c:v>104.72874217157911</c:v>
                </c:pt>
                <c:pt idx="1576">
                  <c:v>104.74747288285695</c:v>
                </c:pt>
                <c:pt idx="1577">
                  <c:v>104.76620694411815</c:v>
                </c:pt>
                <c:pt idx="1578">
                  <c:v>104.78494435596187</c:v>
                </c:pt>
                <c:pt idx="1579">
                  <c:v>104.80368511898736</c:v>
                </c:pt>
                <c:pt idx="1580">
                  <c:v>104.82242923379387</c:v>
                </c:pt>
                <c:pt idx="1581">
                  <c:v>104.84117670098108</c:v>
                </c:pt>
                <c:pt idx="1582">
                  <c:v>104.85992752114845</c:v>
                </c:pt>
                <c:pt idx="1583">
                  <c:v>104.87868169489566</c:v>
                </c:pt>
                <c:pt idx="1584">
                  <c:v>104.89743922282251</c:v>
                </c:pt>
                <c:pt idx="1585">
                  <c:v>104.91620010552887</c:v>
                </c:pt>
                <c:pt idx="1586">
                  <c:v>104.93496434361477</c:v>
                </c:pt>
                <c:pt idx="1587">
                  <c:v>104.9537319376803</c:v>
                </c:pt>
                <c:pt idx="1588">
                  <c:v>104.97250288832566</c:v>
                </c:pt>
                <c:pt idx="1589">
                  <c:v>104.99127719615115</c:v>
                </c:pt>
                <c:pt idx="1590">
                  <c:v>105.01005486175731</c:v>
                </c:pt>
                <c:pt idx="1591">
                  <c:v>105.0288358857446</c:v>
                </c:pt>
                <c:pt idx="1592">
                  <c:v>105.0476202687137</c:v>
                </c:pt>
                <c:pt idx="1593">
                  <c:v>105.06640801126534</c:v>
                </c:pt>
                <c:pt idx="1594">
                  <c:v>105.08519911400039</c:v>
                </c:pt>
                <c:pt idx="1595">
                  <c:v>105.1039935775198</c:v>
                </c:pt>
                <c:pt idx="1596">
                  <c:v>105.12279140242465</c:v>
                </c:pt>
                <c:pt idx="1597">
                  <c:v>105.14159258931615</c:v>
                </c:pt>
                <c:pt idx="1598">
                  <c:v>105.16039713879545</c:v>
                </c:pt>
                <c:pt idx="1599">
                  <c:v>105.17920505146418</c:v>
                </c:pt>
                <c:pt idx="1600">
                  <c:v>105.19801632792372</c:v>
                </c:pt>
                <c:pt idx="1601">
                  <c:v>105.21683096877572</c:v>
                </c:pt>
                <c:pt idx="1602">
                  <c:v>105.23564897462188</c:v>
                </c:pt>
                <c:pt idx="1603">
                  <c:v>105.254470346064</c:v>
                </c:pt>
                <c:pt idx="1604">
                  <c:v>105.27329508370406</c:v>
                </c:pt>
                <c:pt idx="1605">
                  <c:v>105.29212318814407</c:v>
                </c:pt>
                <c:pt idx="1606">
                  <c:v>105.31095465998622</c:v>
                </c:pt>
                <c:pt idx="1607">
                  <c:v>105.32978949983264</c:v>
                </c:pt>
                <c:pt idx="1608">
                  <c:v>105.3486277082859</c:v>
                </c:pt>
                <c:pt idx="1609">
                  <c:v>105.36746928594837</c:v>
                </c:pt>
                <c:pt idx="1610">
                  <c:v>105.38631423342267</c:v>
                </c:pt>
                <c:pt idx="1611">
                  <c:v>105.40516255131145</c:v>
                </c:pt>
                <c:pt idx="1612">
                  <c:v>105.4240142402175</c:v>
                </c:pt>
                <c:pt idx="1613">
                  <c:v>105.44286930074374</c:v>
                </c:pt>
                <c:pt idx="1614">
                  <c:v>105.46172773349321</c:v>
                </c:pt>
                <c:pt idx="1615">
                  <c:v>105.48058953906899</c:v>
                </c:pt>
                <c:pt idx="1616">
                  <c:v>105.49945471807433</c:v>
                </c:pt>
                <c:pt idx="1617">
                  <c:v>105.51832327111249</c:v>
                </c:pt>
                <c:pt idx="1618">
                  <c:v>105.53719519878706</c:v>
                </c:pt>
                <c:pt idx="1619">
                  <c:v>105.55607050170154</c:v>
                </c:pt>
                <c:pt idx="1620">
                  <c:v>105.57494918045957</c:v>
                </c:pt>
                <c:pt idx="1621">
                  <c:v>105.59383123566492</c:v>
                </c:pt>
                <c:pt idx="1622">
                  <c:v>105.61271666792148</c:v>
                </c:pt>
                <c:pt idx="1623">
                  <c:v>105.6316054778332</c:v>
                </c:pt>
                <c:pt idx="1624">
                  <c:v>105.65049766600423</c:v>
                </c:pt>
                <c:pt idx="1625">
                  <c:v>105.66939323303872</c:v>
                </c:pt>
                <c:pt idx="1626">
                  <c:v>105.68829217954089</c:v>
                </c:pt>
                <c:pt idx="1627">
                  <c:v>105.70719450611537</c:v>
                </c:pt>
                <c:pt idx="1628">
                  <c:v>105.72610021336659</c:v>
                </c:pt>
                <c:pt idx="1629">
                  <c:v>105.74500930189917</c:v>
                </c:pt>
                <c:pt idx="1630">
                  <c:v>105.76392177231784</c:v>
                </c:pt>
                <c:pt idx="1631">
                  <c:v>105.78283762522749</c:v>
                </c:pt>
                <c:pt idx="1632">
                  <c:v>105.80175686123303</c:v>
                </c:pt>
                <c:pt idx="1633">
                  <c:v>105.82067948093953</c:v>
                </c:pt>
                <c:pt idx="1634">
                  <c:v>105.8396054849522</c:v>
                </c:pt>
                <c:pt idx="1635">
                  <c:v>105.85853487387622</c:v>
                </c:pt>
                <c:pt idx="1636">
                  <c:v>105.87746764831715</c:v>
                </c:pt>
                <c:pt idx="1637">
                  <c:v>105.89640380888041</c:v>
                </c:pt>
                <c:pt idx="1638">
                  <c:v>105.91534335617159</c:v>
                </c:pt>
                <c:pt idx="1639">
                  <c:v>105.93428629079642</c:v>
                </c:pt>
                <c:pt idx="1640">
                  <c:v>105.95323261336071</c:v>
                </c:pt>
                <c:pt idx="1641">
                  <c:v>105.97218232447041</c:v>
                </c:pt>
                <c:pt idx="1642">
                  <c:v>105.99113542473155</c:v>
                </c:pt>
                <c:pt idx="1643">
                  <c:v>106.01009191475029</c:v>
                </c:pt>
                <c:pt idx="1644">
                  <c:v>106.02905179513276</c:v>
                </c:pt>
                <c:pt idx="1645">
                  <c:v>106.04801506648566</c:v>
                </c:pt>
                <c:pt idx="1646">
                  <c:v>106.06698172941515</c:v>
                </c:pt>
                <c:pt idx="1647">
                  <c:v>106.08595178452791</c:v>
                </c:pt>
                <c:pt idx="1648">
                  <c:v>106.10492523243063</c:v>
                </c:pt>
                <c:pt idx="1649">
                  <c:v>106.12390207373009</c:v>
                </c:pt>
                <c:pt idx="1650">
                  <c:v>106.14288230903327</c:v>
                </c:pt>
                <c:pt idx="1651">
                  <c:v>106.1618659389471</c:v>
                </c:pt>
                <c:pt idx="1652">
                  <c:v>106.18085296407874</c:v>
                </c:pt>
                <c:pt idx="1653">
                  <c:v>106.19984338503535</c:v>
                </c:pt>
                <c:pt idx="1654">
                  <c:v>106.21883720242444</c:v>
                </c:pt>
                <c:pt idx="1655">
                  <c:v>106.23783441685337</c:v>
                </c:pt>
                <c:pt idx="1656">
                  <c:v>106.25683502892971</c:v>
                </c:pt>
                <c:pt idx="1657">
                  <c:v>106.2758390392611</c:v>
                </c:pt>
                <c:pt idx="1658">
                  <c:v>106.29484644845535</c:v>
                </c:pt>
                <c:pt idx="1659">
                  <c:v>106.3138572571203</c:v>
                </c:pt>
                <c:pt idx="1660">
                  <c:v>106.33287146586402</c:v>
                </c:pt>
                <c:pt idx="1661">
                  <c:v>106.35188907529455</c:v>
                </c:pt>
                <c:pt idx="1662">
                  <c:v>106.37091008602003</c:v>
                </c:pt>
                <c:pt idx="1663">
                  <c:v>106.38993449864896</c:v>
                </c:pt>
                <c:pt idx="1664">
                  <c:v>106.40896231378967</c:v>
                </c:pt>
                <c:pt idx="1665">
                  <c:v>106.42799353205075</c:v>
                </c:pt>
                <c:pt idx="1666">
                  <c:v>106.44702815404077</c:v>
                </c:pt>
                <c:pt idx="1667">
                  <c:v>106.46606618036853</c:v>
                </c:pt>
                <c:pt idx="1668">
                  <c:v>106.4851076116429</c:v>
                </c:pt>
                <c:pt idx="1669">
                  <c:v>106.50415244847285</c:v>
                </c:pt>
                <c:pt idx="1670">
                  <c:v>106.52320069146744</c:v>
                </c:pt>
                <c:pt idx="1671">
                  <c:v>106.54225234123578</c:v>
                </c:pt>
                <c:pt idx="1672">
                  <c:v>106.56130739838737</c:v>
                </c:pt>
                <c:pt idx="1673">
                  <c:v>106.58036586353151</c:v>
                </c:pt>
                <c:pt idx="1674">
                  <c:v>106.59942773727774</c:v>
                </c:pt>
                <c:pt idx="1675">
                  <c:v>106.61849302023566</c:v>
                </c:pt>
                <c:pt idx="1676">
                  <c:v>106.63756171301503</c:v>
                </c:pt>
                <c:pt idx="1677">
                  <c:v>106.65663381622568</c:v>
                </c:pt>
                <c:pt idx="1678">
                  <c:v>106.67570933047757</c:v>
                </c:pt>
                <c:pt idx="1679">
                  <c:v>106.69478825638079</c:v>
                </c:pt>
                <c:pt idx="1680">
                  <c:v>106.71387059454536</c:v>
                </c:pt>
                <c:pt idx="1681">
                  <c:v>106.7329563455818</c:v>
                </c:pt>
                <c:pt idx="1682">
                  <c:v>106.7520455101004</c:v>
                </c:pt>
                <c:pt idx="1683">
                  <c:v>106.77113808871164</c:v>
                </c:pt>
                <c:pt idx="1684">
                  <c:v>106.79023408202615</c:v>
                </c:pt>
                <c:pt idx="1685">
                  <c:v>106.80933349065464</c:v>
                </c:pt>
                <c:pt idx="1686">
                  <c:v>106.82843631520792</c:v>
                </c:pt>
                <c:pt idx="1687">
                  <c:v>106.84754255629696</c:v>
                </c:pt>
                <c:pt idx="1688">
                  <c:v>106.86665221453279</c:v>
                </c:pt>
                <c:pt idx="1689">
                  <c:v>106.88576529052649</c:v>
                </c:pt>
                <c:pt idx="1690">
                  <c:v>106.90488178488948</c:v>
                </c:pt>
                <c:pt idx="1691">
                  <c:v>106.92400169823307</c:v>
                </c:pt>
                <c:pt idx="1692">
                  <c:v>106.94312503116872</c:v>
                </c:pt>
                <c:pt idx="1693">
                  <c:v>106.96225178430805</c:v>
                </c:pt>
                <c:pt idx="1694">
                  <c:v>106.98138195826274</c:v>
                </c:pt>
                <c:pt idx="1695">
                  <c:v>107.0005155536446</c:v>
                </c:pt>
                <c:pt idx="1696">
                  <c:v>107.01965257106558</c:v>
                </c:pt>
                <c:pt idx="1697">
                  <c:v>107.0387930111377</c:v>
                </c:pt>
                <c:pt idx="1698">
                  <c:v>107.05793687447309</c:v>
                </c:pt>
                <c:pt idx="1699">
                  <c:v>107.07708416168389</c:v>
                </c:pt>
                <c:pt idx="1700">
                  <c:v>107.09623487338267</c:v>
                </c:pt>
                <c:pt idx="1701">
                  <c:v>107.1153890101818</c:v>
                </c:pt>
                <c:pt idx="1702">
                  <c:v>107.13454657269388</c:v>
                </c:pt>
                <c:pt idx="1703">
                  <c:v>107.15370756153156</c:v>
                </c:pt>
                <c:pt idx="1704">
                  <c:v>107.17287197730765</c:v>
                </c:pt>
                <c:pt idx="1705">
                  <c:v>107.19203982063507</c:v>
                </c:pt>
                <c:pt idx="1706">
                  <c:v>107.21121109212685</c:v>
                </c:pt>
                <c:pt idx="1707">
                  <c:v>107.23038579239608</c:v>
                </c:pt>
                <c:pt idx="1708">
                  <c:v>107.2495639220559</c:v>
                </c:pt>
                <c:pt idx="1709">
                  <c:v>107.26874548171989</c:v>
                </c:pt>
                <c:pt idx="1710">
                  <c:v>107.28793047200135</c:v>
                </c:pt>
                <c:pt idx="1711">
                  <c:v>107.3071188935139</c:v>
                </c:pt>
                <c:pt idx="1712">
                  <c:v>107.3263107468712</c:v>
                </c:pt>
                <c:pt idx="1713">
                  <c:v>107.34550603268701</c:v>
                </c:pt>
                <c:pt idx="1714">
                  <c:v>107.36470475157525</c:v>
                </c:pt>
                <c:pt idx="1715">
                  <c:v>107.38390690414991</c:v>
                </c:pt>
                <c:pt idx="1716">
                  <c:v>107.40311249102511</c:v>
                </c:pt>
                <c:pt idx="1717">
                  <c:v>107.42232151281499</c:v>
                </c:pt>
                <c:pt idx="1718">
                  <c:v>107.44153397013405</c:v>
                </c:pt>
                <c:pt idx="1719">
                  <c:v>107.46074986359666</c:v>
                </c:pt>
                <c:pt idx="1720">
                  <c:v>107.47996919381737</c:v>
                </c:pt>
                <c:pt idx="1721">
                  <c:v>107.4991919614108</c:v>
                </c:pt>
                <c:pt idx="1722">
                  <c:v>107.51841816699181</c:v>
                </c:pt>
                <c:pt idx="1723">
                  <c:v>107.53764781117522</c:v>
                </c:pt>
                <c:pt idx="1724">
                  <c:v>107.55688089457601</c:v>
                </c:pt>
                <c:pt idx="1725">
                  <c:v>107.57611741780934</c:v>
                </c:pt>
                <c:pt idx="1726">
                  <c:v>107.59535738149029</c:v>
                </c:pt>
                <c:pt idx="1727">
                  <c:v>107.61460078623438</c:v>
                </c:pt>
                <c:pt idx="1728">
                  <c:v>107.63384763265695</c:v>
                </c:pt>
                <c:pt idx="1729">
                  <c:v>107.65309792137357</c:v>
                </c:pt>
                <c:pt idx="1730">
                  <c:v>107.67235165299985</c:v>
                </c:pt>
                <c:pt idx="1731">
                  <c:v>107.69160882815157</c:v>
                </c:pt>
                <c:pt idx="1732">
                  <c:v>107.71086944744459</c:v>
                </c:pt>
                <c:pt idx="1733">
                  <c:v>107.73013351149493</c:v>
                </c:pt>
                <c:pt idx="1734">
                  <c:v>107.74940102091865</c:v>
                </c:pt>
                <c:pt idx="1735">
                  <c:v>107.76867197633187</c:v>
                </c:pt>
                <c:pt idx="1736">
                  <c:v>107.78794637835112</c:v>
                </c:pt>
                <c:pt idx="1737">
                  <c:v>107.8072242275927</c:v>
                </c:pt>
                <c:pt idx="1738">
                  <c:v>107.82650552467312</c:v>
                </c:pt>
                <c:pt idx="1739">
                  <c:v>107.84579027020911</c:v>
                </c:pt>
                <c:pt idx="1740">
                  <c:v>107.86507846481732</c:v>
                </c:pt>
                <c:pt idx="1741">
                  <c:v>107.8843701091147</c:v>
                </c:pt>
                <c:pt idx="1742">
                  <c:v>107.90366520371818</c:v>
                </c:pt>
                <c:pt idx="1743">
                  <c:v>107.92296374924486</c:v>
                </c:pt>
                <c:pt idx="1744">
                  <c:v>107.94226574631185</c:v>
                </c:pt>
                <c:pt idx="1745">
                  <c:v>107.96157119553664</c:v>
                </c:pt>
                <c:pt idx="1746">
                  <c:v>107.98088009753653</c:v>
                </c:pt>
                <c:pt idx="1747">
                  <c:v>108.0001924529291</c:v>
                </c:pt>
                <c:pt idx="1748">
                  <c:v>108.01950826233194</c:v>
                </c:pt>
                <c:pt idx="1749">
                  <c:v>108.03882752636282</c:v>
                </c:pt>
                <c:pt idx="1750">
                  <c:v>108.0581502456396</c:v>
                </c:pt>
                <c:pt idx="1751">
                  <c:v>108.07747642078023</c:v>
                </c:pt>
                <c:pt idx="1752">
                  <c:v>108.09680605240283</c:v>
                </c:pt>
                <c:pt idx="1753">
                  <c:v>108.11613914112549</c:v>
                </c:pt>
                <c:pt idx="1754">
                  <c:v>108.13547568756664</c:v>
                </c:pt>
                <c:pt idx="1755">
                  <c:v>108.15481569234467</c:v>
                </c:pt>
                <c:pt idx="1756">
                  <c:v>108.17415915607808</c:v>
                </c:pt>
                <c:pt idx="1757">
                  <c:v>108.19350607938546</c:v>
                </c:pt>
                <c:pt idx="1758">
                  <c:v>108.21285646288563</c:v>
                </c:pt>
                <c:pt idx="1759">
                  <c:v>108.23221030719739</c:v>
                </c:pt>
                <c:pt idx="1760">
                  <c:v>108.25156761293972</c:v>
                </c:pt>
                <c:pt idx="1761">
                  <c:v>108.2709283807317</c:v>
                </c:pt>
                <c:pt idx="1762">
                  <c:v>108.29029261119243</c:v>
                </c:pt>
                <c:pt idx="1763">
                  <c:v>108.30966030494137</c:v>
                </c:pt>
                <c:pt idx="1764">
                  <c:v>108.32903146259787</c:v>
                </c:pt>
                <c:pt idx="1765">
                  <c:v>108.34840608478142</c:v>
                </c:pt>
                <c:pt idx="1766">
                  <c:v>108.36778417211166</c:v>
                </c:pt>
                <c:pt idx="1767">
                  <c:v>108.38716572520835</c:v>
                </c:pt>
                <c:pt idx="1768">
                  <c:v>108.40655074469129</c:v>
                </c:pt>
                <c:pt idx="1769">
                  <c:v>108.42593923118049</c:v>
                </c:pt>
                <c:pt idx="1770">
                  <c:v>108.445331185296</c:v>
                </c:pt>
                <c:pt idx="1771">
                  <c:v>108.46472660765792</c:v>
                </c:pt>
                <c:pt idx="1772">
                  <c:v>108.48412549888673</c:v>
                </c:pt>
                <c:pt idx="1773">
                  <c:v>108.50352785960274</c:v>
                </c:pt>
                <c:pt idx="1774">
                  <c:v>108.52293369042648</c:v>
                </c:pt>
                <c:pt idx="1775">
                  <c:v>108.54234299197856</c:v>
                </c:pt>
                <c:pt idx="1776">
                  <c:v>108.56175576487973</c:v>
                </c:pt>
                <c:pt idx="1777">
                  <c:v>108.58117200975084</c:v>
                </c:pt>
                <c:pt idx="1778">
                  <c:v>108.60059172721284</c:v>
                </c:pt>
                <c:pt idx="1779">
                  <c:v>108.62001491788682</c:v>
                </c:pt>
                <c:pt idx="1780">
                  <c:v>108.63944158239386</c:v>
                </c:pt>
                <c:pt idx="1781">
                  <c:v>108.65887172135542</c:v>
                </c:pt>
                <c:pt idx="1782">
                  <c:v>108.67830533539284</c:v>
                </c:pt>
                <c:pt idx="1783">
                  <c:v>108.69774242512764</c:v>
                </c:pt>
                <c:pt idx="1784">
                  <c:v>108.71718299118143</c:v>
                </c:pt>
                <c:pt idx="1785">
                  <c:v>108.73662703417597</c:v>
                </c:pt>
                <c:pt idx="1786">
                  <c:v>108.75607455473308</c:v>
                </c:pt>
                <c:pt idx="1787">
                  <c:v>108.77552555347472</c:v>
                </c:pt>
                <c:pt idx="1788">
                  <c:v>108.794980031023</c:v>
                </c:pt>
                <c:pt idx="1789">
                  <c:v>108.81443798799999</c:v>
                </c:pt>
                <c:pt idx="1790">
                  <c:v>108.83389942502818</c:v>
                </c:pt>
                <c:pt idx="1791">
                  <c:v>108.85336434272985</c:v>
                </c:pt>
                <c:pt idx="1792">
                  <c:v>108.87283274172755</c:v>
                </c:pt>
                <c:pt idx="1793">
                  <c:v>108.89230462264392</c:v>
                </c:pt>
                <c:pt idx="1794">
                  <c:v>108.91177998610166</c:v>
                </c:pt>
                <c:pt idx="1795">
                  <c:v>108.93125883272366</c:v>
                </c:pt>
                <c:pt idx="1796">
                  <c:v>108.95074116313286</c:v>
                </c:pt>
                <c:pt idx="1797">
                  <c:v>108.97022697795234</c:v>
                </c:pt>
                <c:pt idx="1798">
                  <c:v>108.98971627780517</c:v>
                </c:pt>
                <c:pt idx="1799">
                  <c:v>109.0092090633149</c:v>
                </c:pt>
                <c:pt idx="1800">
                  <c:v>109.02870533510477</c:v>
                </c:pt>
                <c:pt idx="1801">
                  <c:v>109.04820509379834</c:v>
                </c:pt>
                <c:pt idx="1802">
                  <c:v>109.06770834001924</c:v>
                </c:pt>
                <c:pt idx="1803">
                  <c:v>109.08721507439121</c:v>
                </c:pt>
                <c:pt idx="1804">
                  <c:v>109.10672529753811</c:v>
                </c:pt>
                <c:pt idx="1805">
                  <c:v>109.12623901008399</c:v>
                </c:pt>
                <c:pt idx="1806">
                  <c:v>109.14575621265273</c:v>
                </c:pt>
                <c:pt idx="1807">
                  <c:v>109.16527690586867</c:v>
                </c:pt>
                <c:pt idx="1808">
                  <c:v>109.18480109035592</c:v>
                </c:pt>
                <c:pt idx="1809">
                  <c:v>109.20432876673918</c:v>
                </c:pt>
                <c:pt idx="1810">
                  <c:v>109.22385993564281</c:v>
                </c:pt>
                <c:pt idx="1811">
                  <c:v>109.24339459769148</c:v>
                </c:pt>
                <c:pt idx="1812">
                  <c:v>109.26293275350994</c:v>
                </c:pt>
                <c:pt idx="1813">
                  <c:v>109.28247440372304</c:v>
                </c:pt>
                <c:pt idx="1814">
                  <c:v>109.30201954895576</c:v>
                </c:pt>
                <c:pt idx="1815">
                  <c:v>109.32156818983319</c:v>
                </c:pt>
                <c:pt idx="1816">
                  <c:v>109.34112032698049</c:v>
                </c:pt>
                <c:pt idx="1817">
                  <c:v>109.36067596102288</c:v>
                </c:pt>
                <c:pt idx="1818">
                  <c:v>109.38023509258599</c:v>
                </c:pt>
                <c:pt idx="1819">
                  <c:v>109.39979772229528</c:v>
                </c:pt>
                <c:pt idx="1820">
                  <c:v>109.41936385077634</c:v>
                </c:pt>
                <c:pt idx="1821">
                  <c:v>109.43893347865496</c:v>
                </c:pt>
                <c:pt idx="1822">
                  <c:v>109.45850660655697</c:v>
                </c:pt>
                <c:pt idx="1823">
                  <c:v>109.4780832351084</c:v>
                </c:pt>
                <c:pt idx="1824">
                  <c:v>109.49766336493529</c:v>
                </c:pt>
                <c:pt idx="1825">
                  <c:v>109.51724699666386</c:v>
                </c:pt>
                <c:pt idx="1826">
                  <c:v>109.53683413092034</c:v>
                </c:pt>
                <c:pt idx="1827">
                  <c:v>109.55642476833135</c:v>
                </c:pt>
                <c:pt idx="1828">
                  <c:v>109.57601890952333</c:v>
                </c:pt>
                <c:pt idx="1829">
                  <c:v>109.59561655512289</c:v>
                </c:pt>
                <c:pt idx="1830">
                  <c:v>109.61521770575685</c:v>
                </c:pt>
                <c:pt idx="1831">
                  <c:v>109.63482236205205</c:v>
                </c:pt>
                <c:pt idx="1832">
                  <c:v>109.6544305246355</c:v>
                </c:pt>
                <c:pt idx="1833">
                  <c:v>109.67404219413427</c:v>
                </c:pt>
                <c:pt idx="1834">
                  <c:v>109.6936573711756</c:v>
                </c:pt>
                <c:pt idx="1835">
                  <c:v>109.7132760563867</c:v>
                </c:pt>
                <c:pt idx="1836">
                  <c:v>109.73289825039519</c:v>
                </c:pt>
                <c:pt idx="1837">
                  <c:v>109.75252395382856</c:v>
                </c:pt>
                <c:pt idx="1838">
                  <c:v>109.77215316731443</c:v>
                </c:pt>
                <c:pt idx="1839">
                  <c:v>109.79178589148057</c:v>
                </c:pt>
                <c:pt idx="1840">
                  <c:v>109.81142212695489</c:v>
                </c:pt>
                <c:pt idx="1841">
                  <c:v>109.8310618743654</c:v>
                </c:pt>
                <c:pt idx="1842">
                  <c:v>109.85070513434015</c:v>
                </c:pt>
                <c:pt idx="1843">
                  <c:v>109.87035190750741</c:v>
                </c:pt>
                <c:pt idx="1844">
                  <c:v>109.89000219449539</c:v>
                </c:pt>
                <c:pt idx="1845">
                  <c:v>109.90965599593278</c:v>
                </c:pt>
                <c:pt idx="1846">
                  <c:v>109.92931331244796</c:v>
                </c:pt>
                <c:pt idx="1847">
                  <c:v>109.94897414466966</c:v>
                </c:pt>
                <c:pt idx="1848">
                  <c:v>109.96863849322666</c:v>
                </c:pt>
                <c:pt idx="1849">
                  <c:v>109.98830635874785</c:v>
                </c:pt>
                <c:pt idx="1850">
                  <c:v>110.00797774186222</c:v>
                </c:pt>
                <c:pt idx="1851">
                  <c:v>110.02765264319891</c:v>
                </c:pt>
                <c:pt idx="1852">
                  <c:v>110.04733106338713</c:v>
                </c:pt>
                <c:pt idx="1853">
                  <c:v>110.06701300305615</c:v>
                </c:pt>
                <c:pt idx="1854">
                  <c:v>110.08669846283561</c:v>
                </c:pt>
                <c:pt idx="1855">
                  <c:v>110.10638744335503</c:v>
                </c:pt>
                <c:pt idx="1856">
                  <c:v>110.12607994524402</c:v>
                </c:pt>
                <c:pt idx="1857">
                  <c:v>110.14577596913242</c:v>
                </c:pt>
                <c:pt idx="1858">
                  <c:v>110.16547551565013</c:v>
                </c:pt>
                <c:pt idx="1859">
                  <c:v>110.18517858542718</c:v>
                </c:pt>
                <c:pt idx="1860">
                  <c:v>110.20488517909369</c:v>
                </c:pt>
                <c:pt idx="1861">
                  <c:v>110.22459529727992</c:v>
                </c:pt>
                <c:pt idx="1862">
                  <c:v>110.24430894061609</c:v>
                </c:pt>
                <c:pt idx="1863">
                  <c:v>110.26402610973292</c:v>
                </c:pt>
                <c:pt idx="1864">
                  <c:v>110.2837468052609</c:v>
                </c:pt>
                <c:pt idx="1865">
                  <c:v>110.3034710278307</c:v>
                </c:pt>
                <c:pt idx="1866">
                  <c:v>110.32319877807313</c:v>
                </c:pt>
                <c:pt idx="1867">
                  <c:v>110.34293005661912</c:v>
                </c:pt>
                <c:pt idx="1868">
                  <c:v>110.3626648640997</c:v>
                </c:pt>
                <c:pt idx="1869">
                  <c:v>110.38240320114603</c:v>
                </c:pt>
                <c:pt idx="1870">
                  <c:v>110.40214506838939</c:v>
                </c:pt>
                <c:pt idx="1871">
                  <c:v>110.42189046646102</c:v>
                </c:pt>
                <c:pt idx="1872">
                  <c:v>110.44163939599261</c:v>
                </c:pt>
                <c:pt idx="1873">
                  <c:v>110.46139185761569</c:v>
                </c:pt>
                <c:pt idx="1874">
                  <c:v>110.48114785196195</c:v>
                </c:pt>
                <c:pt idx="1875">
                  <c:v>110.5009073796632</c:v>
                </c:pt>
                <c:pt idx="1876">
                  <c:v>110.52067044135143</c:v>
                </c:pt>
                <c:pt idx="1877">
                  <c:v>110.54043703765865</c:v>
                </c:pt>
                <c:pt idx="1878">
                  <c:v>110.56020716921705</c:v>
                </c:pt>
                <c:pt idx="1879">
                  <c:v>110.57998083665889</c:v>
                </c:pt>
                <c:pt idx="1880">
                  <c:v>110.59975804061649</c:v>
                </c:pt>
                <c:pt idx="1881">
                  <c:v>110.61953878172251</c:v>
                </c:pt>
                <c:pt idx="1882">
                  <c:v>110.63932306060953</c:v>
                </c:pt>
                <c:pt idx="1883">
                  <c:v>110.65911087791021</c:v>
                </c:pt>
                <c:pt idx="1884">
                  <c:v>110.67890223425746</c:v>
                </c:pt>
                <c:pt idx="1885">
                  <c:v>110.69869713028419</c:v>
                </c:pt>
                <c:pt idx="1886">
                  <c:v>110.71849556662349</c:v>
                </c:pt>
                <c:pt idx="1887">
                  <c:v>110.73829754390854</c:v>
                </c:pt>
                <c:pt idx="1888">
                  <c:v>110.75810306277266</c:v>
                </c:pt>
                <c:pt idx="1889">
                  <c:v>110.77791212384913</c:v>
                </c:pt>
                <c:pt idx="1890">
                  <c:v>110.79772472777168</c:v>
                </c:pt>
                <c:pt idx="1891">
                  <c:v>110.81754087517386</c:v>
                </c:pt>
                <c:pt idx="1892">
                  <c:v>110.8373605666894</c:v>
                </c:pt>
                <c:pt idx="1893">
                  <c:v>110.85718380295218</c:v>
                </c:pt>
                <c:pt idx="1894">
                  <c:v>110.87701058459618</c:v>
                </c:pt>
                <c:pt idx="1895">
                  <c:v>110.89684091225548</c:v>
                </c:pt>
                <c:pt idx="1896">
                  <c:v>110.9166747865643</c:v>
                </c:pt>
                <c:pt idx="1897">
                  <c:v>110.93651220815693</c:v>
                </c:pt>
                <c:pt idx="1898">
                  <c:v>110.95635317766774</c:v>
                </c:pt>
                <c:pt idx="1899">
                  <c:v>110.97619769573141</c:v>
                </c:pt>
                <c:pt idx="1900">
                  <c:v>110.99604576298258</c:v>
                </c:pt>
                <c:pt idx="1901">
                  <c:v>111.01589738005596</c:v>
                </c:pt>
                <c:pt idx="1902">
                  <c:v>111.03575254758644</c:v>
                </c:pt>
                <c:pt idx="1903">
                  <c:v>111.05561126620907</c:v>
                </c:pt>
                <c:pt idx="1904">
                  <c:v>111.0754735365589</c:v>
                </c:pt>
                <c:pt idx="1905">
                  <c:v>111.09533935927119</c:v>
                </c:pt>
                <c:pt idx="1906">
                  <c:v>111.11520873498128</c:v>
                </c:pt>
                <c:pt idx="1907">
                  <c:v>111.13508166432459</c:v>
                </c:pt>
                <c:pt idx="1908">
                  <c:v>111.15495814793663</c:v>
                </c:pt>
                <c:pt idx="1909">
                  <c:v>111.17483818645326</c:v>
                </c:pt>
                <c:pt idx="1910">
                  <c:v>111.19472178051015</c:v>
                </c:pt>
                <c:pt idx="1911">
                  <c:v>111.21460893074325</c:v>
                </c:pt>
                <c:pt idx="1912">
                  <c:v>111.23449963778856</c:v>
                </c:pt>
                <c:pt idx="1913">
                  <c:v>111.25439390228222</c:v>
                </c:pt>
                <c:pt idx="1914">
                  <c:v>111.27429172486046</c:v>
                </c:pt>
                <c:pt idx="1915">
                  <c:v>111.29419310615967</c:v>
                </c:pt>
                <c:pt idx="1916">
                  <c:v>111.31409804681634</c:v>
                </c:pt>
                <c:pt idx="1917">
                  <c:v>111.3340065474669</c:v>
                </c:pt>
                <c:pt idx="1918">
                  <c:v>111.35391860874829</c:v>
                </c:pt>
                <c:pt idx="1919">
                  <c:v>111.37383423129727</c:v>
                </c:pt>
                <c:pt idx="1920">
                  <c:v>111.39375341575068</c:v>
                </c:pt>
                <c:pt idx="1921">
                  <c:v>111.41367616274563</c:v>
                </c:pt>
                <c:pt idx="1922">
                  <c:v>111.43360247291928</c:v>
                </c:pt>
                <c:pt idx="1923">
                  <c:v>111.45353234690887</c:v>
                </c:pt>
                <c:pt idx="1924">
                  <c:v>111.47346578535182</c:v>
                </c:pt>
                <c:pt idx="1925">
                  <c:v>111.4934027888856</c:v>
                </c:pt>
                <c:pt idx="1926">
                  <c:v>111.51334335814776</c:v>
                </c:pt>
                <c:pt idx="1927">
                  <c:v>111.53328749377621</c:v>
                </c:pt>
                <c:pt idx="1928">
                  <c:v>111.55323519640872</c:v>
                </c:pt>
                <c:pt idx="1929">
                  <c:v>111.57318646668318</c:v>
                </c:pt>
                <c:pt idx="1930">
                  <c:v>111.59314130523774</c:v>
                </c:pt>
                <c:pt idx="1931">
                  <c:v>111.61309971271054</c:v>
                </c:pt>
                <c:pt idx="1932">
                  <c:v>111.6330616897399</c:v>
                </c:pt>
                <c:pt idx="1933">
                  <c:v>111.65302723696422</c:v>
                </c:pt>
                <c:pt idx="1934">
                  <c:v>111.67299635502204</c:v>
                </c:pt>
                <c:pt idx="1935">
                  <c:v>111.69296904455192</c:v>
                </c:pt>
                <c:pt idx="1936">
                  <c:v>111.71294530619276</c:v>
                </c:pt>
                <c:pt idx="1937">
                  <c:v>111.73292514058339</c:v>
                </c:pt>
                <c:pt idx="1938">
                  <c:v>111.75290854836277</c:v>
                </c:pt>
                <c:pt idx="1939">
                  <c:v>111.77289553016999</c:v>
                </c:pt>
                <c:pt idx="1940">
                  <c:v>111.79288608664427</c:v>
                </c:pt>
                <c:pt idx="1941">
                  <c:v>111.81288021842498</c:v>
                </c:pt>
                <c:pt idx="1942">
                  <c:v>111.8328779261515</c:v>
                </c:pt>
                <c:pt idx="1943">
                  <c:v>111.85287921046343</c:v>
                </c:pt>
                <c:pt idx="1944">
                  <c:v>111.87288407200029</c:v>
                </c:pt>
                <c:pt idx="1945">
                  <c:v>111.89289251140214</c:v>
                </c:pt>
                <c:pt idx="1946">
                  <c:v>111.91290452930873</c:v>
                </c:pt>
                <c:pt idx="1947">
                  <c:v>111.93292012636007</c:v>
                </c:pt>
                <c:pt idx="1948">
                  <c:v>111.95293930319635</c:v>
                </c:pt>
                <c:pt idx="1949">
                  <c:v>111.97296206045775</c:v>
                </c:pt>
                <c:pt idx="1950">
                  <c:v>111.99298839878462</c:v>
                </c:pt>
                <c:pt idx="1951">
                  <c:v>112.0130183188175</c:v>
                </c:pt>
                <c:pt idx="1952">
                  <c:v>112.03305182119691</c:v>
                </c:pt>
                <c:pt idx="1953">
                  <c:v>112.0530889065635</c:v>
                </c:pt>
                <c:pt idx="1954">
                  <c:v>112.07312957555826</c:v>
                </c:pt>
                <c:pt idx="1955">
                  <c:v>112.09317382882202</c:v>
                </c:pt>
                <c:pt idx="1956">
                  <c:v>112.11322166699583</c:v>
                </c:pt>
                <c:pt idx="1957">
                  <c:v>112.13327309072086</c:v>
                </c:pt>
                <c:pt idx="1958">
                  <c:v>112.15332810063838</c:v>
                </c:pt>
                <c:pt idx="1959">
                  <c:v>112.17338669738979</c:v>
                </c:pt>
                <c:pt idx="1960">
                  <c:v>112.19344888161656</c:v>
                </c:pt>
                <c:pt idx="1961">
                  <c:v>112.21351465396035</c:v>
                </c:pt>
                <c:pt idx="1962">
                  <c:v>112.23358401506276</c:v>
                </c:pt>
                <c:pt idx="1963">
                  <c:v>112.25365696556587</c:v>
                </c:pt>
                <c:pt idx="1964">
                  <c:v>112.2737335061115</c:v>
                </c:pt>
                <c:pt idx="1965">
                  <c:v>112.29381363734188</c:v>
                </c:pt>
                <c:pt idx="1966">
                  <c:v>112.31389735989899</c:v>
                </c:pt>
                <c:pt idx="1967">
                  <c:v>112.3339846744252</c:v>
                </c:pt>
                <c:pt idx="1968">
                  <c:v>112.35407558156298</c:v>
                </c:pt>
                <c:pt idx="1969">
                  <c:v>112.37417008195484</c:v>
                </c:pt>
                <c:pt idx="1970">
                  <c:v>112.39426817624343</c:v>
                </c:pt>
                <c:pt idx="1971">
                  <c:v>112.41436986507145</c:v>
                </c:pt>
                <c:pt idx="1972">
                  <c:v>112.43447514908195</c:v>
                </c:pt>
                <c:pt idx="1973">
                  <c:v>112.45458402891784</c:v>
                </c:pt>
                <c:pt idx="1974">
                  <c:v>112.47469650522221</c:v>
                </c:pt>
                <c:pt idx="1975">
                  <c:v>112.49481257863835</c:v>
                </c:pt>
                <c:pt idx="1976">
                  <c:v>112.51493224980953</c:v>
                </c:pt>
                <c:pt idx="1977">
                  <c:v>112.53505551937923</c:v>
                </c:pt>
                <c:pt idx="1978">
                  <c:v>112.55518238799104</c:v>
                </c:pt>
                <c:pt idx="1979">
                  <c:v>112.57531285628865</c:v>
                </c:pt>
                <c:pt idx="1980">
                  <c:v>112.59544692491575</c:v>
                </c:pt>
                <c:pt idx="1981">
                  <c:v>112.61558459451646</c:v>
                </c:pt>
                <c:pt idx="1982">
                  <c:v>112.6357258657347</c:v>
                </c:pt>
                <c:pt idx="1983">
                  <c:v>112.65587073921465</c:v>
                </c:pt>
                <c:pt idx="1984">
                  <c:v>112.67601921560055</c:v>
                </c:pt>
                <c:pt idx="1985">
                  <c:v>112.69617129553677</c:v>
                </c:pt>
                <c:pt idx="1986">
                  <c:v>112.71632697966784</c:v>
                </c:pt>
                <c:pt idx="1987">
                  <c:v>112.73648626863834</c:v>
                </c:pt>
                <c:pt idx="1988">
                  <c:v>112.756649163093</c:v>
                </c:pt>
                <c:pt idx="1989">
                  <c:v>112.77681566367667</c:v>
                </c:pt>
                <c:pt idx="1990">
                  <c:v>112.79698577103419</c:v>
                </c:pt>
                <c:pt idx="1991">
                  <c:v>112.81715948581083</c:v>
                </c:pt>
                <c:pt idx="1992">
                  <c:v>112.8373368086517</c:v>
                </c:pt>
                <c:pt idx="1993">
                  <c:v>112.85751774020207</c:v>
                </c:pt>
                <c:pt idx="1994">
                  <c:v>112.87770228110739</c:v>
                </c:pt>
                <c:pt idx="1995">
                  <c:v>112.89789043201317</c:v>
                </c:pt>
                <c:pt idx="1996">
                  <c:v>112.91808219356507</c:v>
                </c:pt>
                <c:pt idx="1997">
                  <c:v>112.93827756640883</c:v>
                </c:pt>
                <c:pt idx="1998">
                  <c:v>112.95847655119034</c:v>
                </c:pt>
                <c:pt idx="1999">
                  <c:v>112.97867914855553</c:v>
                </c:pt>
                <c:pt idx="2000">
                  <c:v>112.99888535915065</c:v>
                </c:pt>
                <c:pt idx="2001">
                  <c:v>113.01909518362187</c:v>
                </c:pt>
                <c:pt idx="2002">
                  <c:v>113.03930862261552</c:v>
                </c:pt>
                <c:pt idx="2003">
                  <c:v>113.05952567677805</c:v>
                </c:pt>
                <c:pt idx="2004">
                  <c:v>113.07974634675601</c:v>
                </c:pt>
                <c:pt idx="2005">
                  <c:v>113.09997063319615</c:v>
                </c:pt>
                <c:pt idx="2006">
                  <c:v>113.12019853674521</c:v>
                </c:pt>
                <c:pt idx="2007">
                  <c:v>113.14043005805013</c:v>
                </c:pt>
                <c:pt idx="2008">
                  <c:v>113.16066519775785</c:v>
                </c:pt>
                <c:pt idx="2009">
                  <c:v>113.18090395651573</c:v>
                </c:pt>
                <c:pt idx="2010">
                  <c:v>113.20114633497091</c:v>
                </c:pt>
                <c:pt idx="2011">
                  <c:v>113.22139233377081</c:v>
                </c:pt>
                <c:pt idx="2012">
                  <c:v>113.2416419535629</c:v>
                </c:pt>
                <c:pt idx="2013">
                  <c:v>113.26189519499478</c:v>
                </c:pt>
                <c:pt idx="2014">
                  <c:v>113.28215205871422</c:v>
                </c:pt>
                <c:pt idx="2015">
                  <c:v>113.30241254536905</c:v>
                </c:pt>
                <c:pt idx="2016">
                  <c:v>113.3226766556072</c:v>
                </c:pt>
                <c:pt idx="2017">
                  <c:v>113.3429443900767</c:v>
                </c:pt>
                <c:pt idx="2018">
                  <c:v>113.36321574942589</c:v>
                </c:pt>
                <c:pt idx="2019">
                  <c:v>113.38349073430302</c:v>
                </c:pt>
                <c:pt idx="2020">
                  <c:v>113.40376934535647</c:v>
                </c:pt>
                <c:pt idx="2021">
                  <c:v>113.42405158323486</c:v>
                </c:pt>
                <c:pt idx="2022">
                  <c:v>113.44433744858677</c:v>
                </c:pt>
                <c:pt idx="2023">
                  <c:v>113.46462694206097</c:v>
                </c:pt>
                <c:pt idx="2024">
                  <c:v>113.48492006430641</c:v>
                </c:pt>
                <c:pt idx="2025">
                  <c:v>113.50521681597206</c:v>
                </c:pt>
                <c:pt idx="2026">
                  <c:v>113.52551719770695</c:v>
                </c:pt>
                <c:pt idx="2027">
                  <c:v>113.54582121016048</c:v>
                </c:pt>
                <c:pt idx="2028">
                  <c:v>113.56612885398197</c:v>
                </c:pt>
                <c:pt idx="2029">
                  <c:v>113.58644012982084</c:v>
                </c:pt>
                <c:pt idx="2030">
                  <c:v>113.60675503832668</c:v>
                </c:pt>
                <c:pt idx="2031">
                  <c:v>113.62707358014922</c:v>
                </c:pt>
                <c:pt idx="2032">
                  <c:v>113.64739575593825</c:v>
                </c:pt>
                <c:pt idx="2033">
                  <c:v>113.6677215663437</c:v>
                </c:pt>
                <c:pt idx="2034">
                  <c:v>113.68805101201563</c:v>
                </c:pt>
                <c:pt idx="2035">
                  <c:v>113.70838409360414</c:v>
                </c:pt>
                <c:pt idx="2036">
                  <c:v>113.72872081175966</c:v>
                </c:pt>
                <c:pt idx="2037">
                  <c:v>113.74906116713251</c:v>
                </c:pt>
                <c:pt idx="2038">
                  <c:v>113.76940516037322</c:v>
                </c:pt>
                <c:pt idx="2039">
                  <c:v>113.78975279213239</c:v>
                </c:pt>
                <c:pt idx="2040">
                  <c:v>113.81010406306081</c:v>
                </c:pt>
                <c:pt idx="2041">
                  <c:v>113.8304589738093</c:v>
                </c:pt>
                <c:pt idx="2042">
                  <c:v>113.85081752502886</c:v>
                </c:pt>
                <c:pt idx="2043">
                  <c:v>113.87117971737061</c:v>
                </c:pt>
                <c:pt idx="2044">
                  <c:v>113.89154555148565</c:v>
                </c:pt>
                <c:pt idx="2045">
                  <c:v>113.91191502802548</c:v>
                </c:pt>
                <c:pt idx="2046">
                  <c:v>113.93228814764149</c:v>
                </c:pt>
                <c:pt idx="2047">
                  <c:v>113.95266491098519</c:v>
                </c:pt>
                <c:pt idx="2048">
                  <c:v>113.97304531870832</c:v>
                </c:pt>
                <c:pt idx="2049">
                  <c:v>113.99342937146265</c:v>
                </c:pt>
                <c:pt idx="2050">
                  <c:v>114.01381706990009</c:v>
                </c:pt>
                <c:pt idx="2051">
                  <c:v>114.03420841467268</c:v>
                </c:pt>
                <c:pt idx="2052">
                  <c:v>114.05460340643253</c:v>
                </c:pt>
                <c:pt idx="2053">
                  <c:v>114.07500204583188</c:v>
                </c:pt>
                <c:pt idx="2054">
                  <c:v>114.09540433352322</c:v>
                </c:pt>
                <c:pt idx="2055">
                  <c:v>114.115810270159</c:v>
                </c:pt>
                <c:pt idx="2056">
                  <c:v>114.13621985639183</c:v>
                </c:pt>
                <c:pt idx="2057">
                  <c:v>114.15663309287442</c:v>
                </c:pt>
                <c:pt idx="2058">
                  <c:v>114.17704998025962</c:v>
                </c:pt>
                <c:pt idx="2059">
                  <c:v>114.19747051920041</c:v>
                </c:pt>
                <c:pt idx="2060">
                  <c:v>114.21789471034987</c:v>
                </c:pt>
                <c:pt idx="2061">
                  <c:v>114.23832255436118</c:v>
                </c:pt>
                <c:pt idx="2062">
                  <c:v>114.25875405188754</c:v>
                </c:pt>
                <c:pt idx="2063">
                  <c:v>114.27918920358262</c:v>
                </c:pt>
                <c:pt idx="2064">
                  <c:v>114.29962801009984</c:v>
                </c:pt>
                <c:pt idx="2065">
                  <c:v>114.32007047209288</c:v>
                </c:pt>
                <c:pt idx="2066">
                  <c:v>114.34051659021549</c:v>
                </c:pt>
                <c:pt idx="2067">
                  <c:v>114.36096636512161</c:v>
                </c:pt>
                <c:pt idx="2068">
                  <c:v>114.38141979746523</c:v>
                </c:pt>
                <c:pt idx="2069">
                  <c:v>114.40187688790049</c:v>
                </c:pt>
                <c:pt idx="2070">
                  <c:v>114.42233763708163</c:v>
                </c:pt>
                <c:pt idx="2071">
                  <c:v>114.44280204566292</c:v>
                </c:pt>
                <c:pt idx="2072">
                  <c:v>114.46327011429905</c:v>
                </c:pt>
                <c:pt idx="2073">
                  <c:v>114.48374184364451</c:v>
                </c:pt>
                <c:pt idx="2074">
                  <c:v>114.50421723435402</c:v>
                </c:pt>
                <c:pt idx="2075">
                  <c:v>114.52469628708243</c:v>
                </c:pt>
                <c:pt idx="2076">
                  <c:v>114.54517900248466</c:v>
                </c:pt>
                <c:pt idx="2077">
                  <c:v>114.56566538121581</c:v>
                </c:pt>
                <c:pt idx="2078">
                  <c:v>114.58615542393103</c:v>
                </c:pt>
                <c:pt idx="2079">
                  <c:v>114.60664913128565</c:v>
                </c:pt>
                <c:pt idx="2080">
                  <c:v>114.62714650393498</c:v>
                </c:pt>
                <c:pt idx="2081">
                  <c:v>114.64764754253478</c:v>
                </c:pt>
                <c:pt idx="2082">
                  <c:v>114.66815224774057</c:v>
                </c:pt>
                <c:pt idx="2083">
                  <c:v>114.68866062020814</c:v>
                </c:pt>
                <c:pt idx="2084">
                  <c:v>114.70917266059338</c:v>
                </c:pt>
                <c:pt idx="2085">
                  <c:v>114.72968836955228</c:v>
                </c:pt>
                <c:pt idx="2086">
                  <c:v>114.75020774774099</c:v>
                </c:pt>
                <c:pt idx="2087">
                  <c:v>114.77073079581572</c:v>
                </c:pt>
                <c:pt idx="2088">
                  <c:v>114.79125751443284</c:v>
                </c:pt>
                <c:pt idx="2089">
                  <c:v>114.81178790424875</c:v>
                </c:pt>
                <c:pt idx="2090">
                  <c:v>114.8323219659202</c:v>
                </c:pt>
                <c:pt idx="2091">
                  <c:v>114.85285970010383</c:v>
                </c:pt>
                <c:pt idx="2092">
                  <c:v>114.87340110745649</c:v>
                </c:pt>
                <c:pt idx="2093">
                  <c:v>114.89394618863507</c:v>
                </c:pt>
                <c:pt idx="2094">
                  <c:v>114.91449494429665</c:v>
                </c:pt>
                <c:pt idx="2095">
                  <c:v>114.93504737509845</c:v>
                </c:pt>
                <c:pt idx="2096">
                  <c:v>114.95560348169772</c:v>
                </c:pt>
                <c:pt idx="2097">
                  <c:v>114.97616326475189</c:v>
                </c:pt>
                <c:pt idx="2098">
                  <c:v>114.9967267249184</c:v>
                </c:pt>
                <c:pt idx="2099">
                  <c:v>115.01729386285511</c:v>
                </c:pt>
                <c:pt idx="2100">
                  <c:v>115.03786467921965</c:v>
                </c:pt>
                <c:pt idx="2101">
                  <c:v>115.05843917466997</c:v>
                </c:pt>
                <c:pt idx="2102">
                  <c:v>115.079017349864</c:v>
                </c:pt>
                <c:pt idx="2103">
                  <c:v>115.09959920545991</c:v>
                </c:pt>
                <c:pt idx="2104">
                  <c:v>115.12018474211592</c:v>
                </c:pt>
                <c:pt idx="2105">
                  <c:v>115.14077396049042</c:v>
                </c:pt>
                <c:pt idx="2106">
                  <c:v>115.16136686124182</c:v>
                </c:pt>
                <c:pt idx="2107">
                  <c:v>115.18196344502867</c:v>
                </c:pt>
                <c:pt idx="2108">
                  <c:v>115.20256371250984</c:v>
                </c:pt>
                <c:pt idx="2109">
                  <c:v>115.2231676643441</c:v>
                </c:pt>
                <c:pt idx="2110">
                  <c:v>115.24377530119037</c:v>
                </c:pt>
                <c:pt idx="2111">
                  <c:v>115.26438662370769</c:v>
                </c:pt>
                <c:pt idx="2112">
                  <c:v>115.28500163255531</c:v>
                </c:pt>
                <c:pt idx="2113">
                  <c:v>115.30562032839245</c:v>
                </c:pt>
                <c:pt idx="2114">
                  <c:v>115.32624271187859</c:v>
                </c:pt>
                <c:pt idx="2115">
                  <c:v>115.34686878367322</c:v>
                </c:pt>
                <c:pt idx="2116">
                  <c:v>115.36749854443592</c:v>
                </c:pt>
                <c:pt idx="2117">
                  <c:v>115.38813199482667</c:v>
                </c:pt>
                <c:pt idx="2118">
                  <c:v>115.40876913550521</c:v>
                </c:pt>
                <c:pt idx="2119">
                  <c:v>115.4294099671316</c:v>
                </c:pt>
                <c:pt idx="2120">
                  <c:v>115.45005449036593</c:v>
                </c:pt>
                <c:pt idx="2121">
                  <c:v>115.47070270586849</c:v>
                </c:pt>
                <c:pt idx="2122">
                  <c:v>115.49135461429958</c:v>
                </c:pt>
                <c:pt idx="2123">
                  <c:v>115.51201021631972</c:v>
                </c:pt>
                <c:pt idx="2124">
                  <c:v>115.53266951258949</c:v>
                </c:pt>
                <c:pt idx="2125">
                  <c:v>115.55333250376974</c:v>
                </c:pt>
                <c:pt idx="2126">
                  <c:v>115.57399919052094</c:v>
                </c:pt>
                <c:pt idx="2127">
                  <c:v>115.59466957350439</c:v>
                </c:pt>
                <c:pt idx="2128">
                  <c:v>115.61534365338106</c:v>
                </c:pt>
                <c:pt idx="2129">
                  <c:v>115.63602143081212</c:v>
                </c:pt>
                <c:pt idx="2130">
                  <c:v>115.65670290645888</c:v>
                </c:pt>
                <c:pt idx="2131">
                  <c:v>115.67738808098277</c:v>
                </c:pt>
                <c:pt idx="2132">
                  <c:v>115.69807695504534</c:v>
                </c:pt>
                <c:pt idx="2133">
                  <c:v>115.71876952930823</c:v>
                </c:pt>
                <c:pt idx="2134">
                  <c:v>115.73946580443324</c:v>
                </c:pt>
                <c:pt idx="2135">
                  <c:v>115.76016578108216</c:v>
                </c:pt>
                <c:pt idx="2136">
                  <c:v>115.7808694599172</c:v>
                </c:pt>
                <c:pt idx="2137">
                  <c:v>115.80157684160041</c:v>
                </c:pt>
                <c:pt idx="2138">
                  <c:v>115.82228792679405</c:v>
                </c:pt>
                <c:pt idx="2139">
                  <c:v>115.84300271616048</c:v>
                </c:pt>
                <c:pt idx="2140">
                  <c:v>115.86372121036217</c:v>
                </c:pt>
                <c:pt idx="2141">
                  <c:v>115.88444341006176</c:v>
                </c:pt>
                <c:pt idx="2142">
                  <c:v>115.90516931592197</c:v>
                </c:pt>
                <c:pt idx="2143">
                  <c:v>115.92589892860563</c:v>
                </c:pt>
                <c:pt idx="2144">
                  <c:v>115.94663224877563</c:v>
                </c:pt>
                <c:pt idx="2145">
                  <c:v>115.96736927709523</c:v>
                </c:pt>
                <c:pt idx="2146">
                  <c:v>115.98811001422756</c:v>
                </c:pt>
                <c:pt idx="2147">
                  <c:v>116.00885446083589</c:v>
                </c:pt>
                <c:pt idx="2148">
                  <c:v>116.02960261758371</c:v>
                </c:pt>
                <c:pt idx="2149">
                  <c:v>116.05035448513456</c:v>
                </c:pt>
                <c:pt idx="2150">
                  <c:v>116.07111006415211</c:v>
                </c:pt>
                <c:pt idx="2151">
                  <c:v>116.09186935530016</c:v>
                </c:pt>
                <c:pt idx="2152">
                  <c:v>116.11263235924262</c:v>
                </c:pt>
                <c:pt idx="2153">
                  <c:v>116.13339907664343</c:v>
                </c:pt>
                <c:pt idx="2154">
                  <c:v>116.15416950816693</c:v>
                </c:pt>
                <c:pt idx="2155">
                  <c:v>116.17494365447732</c:v>
                </c:pt>
                <c:pt idx="2156">
                  <c:v>116.19572151623895</c:v>
                </c:pt>
                <c:pt idx="2157">
                  <c:v>116.21650309411632</c:v>
                </c:pt>
                <c:pt idx="2158">
                  <c:v>116.2372883887741</c:v>
                </c:pt>
                <c:pt idx="2159">
                  <c:v>116.25807740087703</c:v>
                </c:pt>
                <c:pt idx="2160">
                  <c:v>116.27887013108993</c:v>
                </c:pt>
                <c:pt idx="2161">
                  <c:v>116.29966658007784</c:v>
                </c:pt>
                <c:pt idx="2162">
                  <c:v>116.32046674850571</c:v>
                </c:pt>
                <c:pt idx="2163">
                  <c:v>116.34127063703899</c:v>
                </c:pt>
                <c:pt idx="2164">
                  <c:v>116.36207824634293</c:v>
                </c:pt>
                <c:pt idx="2165">
                  <c:v>116.38288957708296</c:v>
                </c:pt>
                <c:pt idx="2166">
                  <c:v>116.40370462992468</c:v>
                </c:pt>
                <c:pt idx="2167">
                  <c:v>116.42452340553376</c:v>
                </c:pt>
                <c:pt idx="2168">
                  <c:v>116.44534590457607</c:v>
                </c:pt>
                <c:pt idx="2169">
                  <c:v>116.46617212771748</c:v>
                </c:pt>
                <c:pt idx="2170">
                  <c:v>116.48700207562409</c:v>
                </c:pt>
                <c:pt idx="2171">
                  <c:v>116.50783574896195</c:v>
                </c:pt>
                <c:pt idx="2172">
                  <c:v>116.52867314839757</c:v>
                </c:pt>
                <c:pt idx="2173">
                  <c:v>116.54951427459724</c:v>
                </c:pt>
                <c:pt idx="2174">
                  <c:v>116.57035912822751</c:v>
                </c:pt>
                <c:pt idx="2175">
                  <c:v>116.59120770995503</c:v>
                </c:pt>
                <c:pt idx="2176">
                  <c:v>116.61206002044655</c:v>
                </c:pt>
                <c:pt idx="2177">
                  <c:v>116.63291606036898</c:v>
                </c:pt>
                <c:pt idx="2178">
                  <c:v>116.65377583038932</c:v>
                </c:pt>
                <c:pt idx="2179">
                  <c:v>116.67463933117469</c:v>
                </c:pt>
                <c:pt idx="2180">
                  <c:v>116.69550656339224</c:v>
                </c:pt>
                <c:pt idx="2181">
                  <c:v>116.71637752770953</c:v>
                </c:pt>
                <c:pt idx="2182">
                  <c:v>116.73725222479396</c:v>
                </c:pt>
                <c:pt idx="2183">
                  <c:v>116.75813065531315</c:v>
                </c:pt>
                <c:pt idx="2184">
                  <c:v>116.77901281993479</c:v>
                </c:pt>
                <c:pt idx="2185">
                  <c:v>116.79989871932673</c:v>
                </c:pt>
                <c:pt idx="2186">
                  <c:v>116.82078835415693</c:v>
                </c:pt>
                <c:pt idx="2187">
                  <c:v>116.84168172509351</c:v>
                </c:pt>
                <c:pt idx="2188">
                  <c:v>116.8625788328046</c:v>
                </c:pt>
                <c:pt idx="2189">
                  <c:v>116.8834796779585</c:v>
                </c:pt>
                <c:pt idx="2190">
                  <c:v>116.9043842612238</c:v>
                </c:pt>
                <c:pt idx="2191">
                  <c:v>116.92529258326898</c:v>
                </c:pt>
                <c:pt idx="2192">
                  <c:v>116.94620464476269</c:v>
                </c:pt>
                <c:pt idx="2193">
                  <c:v>116.96712044637377</c:v>
                </c:pt>
                <c:pt idx="2194">
                  <c:v>116.98803998877113</c:v>
                </c:pt>
                <c:pt idx="2195">
                  <c:v>117.0089632726238</c:v>
                </c:pt>
                <c:pt idx="2196">
                  <c:v>117.02989029860095</c:v>
                </c:pt>
                <c:pt idx="2197">
                  <c:v>117.05082106737183</c:v>
                </c:pt>
                <c:pt idx="2198">
                  <c:v>117.07175557960586</c:v>
                </c:pt>
                <c:pt idx="2199">
                  <c:v>117.09269383597247</c:v>
                </c:pt>
                <c:pt idx="2200">
                  <c:v>117.11363583714146</c:v>
                </c:pt>
                <c:pt idx="2201">
                  <c:v>117.13458158378251</c:v>
                </c:pt>
                <c:pt idx="2202">
                  <c:v>117.15553107656551</c:v>
                </c:pt>
                <c:pt idx="2203">
                  <c:v>117.17648431616044</c:v>
                </c:pt>
                <c:pt idx="2204">
                  <c:v>117.1974413032374</c:v>
                </c:pt>
                <c:pt idx="2205">
                  <c:v>117.21840203846665</c:v>
                </c:pt>
                <c:pt idx="2206">
                  <c:v>117.23936652251857</c:v>
                </c:pt>
                <c:pt idx="2207">
                  <c:v>117.26033475606357</c:v>
                </c:pt>
                <c:pt idx="2208">
                  <c:v>117.28130673977218</c:v>
                </c:pt>
                <c:pt idx="2209">
                  <c:v>117.30228247431535</c:v>
                </c:pt>
                <c:pt idx="2210">
                  <c:v>117.32326196036377</c:v>
                </c:pt>
                <c:pt idx="2211">
                  <c:v>117.34424519858838</c:v>
                </c:pt>
                <c:pt idx="2212">
                  <c:v>117.36523218966032</c:v>
                </c:pt>
                <c:pt idx="2213">
                  <c:v>117.38622293425075</c:v>
                </c:pt>
                <c:pt idx="2214">
                  <c:v>117.40721743303099</c:v>
                </c:pt>
                <c:pt idx="2215">
                  <c:v>117.42821568667246</c:v>
                </c:pt>
                <c:pt idx="2216">
                  <c:v>117.44921769584674</c:v>
                </c:pt>
                <c:pt idx="2217">
                  <c:v>117.47022346122539</c:v>
                </c:pt>
                <c:pt idx="2218">
                  <c:v>117.4912329834804</c:v>
                </c:pt>
                <c:pt idx="2219">
                  <c:v>117.51224626328361</c:v>
                </c:pt>
                <c:pt idx="2220">
                  <c:v>117.53326330130704</c:v>
                </c:pt>
                <c:pt idx="2221">
                  <c:v>117.55428409822288</c:v>
                </c:pt>
                <c:pt idx="2222">
                  <c:v>117.57530865470335</c:v>
                </c:pt>
                <c:pt idx="2223">
                  <c:v>117.59633697142088</c:v>
                </c:pt>
                <c:pt idx="2224">
                  <c:v>117.61736904904799</c:v>
                </c:pt>
                <c:pt idx="2225">
                  <c:v>117.63840488825731</c:v>
                </c:pt>
                <c:pt idx="2226">
                  <c:v>117.65944448972149</c:v>
                </c:pt>
                <c:pt idx="2227">
                  <c:v>117.68048785411364</c:v>
                </c:pt>
                <c:pt idx="2228">
                  <c:v>117.70153498210662</c:v>
                </c:pt>
                <c:pt idx="2229">
                  <c:v>117.72258587437356</c:v>
                </c:pt>
                <c:pt idx="2230">
                  <c:v>117.74364053158774</c:v>
                </c:pt>
                <c:pt idx="2231">
                  <c:v>117.76469895442246</c:v>
                </c:pt>
                <c:pt idx="2232">
                  <c:v>117.78576114355123</c:v>
                </c:pt>
                <c:pt idx="2233">
                  <c:v>117.80682709964763</c:v>
                </c:pt>
                <c:pt idx="2234">
                  <c:v>117.82789682338543</c:v>
                </c:pt>
                <c:pt idx="2235">
                  <c:v>117.84897031543832</c:v>
                </c:pt>
                <c:pt idx="2236">
                  <c:v>117.87004757648047</c:v>
                </c:pt>
                <c:pt idx="2237">
                  <c:v>117.89112860718589</c:v>
                </c:pt>
                <c:pt idx="2238">
                  <c:v>117.91221340822877</c:v>
                </c:pt>
                <c:pt idx="2239">
                  <c:v>117.93330198028345</c:v>
                </c:pt>
                <c:pt idx="2240">
                  <c:v>117.95439432402434</c:v>
                </c:pt>
                <c:pt idx="2241">
                  <c:v>117.97549044012602</c:v>
                </c:pt>
                <c:pt idx="2242">
                  <c:v>117.99659032926316</c:v>
                </c:pt>
                <c:pt idx="2243">
                  <c:v>118.01769399211061</c:v>
                </c:pt>
                <c:pt idx="2244">
                  <c:v>118.03880142934315</c:v>
                </c:pt>
                <c:pt idx="2245">
                  <c:v>118.05991264163607</c:v>
                </c:pt>
                <c:pt idx="2246">
                  <c:v>118.08102762966442</c:v>
                </c:pt>
                <c:pt idx="2247">
                  <c:v>118.10214639410347</c:v>
                </c:pt>
                <c:pt idx="2248">
                  <c:v>118.12326893562869</c:v>
                </c:pt>
                <c:pt idx="2249">
                  <c:v>118.14439525491551</c:v>
                </c:pt>
                <c:pt idx="2250">
                  <c:v>118.16552535263969</c:v>
                </c:pt>
                <c:pt idx="2251">
                  <c:v>118.18665922947693</c:v>
                </c:pt>
                <c:pt idx="2252">
                  <c:v>118.20779688610314</c:v>
                </c:pt>
                <c:pt idx="2253">
                  <c:v>118.22893832319426</c:v>
                </c:pt>
                <c:pt idx="2254">
                  <c:v>118.25008354142659</c:v>
                </c:pt>
                <c:pt idx="2255">
                  <c:v>118.27123254147631</c:v>
                </c:pt>
                <c:pt idx="2256">
                  <c:v>118.29238532401979</c:v>
                </c:pt>
                <c:pt idx="2257">
                  <c:v>118.31354188973351</c:v>
                </c:pt>
                <c:pt idx="2258">
                  <c:v>118.33470223929413</c:v>
                </c:pt>
                <c:pt idx="2259">
                  <c:v>118.35586637337836</c:v>
                </c:pt>
                <c:pt idx="2260">
                  <c:v>118.37703429266308</c:v>
                </c:pt>
                <c:pt idx="2261">
                  <c:v>118.39820599782524</c:v>
                </c:pt>
                <c:pt idx="2262">
                  <c:v>118.41938148954186</c:v>
                </c:pt>
                <c:pt idx="2263">
                  <c:v>118.44056076849039</c:v>
                </c:pt>
                <c:pt idx="2264">
                  <c:v>118.46174383534806</c:v>
                </c:pt>
                <c:pt idx="2265">
                  <c:v>118.48293069079232</c:v>
                </c:pt>
                <c:pt idx="2266">
                  <c:v>118.50412133550077</c:v>
                </c:pt>
                <c:pt idx="2267">
                  <c:v>118.5253157701511</c:v>
                </c:pt>
                <c:pt idx="2268">
                  <c:v>118.54651399542118</c:v>
                </c:pt>
                <c:pt idx="2269">
                  <c:v>118.56771601198892</c:v>
                </c:pt>
                <c:pt idx="2270">
                  <c:v>118.58892182053242</c:v>
                </c:pt>
                <c:pt idx="2271">
                  <c:v>118.61013142172978</c:v>
                </c:pt>
                <c:pt idx="2272">
                  <c:v>118.63134481625949</c:v>
                </c:pt>
                <c:pt idx="2273">
                  <c:v>118.65256200479989</c:v>
                </c:pt>
                <c:pt idx="2274">
                  <c:v>118.67378298802954</c:v>
                </c:pt>
                <c:pt idx="2275">
                  <c:v>118.69500776662714</c:v>
                </c:pt>
                <c:pt idx="2276">
                  <c:v>118.71623634127148</c:v>
                </c:pt>
                <c:pt idx="2277">
                  <c:v>118.73746871264146</c:v>
                </c:pt>
                <c:pt idx="2278">
                  <c:v>118.75870488141616</c:v>
                </c:pt>
                <c:pt idx="2279">
                  <c:v>118.77994484827471</c:v>
                </c:pt>
                <c:pt idx="2280">
                  <c:v>118.80118861389631</c:v>
                </c:pt>
                <c:pt idx="2281">
                  <c:v>118.8224361789606</c:v>
                </c:pt>
                <c:pt idx="2282">
                  <c:v>118.84368754414696</c:v>
                </c:pt>
                <c:pt idx="2283">
                  <c:v>118.86494271013507</c:v>
                </c:pt>
                <c:pt idx="2284">
                  <c:v>118.88620167760479</c:v>
                </c:pt>
                <c:pt idx="2285">
                  <c:v>118.90746444723581</c:v>
                </c:pt>
                <c:pt idx="2286">
                  <c:v>118.92873101970827</c:v>
                </c:pt>
                <c:pt idx="2287">
                  <c:v>118.95000139570226</c:v>
                </c:pt>
                <c:pt idx="2288">
                  <c:v>118.97127557589808</c:v>
                </c:pt>
                <c:pt idx="2289">
                  <c:v>118.99255356097611</c:v>
                </c:pt>
                <c:pt idx="2290">
                  <c:v>119.01383535161672</c:v>
                </c:pt>
                <c:pt idx="2291">
                  <c:v>119.03512094850079</c:v>
                </c:pt>
                <c:pt idx="2292">
                  <c:v>119.05641035230892</c:v>
                </c:pt>
                <c:pt idx="2293">
                  <c:v>119.07770356372198</c:v>
                </c:pt>
                <c:pt idx="2294">
                  <c:v>119.09900058342099</c:v>
                </c:pt>
                <c:pt idx="2295">
                  <c:v>119.12030141208702</c:v>
                </c:pt>
                <c:pt idx="2296">
                  <c:v>119.14160605040134</c:v>
                </c:pt>
                <c:pt idx="2297">
                  <c:v>119.16291449904526</c:v>
                </c:pt>
                <c:pt idx="2298">
                  <c:v>119.18422675870029</c:v>
                </c:pt>
                <c:pt idx="2299">
                  <c:v>119.20554283004793</c:v>
                </c:pt>
                <c:pt idx="2300">
                  <c:v>119.22686271377009</c:v>
                </c:pt>
                <c:pt idx="2301">
                  <c:v>119.24818641054853</c:v>
                </c:pt>
                <c:pt idx="2302">
                  <c:v>119.26951392106518</c:v>
                </c:pt>
                <c:pt idx="2303">
                  <c:v>119.29084524600216</c:v>
                </c:pt>
                <c:pt idx="2304">
                  <c:v>119.31218038604167</c:v>
                </c:pt>
                <c:pt idx="2305">
                  <c:v>119.33351934186602</c:v>
                </c:pt>
                <c:pt idx="2306">
                  <c:v>119.35486211415767</c:v>
                </c:pt>
                <c:pt idx="2307">
                  <c:v>119.37620870359922</c:v>
                </c:pt>
                <c:pt idx="2308">
                  <c:v>119.39755911087322</c:v>
                </c:pt>
                <c:pt idx="2309">
                  <c:v>119.41891333666273</c:v>
                </c:pt>
                <c:pt idx="2310">
                  <c:v>119.44027138165058</c:v>
                </c:pt>
                <c:pt idx="2311">
                  <c:v>119.46163324651982</c:v>
                </c:pt>
                <c:pt idx="2312">
                  <c:v>119.48299893195366</c:v>
                </c:pt>
                <c:pt idx="2313">
                  <c:v>119.50436843863538</c:v>
                </c:pt>
                <c:pt idx="2314">
                  <c:v>119.52574176724841</c:v>
                </c:pt>
                <c:pt idx="2315">
                  <c:v>119.54711891847633</c:v>
                </c:pt>
                <c:pt idx="2316">
                  <c:v>119.56849989300278</c:v>
                </c:pt>
                <c:pt idx="2317">
                  <c:v>119.58988469151147</c:v>
                </c:pt>
                <c:pt idx="2318">
                  <c:v>119.61127331468653</c:v>
                </c:pt>
                <c:pt idx="2319">
                  <c:v>119.63266576321189</c:v>
                </c:pt>
                <c:pt idx="2320">
                  <c:v>119.65406203777172</c:v>
                </c:pt>
                <c:pt idx="2321">
                  <c:v>119.67546213905028</c:v>
                </c:pt>
                <c:pt idx="2322">
                  <c:v>119.696866067732</c:v>
                </c:pt>
                <c:pt idx="2323">
                  <c:v>119.71827382450144</c:v>
                </c:pt>
                <c:pt idx="2324">
                  <c:v>119.73968541004317</c:v>
                </c:pt>
                <c:pt idx="2325">
                  <c:v>119.76110082504205</c:v>
                </c:pt>
                <c:pt idx="2326">
                  <c:v>119.78252007018281</c:v>
                </c:pt>
                <c:pt idx="2327">
                  <c:v>119.80394314615073</c:v>
                </c:pt>
                <c:pt idx="2328">
                  <c:v>119.82537005363082</c:v>
                </c:pt>
                <c:pt idx="2329">
                  <c:v>119.84680079330835</c:v>
                </c:pt>
                <c:pt idx="2330">
                  <c:v>119.8682353658687</c:v>
                </c:pt>
                <c:pt idx="2331">
                  <c:v>119.88967377199739</c:v>
                </c:pt>
                <c:pt idx="2332">
                  <c:v>119.91111601238003</c:v>
                </c:pt>
                <c:pt idx="2333">
                  <c:v>119.93256208770242</c:v>
                </c:pt>
                <c:pt idx="2334">
                  <c:v>119.95401199865042</c:v>
                </c:pt>
                <c:pt idx="2335">
                  <c:v>119.97546574590991</c:v>
                </c:pt>
                <c:pt idx="2336">
                  <c:v>119.99692333016721</c:v>
                </c:pt>
                <c:pt idx="2337">
                  <c:v>120.01838475210852</c:v>
                </c:pt>
                <c:pt idx="2338">
                  <c:v>120.03985001242015</c:v>
                </c:pt>
                <c:pt idx="2339">
                  <c:v>120.06131911178862</c:v>
                </c:pt>
                <c:pt idx="2340">
                  <c:v>120.08279205090055</c:v>
                </c:pt>
                <c:pt idx="2341">
                  <c:v>120.10426883044265</c:v>
                </c:pt>
                <c:pt idx="2342">
                  <c:v>120.12574945110181</c:v>
                </c:pt>
                <c:pt idx="2343">
                  <c:v>120.14723391356497</c:v>
                </c:pt>
                <c:pt idx="2344">
                  <c:v>120.16872221851919</c:v>
                </c:pt>
                <c:pt idx="2345">
                  <c:v>120.19021436665187</c:v>
                </c:pt>
                <c:pt idx="2346">
                  <c:v>120.21171035865028</c:v>
                </c:pt>
                <c:pt idx="2347">
                  <c:v>120.23321019520186</c:v>
                </c:pt>
                <c:pt idx="2348">
                  <c:v>120.25471387699423</c:v>
                </c:pt>
                <c:pt idx="2349">
                  <c:v>120.2762214047151</c:v>
                </c:pt>
                <c:pt idx="2350">
                  <c:v>120.29773277905234</c:v>
                </c:pt>
                <c:pt idx="2351">
                  <c:v>120.31924800069389</c:v>
                </c:pt>
                <c:pt idx="2352">
                  <c:v>120.34076707032784</c:v>
                </c:pt>
                <c:pt idx="2353">
                  <c:v>120.3622899886423</c:v>
                </c:pt>
                <c:pt idx="2354">
                  <c:v>120.38381675632583</c:v>
                </c:pt>
                <c:pt idx="2355">
                  <c:v>120.40534737406678</c:v>
                </c:pt>
                <c:pt idx="2356">
                  <c:v>120.42688184255371</c:v>
                </c:pt>
                <c:pt idx="2357">
                  <c:v>120.44842016247536</c:v>
                </c:pt>
                <c:pt idx="2358">
                  <c:v>120.46996233452052</c:v>
                </c:pt>
                <c:pt idx="2359">
                  <c:v>120.49150835937817</c:v>
                </c:pt>
                <c:pt idx="2360">
                  <c:v>120.51305823773737</c:v>
                </c:pt>
                <c:pt idx="2361">
                  <c:v>120.53461197028733</c:v>
                </c:pt>
                <c:pt idx="2362">
                  <c:v>120.55616955771725</c:v>
                </c:pt>
                <c:pt idx="2363">
                  <c:v>120.5777310007168</c:v>
                </c:pt>
                <c:pt idx="2364">
                  <c:v>120.59929629997544</c:v>
                </c:pt>
                <c:pt idx="2365">
                  <c:v>120.62086545618284</c:v>
                </c:pt>
                <c:pt idx="2366">
                  <c:v>120.64243847002885</c:v>
                </c:pt>
                <c:pt idx="2367">
                  <c:v>120.66401534220336</c:v>
                </c:pt>
                <c:pt idx="2368">
                  <c:v>120.68559607339648</c:v>
                </c:pt>
                <c:pt idx="2369">
                  <c:v>120.70718066429839</c:v>
                </c:pt>
                <c:pt idx="2370">
                  <c:v>120.72876911559936</c:v>
                </c:pt>
                <c:pt idx="2371">
                  <c:v>120.75036142798976</c:v>
                </c:pt>
                <c:pt idx="2372">
                  <c:v>120.7719576021603</c:v>
                </c:pt>
                <c:pt idx="2373">
                  <c:v>120.79355763880163</c:v>
                </c:pt>
                <c:pt idx="2374">
                  <c:v>120.81516153860449</c:v>
                </c:pt>
                <c:pt idx="2375">
                  <c:v>120.83676930225982</c:v>
                </c:pt>
                <c:pt idx="2376">
                  <c:v>120.85838093045868</c:v>
                </c:pt>
                <c:pt idx="2377">
                  <c:v>120.87999642389224</c:v>
                </c:pt>
                <c:pt idx="2378">
                  <c:v>120.90161578325178</c:v>
                </c:pt>
                <c:pt idx="2379">
                  <c:v>120.92323900922875</c:v>
                </c:pt>
                <c:pt idx="2380">
                  <c:v>120.94486610251457</c:v>
                </c:pt>
                <c:pt idx="2381">
                  <c:v>120.96649706380111</c:v>
                </c:pt>
                <c:pt idx="2382">
                  <c:v>120.98813189378008</c:v>
                </c:pt>
                <c:pt idx="2383">
                  <c:v>121.00977059314336</c:v>
                </c:pt>
                <c:pt idx="2384">
                  <c:v>121.03141316258301</c:v>
                </c:pt>
                <c:pt idx="2385">
                  <c:v>121.05305960279121</c:v>
                </c:pt>
                <c:pt idx="2386">
                  <c:v>121.07470991446021</c:v>
                </c:pt>
                <c:pt idx="2387">
                  <c:v>121.09636409828245</c:v>
                </c:pt>
                <c:pt idx="2388">
                  <c:v>121.11802215495044</c:v>
                </c:pt>
                <c:pt idx="2389">
                  <c:v>121.13968408515676</c:v>
                </c:pt>
                <c:pt idx="2390">
                  <c:v>121.16134988959438</c:v>
                </c:pt>
                <c:pt idx="2391">
                  <c:v>121.18301956895608</c:v>
                </c:pt>
                <c:pt idx="2392">
                  <c:v>121.20469312393494</c:v>
                </c:pt>
                <c:pt idx="2393">
                  <c:v>121.22637055522408</c:v>
                </c:pt>
                <c:pt idx="2394">
                  <c:v>121.24805186351679</c:v>
                </c:pt>
                <c:pt idx="2395">
                  <c:v>121.26973704950645</c:v>
                </c:pt>
                <c:pt idx="2396">
                  <c:v>121.2914261138866</c:v>
                </c:pt>
                <c:pt idx="2397">
                  <c:v>121.3131190573509</c:v>
                </c:pt>
                <c:pt idx="2398">
                  <c:v>121.33481588059301</c:v>
                </c:pt>
                <c:pt idx="2399">
                  <c:v>121.35651658430704</c:v>
                </c:pt>
                <c:pt idx="2400">
                  <c:v>121.3782211691869</c:v>
                </c:pt>
                <c:pt idx="2401">
                  <c:v>121.39992963592674</c:v>
                </c:pt>
                <c:pt idx="2402">
                  <c:v>121.42164198522083</c:v>
                </c:pt>
                <c:pt idx="2403">
                  <c:v>121.44335821776355</c:v>
                </c:pt>
                <c:pt idx="2404">
                  <c:v>121.46507833424943</c:v>
                </c:pt>
                <c:pt idx="2405">
                  <c:v>121.48680233537313</c:v>
                </c:pt>
                <c:pt idx="2406">
                  <c:v>121.50853022182937</c:v>
                </c:pt>
                <c:pt idx="2407">
                  <c:v>121.53026199431299</c:v>
                </c:pt>
                <c:pt idx="2408">
                  <c:v>121.55199765351918</c:v>
                </c:pt>
                <c:pt idx="2409">
                  <c:v>121.573737200143</c:v>
                </c:pt>
                <c:pt idx="2410">
                  <c:v>121.59548063487968</c:v>
                </c:pt>
                <c:pt idx="2411">
                  <c:v>121.61722795842464</c:v>
                </c:pt>
                <c:pt idx="2412">
                  <c:v>121.63897917147335</c:v>
                </c:pt>
                <c:pt idx="2413">
                  <c:v>121.66073427472149</c:v>
                </c:pt>
                <c:pt idx="2414">
                  <c:v>121.6824932688648</c:v>
                </c:pt>
                <c:pt idx="2415">
                  <c:v>121.70425615459919</c:v>
                </c:pt>
                <c:pt idx="2416">
                  <c:v>121.72602293262067</c:v>
                </c:pt>
                <c:pt idx="2417">
                  <c:v>121.74779360362521</c:v>
                </c:pt>
                <c:pt idx="2418">
                  <c:v>121.76956816830933</c:v>
                </c:pt>
                <c:pt idx="2419">
                  <c:v>121.79134662736932</c:v>
                </c:pt>
                <c:pt idx="2420">
                  <c:v>121.81312898150165</c:v>
                </c:pt>
                <c:pt idx="2421">
                  <c:v>121.83491523140297</c:v>
                </c:pt>
                <c:pt idx="2422">
                  <c:v>121.85670537777004</c:v>
                </c:pt>
                <c:pt idx="2423">
                  <c:v>121.87849942129975</c:v>
                </c:pt>
                <c:pt idx="2424">
                  <c:v>121.9002973626891</c:v>
                </c:pt>
                <c:pt idx="2425">
                  <c:v>121.92209920263521</c:v>
                </c:pt>
                <c:pt idx="2426">
                  <c:v>121.94390494183523</c:v>
                </c:pt>
                <c:pt idx="2427">
                  <c:v>121.96571458098676</c:v>
                </c:pt>
                <c:pt idx="2428">
                  <c:v>121.98752812078722</c:v>
                </c:pt>
                <c:pt idx="2429">
                  <c:v>122.00934556193421</c:v>
                </c:pt>
                <c:pt idx="2430">
                  <c:v>122.03116690512549</c:v>
                </c:pt>
                <c:pt idx="2431">
                  <c:v>122.05299215105894</c:v>
                </c:pt>
                <c:pt idx="2432">
                  <c:v>122.0748213004326</c:v>
                </c:pt>
                <c:pt idx="2433">
                  <c:v>122.09665435394453</c:v>
                </c:pt>
                <c:pt idx="2434">
                  <c:v>122.11849131229306</c:v>
                </c:pt>
                <c:pt idx="2435">
                  <c:v>122.1403321761764</c:v>
                </c:pt>
                <c:pt idx="2436">
                  <c:v>122.1621769462933</c:v>
                </c:pt>
                <c:pt idx="2437">
                  <c:v>122.18402562334227</c:v>
                </c:pt>
                <c:pt idx="2438">
                  <c:v>122.20587820802207</c:v>
                </c:pt>
                <c:pt idx="2439">
                  <c:v>122.22773470103159</c:v>
                </c:pt>
                <c:pt idx="2440">
                  <c:v>122.24959510306982</c:v>
                </c:pt>
                <c:pt idx="2441">
                  <c:v>122.27145941483587</c:v>
                </c:pt>
                <c:pt idx="2442">
                  <c:v>122.29332763702904</c:v>
                </c:pt>
                <c:pt idx="2443">
                  <c:v>122.31519977034867</c:v>
                </c:pt>
                <c:pt idx="2444">
                  <c:v>122.33707581549429</c:v>
                </c:pt>
                <c:pt idx="2445">
                  <c:v>122.35895577316549</c:v>
                </c:pt>
                <c:pt idx="2446">
                  <c:v>122.38083964406208</c:v>
                </c:pt>
                <c:pt idx="2447">
                  <c:v>122.40272742888391</c:v>
                </c:pt>
                <c:pt idx="2448">
                  <c:v>122.42461912833097</c:v>
                </c:pt>
                <c:pt idx="2449">
                  <c:v>122.44651474310341</c:v>
                </c:pt>
                <c:pt idx="2450">
                  <c:v>122.46841427390147</c:v>
                </c:pt>
                <c:pt idx="2451">
                  <c:v>122.49031772142554</c:v>
                </c:pt>
                <c:pt idx="2452">
                  <c:v>122.51222508637613</c:v>
                </c:pt>
                <c:pt idx="2453">
                  <c:v>122.53413636945379</c:v>
                </c:pt>
                <c:pt idx="2454">
                  <c:v>122.55605157135943</c:v>
                </c:pt>
                <c:pt idx="2455">
                  <c:v>122.57797069279385</c:v>
                </c:pt>
                <c:pt idx="2456">
                  <c:v>122.59989373445808</c:v>
                </c:pt>
                <c:pt idx="2457">
                  <c:v>122.62182069705322</c:v>
                </c:pt>
                <c:pt idx="2458">
                  <c:v>122.64375158128055</c:v>
                </c:pt>
                <c:pt idx="2459">
                  <c:v>122.66568638784143</c:v>
                </c:pt>
                <c:pt idx="2460">
                  <c:v>122.68762511743741</c:v>
                </c:pt>
                <c:pt idx="2461">
                  <c:v>122.70956777077006</c:v>
                </c:pt>
                <c:pt idx="2462">
                  <c:v>122.73151434854111</c:v>
                </c:pt>
                <c:pt idx="2463">
                  <c:v>122.75346485145258</c:v>
                </c:pt>
                <c:pt idx="2464">
                  <c:v>122.77541928020644</c:v>
                </c:pt>
                <c:pt idx="2465">
                  <c:v>122.79737763550479</c:v>
                </c:pt>
                <c:pt idx="2466">
                  <c:v>122.81933991804988</c:v>
                </c:pt>
                <c:pt idx="2467">
                  <c:v>122.84130612854412</c:v>
                </c:pt>
                <c:pt idx="2468">
                  <c:v>122.86327626769003</c:v>
                </c:pt>
                <c:pt idx="2469">
                  <c:v>122.88525033619024</c:v>
                </c:pt>
                <c:pt idx="2470">
                  <c:v>122.9072283347475</c:v>
                </c:pt>
                <c:pt idx="2471">
                  <c:v>122.92921026406461</c:v>
                </c:pt>
                <c:pt idx="2472">
                  <c:v>122.95119612484478</c:v>
                </c:pt>
                <c:pt idx="2473">
                  <c:v>122.97318591779107</c:v>
                </c:pt>
                <c:pt idx="2474">
                  <c:v>122.99517964360673</c:v>
                </c:pt>
                <c:pt idx="2475">
                  <c:v>123.01717730299517</c:v>
                </c:pt>
                <c:pt idx="2476">
                  <c:v>123.03917889665989</c:v>
                </c:pt>
                <c:pt idx="2477">
                  <c:v>123.06118442530453</c:v>
                </c:pt>
                <c:pt idx="2478">
                  <c:v>123.08319388963288</c:v>
                </c:pt>
                <c:pt idx="2479">
                  <c:v>123.10520729034882</c:v>
                </c:pt>
                <c:pt idx="2480">
                  <c:v>123.12722462815628</c:v>
                </c:pt>
                <c:pt idx="2481">
                  <c:v>123.14924590375961</c:v>
                </c:pt>
                <c:pt idx="2482">
                  <c:v>123.17127111786299</c:v>
                </c:pt>
                <c:pt idx="2483">
                  <c:v>123.1933002711708</c:v>
                </c:pt>
                <c:pt idx="2484">
                  <c:v>123.21533336438758</c:v>
                </c:pt>
                <c:pt idx="2485">
                  <c:v>123.23737039821798</c:v>
                </c:pt>
                <c:pt idx="2486">
                  <c:v>123.25941137336677</c:v>
                </c:pt>
                <c:pt idx="2487">
                  <c:v>123.28145629053886</c:v>
                </c:pt>
                <c:pt idx="2488">
                  <c:v>123.30350515043928</c:v>
                </c:pt>
                <c:pt idx="2489">
                  <c:v>123.32555795377318</c:v>
                </c:pt>
                <c:pt idx="2490">
                  <c:v>123.34761470124576</c:v>
                </c:pt>
                <c:pt idx="2491">
                  <c:v>123.3696753935626</c:v>
                </c:pt>
                <c:pt idx="2492">
                  <c:v>123.39174003142917</c:v>
                </c:pt>
                <c:pt idx="2493">
                  <c:v>123.41380861555109</c:v>
                </c:pt>
                <c:pt idx="2494">
                  <c:v>123.43588114663419</c:v>
                </c:pt>
                <c:pt idx="2495">
                  <c:v>123.45795762538435</c:v>
                </c:pt>
                <c:pt idx="2496">
                  <c:v>123.48003805250762</c:v>
                </c:pt>
                <c:pt idx="2497">
                  <c:v>123.50212242871018</c:v>
                </c:pt>
                <c:pt idx="2498">
                  <c:v>123.52421075469829</c:v>
                </c:pt>
                <c:pt idx="2499">
                  <c:v>123.54630303117828</c:v>
                </c:pt>
                <c:pt idx="2500">
                  <c:v>123.56839925885691</c:v>
                </c:pt>
                <c:pt idx="2501">
                  <c:v>123.59049943844077</c:v>
                </c:pt>
                <c:pt idx="2502">
                  <c:v>123.61260357063659</c:v>
                </c:pt>
                <c:pt idx="2503">
                  <c:v>123.63471165615137</c:v>
                </c:pt>
                <c:pt idx="2504">
                  <c:v>123.65682369569208</c:v>
                </c:pt>
                <c:pt idx="2505">
                  <c:v>123.67893968996599</c:v>
                </c:pt>
                <c:pt idx="2506">
                  <c:v>123.70105963968031</c:v>
                </c:pt>
                <c:pt idx="2507">
                  <c:v>123.72318354554254</c:v>
                </c:pt>
                <c:pt idx="2508">
                  <c:v>123.74531140826008</c:v>
                </c:pt>
                <c:pt idx="2509">
                  <c:v>123.76744322854084</c:v>
                </c:pt>
                <c:pt idx="2510">
                  <c:v>123.78957900709256</c:v>
                </c:pt>
                <c:pt idx="2511">
                  <c:v>123.81171874462312</c:v>
                </c:pt>
                <c:pt idx="2512">
                  <c:v>123.83386244184064</c:v>
                </c:pt>
                <c:pt idx="2513">
                  <c:v>123.85601009945327</c:v>
                </c:pt>
                <c:pt idx="2514">
                  <c:v>123.87816171816931</c:v>
                </c:pt>
                <c:pt idx="2515">
                  <c:v>123.90031729869726</c:v>
                </c:pt>
                <c:pt idx="2516">
                  <c:v>123.92247684174563</c:v>
                </c:pt>
                <c:pt idx="2517">
                  <c:v>123.94464034802303</c:v>
                </c:pt>
                <c:pt idx="2518">
                  <c:v>123.96680781823851</c:v>
                </c:pt>
                <c:pt idx="2519">
                  <c:v>123.98897925310092</c:v>
                </c:pt>
                <c:pt idx="2520">
                  <c:v>124.01115465331928</c:v>
                </c:pt>
                <c:pt idx="2521">
                  <c:v>124.03333401960286</c:v>
                </c:pt>
                <c:pt idx="2522">
                  <c:v>124.05551735266097</c:v>
                </c:pt>
                <c:pt idx="2523">
                  <c:v>124.07770465320304</c:v>
                </c:pt>
                <c:pt idx="2524">
                  <c:v>124.09989592193868</c:v>
                </c:pt>
                <c:pt idx="2525">
                  <c:v>124.12209115957759</c:v>
                </c:pt>
                <c:pt idx="2526">
                  <c:v>124.14429036682951</c:v>
                </c:pt>
                <c:pt idx="2527">
                  <c:v>124.1664935444046</c:v>
                </c:pt>
                <c:pt idx="2528">
                  <c:v>124.18870069301288</c:v>
                </c:pt>
                <c:pt idx="2529">
                  <c:v>124.21091181336452</c:v>
                </c:pt>
                <c:pt idx="2530">
                  <c:v>124.2331269061699</c:v>
                </c:pt>
                <c:pt idx="2531">
                  <c:v>124.25534597213947</c:v>
                </c:pt>
                <c:pt idx="2532">
                  <c:v>124.27756901198386</c:v>
                </c:pt>
                <c:pt idx="2533">
                  <c:v>124.29979602641377</c:v>
                </c:pt>
                <c:pt idx="2534">
                  <c:v>124.32202701614005</c:v>
                </c:pt>
                <c:pt idx="2535">
                  <c:v>124.34426198187361</c:v>
                </c:pt>
                <c:pt idx="2536">
                  <c:v>124.36650092432573</c:v>
                </c:pt>
                <c:pt idx="2537">
                  <c:v>124.38874384420757</c:v>
                </c:pt>
                <c:pt idx="2538">
                  <c:v>124.41099074223047</c:v>
                </c:pt>
                <c:pt idx="2539">
                  <c:v>124.43324161910593</c:v>
                </c:pt>
                <c:pt idx="2540">
                  <c:v>124.45549647554556</c:v>
                </c:pt>
                <c:pt idx="2541">
                  <c:v>124.47775531226112</c:v>
                </c:pt>
                <c:pt idx="2542">
                  <c:v>124.50001812996446</c:v>
                </c:pt>
                <c:pt idx="2543">
                  <c:v>124.52228492936759</c:v>
                </c:pt>
                <c:pt idx="2544">
                  <c:v>124.54455571118253</c:v>
                </c:pt>
                <c:pt idx="2545">
                  <c:v>124.56683047612174</c:v>
                </c:pt>
                <c:pt idx="2546">
                  <c:v>124.58910922489751</c:v>
                </c:pt>
                <c:pt idx="2547">
                  <c:v>124.61139195822234</c:v>
                </c:pt>
                <c:pt idx="2548">
                  <c:v>124.63367867680884</c:v>
                </c:pt>
                <c:pt idx="2549">
                  <c:v>124.65596938136983</c:v>
                </c:pt>
                <c:pt idx="2550">
                  <c:v>124.67826407261815</c:v>
                </c:pt>
                <c:pt idx="2551">
                  <c:v>124.70056275126683</c:v>
                </c:pt>
                <c:pt idx="2552">
                  <c:v>124.72286541802904</c:v>
                </c:pt>
                <c:pt idx="2553">
                  <c:v>124.74517207361791</c:v>
                </c:pt>
                <c:pt idx="2554">
                  <c:v>124.76748271874708</c:v>
                </c:pt>
                <c:pt idx="2555">
                  <c:v>124.78979735412995</c:v>
                </c:pt>
                <c:pt idx="2556">
                  <c:v>124.81211598048021</c:v>
                </c:pt>
                <c:pt idx="2557">
                  <c:v>124.83443859851162</c:v>
                </c:pt>
                <c:pt idx="2558">
                  <c:v>124.85676520893807</c:v>
                </c:pt>
                <c:pt idx="2559">
                  <c:v>124.87909581247365</c:v>
                </c:pt>
                <c:pt idx="2560">
                  <c:v>124.90143040983249</c:v>
                </c:pt>
                <c:pt idx="2561">
                  <c:v>124.9237690017289</c:v>
                </c:pt>
                <c:pt idx="2562">
                  <c:v>124.94611158887717</c:v>
                </c:pt>
                <c:pt idx="2563">
                  <c:v>124.9684581719921</c:v>
                </c:pt>
                <c:pt idx="2564">
                  <c:v>124.99080875178824</c:v>
                </c:pt>
                <c:pt idx="2565">
                  <c:v>125.0131633289804</c:v>
                </c:pt>
                <c:pt idx="2566">
                  <c:v>125.03552190428351</c:v>
                </c:pt>
                <c:pt idx="2567">
                  <c:v>125.05788447841263</c:v>
                </c:pt>
                <c:pt idx="2568">
                  <c:v>125.08025105208296</c:v>
                </c:pt>
                <c:pt idx="2569">
                  <c:v>125.10262162600981</c:v>
                </c:pt>
                <c:pt idx="2570">
                  <c:v>125.12499620090863</c:v>
                </c:pt>
                <c:pt idx="2571">
                  <c:v>125.14737477749486</c:v>
                </c:pt>
                <c:pt idx="2572">
                  <c:v>125.16975735648445</c:v>
                </c:pt>
                <c:pt idx="2573">
                  <c:v>125.19214393859312</c:v>
                </c:pt>
                <c:pt idx="2574">
                  <c:v>125.21453452453679</c:v>
                </c:pt>
                <c:pt idx="2575">
                  <c:v>125.23692911503159</c:v>
                </c:pt>
                <c:pt idx="2576">
                  <c:v>125.2593277107937</c:v>
                </c:pt>
                <c:pt idx="2577">
                  <c:v>125.28173031253948</c:v>
                </c:pt>
                <c:pt idx="2578">
                  <c:v>125.30413692098539</c:v>
                </c:pt>
                <c:pt idx="2579">
                  <c:v>125.32654753684801</c:v>
                </c:pt>
                <c:pt idx="2580">
                  <c:v>125.34896216084401</c:v>
                </c:pt>
                <c:pt idx="2581">
                  <c:v>125.37138079369041</c:v>
                </c:pt>
                <c:pt idx="2582">
                  <c:v>125.39380343610411</c:v>
                </c:pt>
                <c:pt idx="2583">
                  <c:v>125.41623008880219</c:v>
                </c:pt>
                <c:pt idx="2584">
                  <c:v>125.43866075250193</c:v>
                </c:pt>
                <c:pt idx="2585">
                  <c:v>125.46109542792068</c:v>
                </c:pt>
                <c:pt idx="2586">
                  <c:v>125.48353411577592</c:v>
                </c:pt>
                <c:pt idx="2587">
                  <c:v>125.50597681678531</c:v>
                </c:pt>
                <c:pt idx="2588">
                  <c:v>125.52842353166655</c:v>
                </c:pt>
                <c:pt idx="2589">
                  <c:v>125.55087426113744</c:v>
                </c:pt>
                <c:pt idx="2590">
                  <c:v>125.57332900591622</c:v>
                </c:pt>
                <c:pt idx="2591">
                  <c:v>125.59578776672089</c:v>
                </c:pt>
                <c:pt idx="2592">
                  <c:v>125.61825054426973</c:v>
                </c:pt>
                <c:pt idx="2593">
                  <c:v>125.64071733928112</c:v>
                </c:pt>
                <c:pt idx="2594">
                  <c:v>125.66318815247362</c:v>
                </c:pt>
                <c:pt idx="2595">
                  <c:v>125.68566298456584</c:v>
                </c:pt>
                <c:pt idx="2596">
                  <c:v>125.70814183627657</c:v>
                </c:pt>
                <c:pt idx="2597">
                  <c:v>125.73062470832473</c:v>
                </c:pt>
                <c:pt idx="2598">
                  <c:v>125.75311160142923</c:v>
                </c:pt>
                <c:pt idx="2599">
                  <c:v>125.77560251630945</c:v>
                </c:pt>
                <c:pt idx="2600">
                  <c:v>125.7980974536846</c:v>
                </c:pt>
                <c:pt idx="2601">
                  <c:v>125.82059641427409</c:v>
                </c:pt>
                <c:pt idx="2602">
                  <c:v>125.84309939879748</c:v>
                </c:pt>
                <c:pt idx="2603">
                  <c:v>125.86560640797443</c:v>
                </c:pt>
                <c:pt idx="2604">
                  <c:v>125.88811744252487</c:v>
                </c:pt>
                <c:pt idx="2605">
                  <c:v>125.91063250316853</c:v>
                </c:pt>
                <c:pt idx="2606">
                  <c:v>125.93315159062554</c:v>
                </c:pt>
                <c:pt idx="2607">
                  <c:v>125.95567470561613</c:v>
                </c:pt>
                <c:pt idx="2608">
                  <c:v>125.97820184886052</c:v>
                </c:pt>
                <c:pt idx="2609">
                  <c:v>126.00073302107937</c:v>
                </c:pt>
                <c:pt idx="2610">
                  <c:v>126.02326822299315</c:v>
                </c:pt>
                <c:pt idx="2611">
                  <c:v>126.04580745532259</c:v>
                </c:pt>
                <c:pt idx="2612">
                  <c:v>126.06835071878848</c:v>
                </c:pt>
                <c:pt idx="2613">
                  <c:v>126.09089801411183</c:v>
                </c:pt>
                <c:pt idx="2614">
                  <c:v>126.11344934201374</c:v>
                </c:pt>
                <c:pt idx="2615">
                  <c:v>126.13600470321539</c:v>
                </c:pt>
                <c:pt idx="2616">
                  <c:v>126.15856409843819</c:v>
                </c:pt>
                <c:pt idx="2617">
                  <c:v>126.18112752840349</c:v>
                </c:pt>
                <c:pt idx="2618">
                  <c:v>126.20369499383312</c:v>
                </c:pt>
                <c:pt idx="2619">
                  <c:v>126.22626649544871</c:v>
                </c:pt>
                <c:pt idx="2620">
                  <c:v>126.24884203397215</c:v>
                </c:pt>
                <c:pt idx="2621">
                  <c:v>126.27142161012542</c:v>
                </c:pt>
                <c:pt idx="2622">
                  <c:v>126.29400522463062</c:v>
                </c:pt>
                <c:pt idx="2623">
                  <c:v>126.31659287821007</c:v>
                </c:pt>
                <c:pt idx="2624">
                  <c:v>126.33918457158615</c:v>
                </c:pt>
                <c:pt idx="2625">
                  <c:v>126.36178030548133</c:v>
                </c:pt>
                <c:pt idx="2626">
                  <c:v>126.38438008061819</c:v>
                </c:pt>
                <c:pt idx="2627">
                  <c:v>126.40698389771971</c:v>
                </c:pt>
                <c:pt idx="2628">
                  <c:v>126.42959175750867</c:v>
                </c:pt>
                <c:pt idx="2629">
                  <c:v>126.45220366070812</c:v>
                </c:pt>
                <c:pt idx="2630">
                  <c:v>126.4748196080412</c:v>
                </c:pt>
                <c:pt idx="2631">
                  <c:v>126.49743960023125</c:v>
                </c:pt>
                <c:pt idx="2632">
                  <c:v>126.52006363800166</c:v>
                </c:pt>
                <c:pt idx="2633">
                  <c:v>126.54269172207597</c:v>
                </c:pt>
                <c:pt idx="2634">
                  <c:v>126.56532385317789</c:v>
                </c:pt>
                <c:pt idx="2635">
                  <c:v>126.58796003203111</c:v>
                </c:pt>
                <c:pt idx="2636">
                  <c:v>126.61060025935976</c:v>
                </c:pt>
                <c:pt idx="2637">
                  <c:v>126.63324453588783</c:v>
                </c:pt>
                <c:pt idx="2638">
                  <c:v>126.65589286233953</c:v>
                </c:pt>
                <c:pt idx="2639">
                  <c:v>126.67854523943916</c:v>
                </c:pt>
                <c:pt idx="2640">
                  <c:v>126.70120166791118</c:v>
                </c:pt>
                <c:pt idx="2641">
                  <c:v>126.72386214848018</c:v>
                </c:pt>
                <c:pt idx="2642">
                  <c:v>126.74652668187088</c:v>
                </c:pt>
                <c:pt idx="2643">
                  <c:v>126.76919526880815</c:v>
                </c:pt>
                <c:pt idx="2644">
                  <c:v>126.79186791001682</c:v>
                </c:pt>
                <c:pt idx="2645">
                  <c:v>126.81454460622221</c:v>
                </c:pt>
                <c:pt idx="2646">
                  <c:v>126.8372253581495</c:v>
                </c:pt>
                <c:pt idx="2647">
                  <c:v>126.859910166524</c:v>
                </c:pt>
                <c:pt idx="2648">
                  <c:v>126.88259903207121</c:v>
                </c:pt>
                <c:pt idx="2649">
                  <c:v>126.90529195551679</c:v>
                </c:pt>
                <c:pt idx="2650">
                  <c:v>126.92798893758645</c:v>
                </c:pt>
                <c:pt idx="2651">
                  <c:v>126.95068997900611</c:v>
                </c:pt>
                <c:pt idx="2652">
                  <c:v>126.97339508050176</c:v>
                </c:pt>
                <c:pt idx="2653">
                  <c:v>126.99610424279945</c:v>
                </c:pt>
                <c:pt idx="2654">
                  <c:v>127.01881746662568</c:v>
                </c:pt>
                <c:pt idx="2655">
                  <c:v>127.04153475270671</c:v>
                </c:pt>
                <c:pt idx="2656">
                  <c:v>127.06425610176909</c:v>
                </c:pt>
                <c:pt idx="2657">
                  <c:v>127.08698151453949</c:v>
                </c:pt>
                <c:pt idx="2658">
                  <c:v>127.10971099174472</c:v>
                </c:pt>
                <c:pt idx="2659">
                  <c:v>127.13244453411167</c:v>
                </c:pt>
                <c:pt idx="2660">
                  <c:v>127.15518214236739</c:v>
                </c:pt>
                <c:pt idx="2661">
                  <c:v>127.17792381723909</c:v>
                </c:pt>
                <c:pt idx="2662">
                  <c:v>127.20066955945397</c:v>
                </c:pt>
                <c:pt idx="2663">
                  <c:v>127.22341936973969</c:v>
                </c:pt>
                <c:pt idx="2664">
                  <c:v>127.24617324882369</c:v>
                </c:pt>
                <c:pt idx="2665">
                  <c:v>127.2689311974337</c:v>
                </c:pt>
                <c:pt idx="2666">
                  <c:v>127.29169321629757</c:v>
                </c:pt>
                <c:pt idx="2667">
                  <c:v>127.31445930614322</c:v>
                </c:pt>
                <c:pt idx="2668">
                  <c:v>127.33722946769878</c:v>
                </c:pt>
                <c:pt idx="2669">
                  <c:v>127.36000370169243</c:v>
                </c:pt>
                <c:pt idx="2670">
                  <c:v>127.3827820088526</c:v>
                </c:pt>
                <c:pt idx="2671">
                  <c:v>127.40556438990758</c:v>
                </c:pt>
                <c:pt idx="2672">
                  <c:v>127.42835084558627</c:v>
                </c:pt>
                <c:pt idx="2673">
                  <c:v>127.45114137661724</c:v>
                </c:pt>
                <c:pt idx="2674">
                  <c:v>127.47393598372945</c:v>
                </c:pt>
                <c:pt idx="2675">
                  <c:v>127.49673466765185</c:v>
                </c:pt>
                <c:pt idx="2676">
                  <c:v>127.51953742911357</c:v>
                </c:pt>
                <c:pt idx="2677">
                  <c:v>127.54234426884392</c:v>
                </c:pt>
                <c:pt idx="2678">
                  <c:v>127.56515518757226</c:v>
                </c:pt>
                <c:pt idx="2679">
                  <c:v>127.58797018602813</c:v>
                </c:pt>
                <c:pt idx="2680">
                  <c:v>127.61078926494108</c:v>
                </c:pt>
                <c:pt idx="2681">
                  <c:v>127.63361242504112</c:v>
                </c:pt>
                <c:pt idx="2682">
                  <c:v>127.65643966705805</c:v>
                </c:pt>
                <c:pt idx="2683">
                  <c:v>127.67927099172195</c:v>
                </c:pt>
                <c:pt idx="2684">
                  <c:v>127.70210639976295</c:v>
                </c:pt>
                <c:pt idx="2685">
                  <c:v>127.7249458919114</c:v>
                </c:pt>
                <c:pt idx="2686">
                  <c:v>127.74778946889772</c:v>
                </c:pt>
                <c:pt idx="2687">
                  <c:v>127.7706371314525</c:v>
                </c:pt>
                <c:pt idx="2688">
                  <c:v>127.79348888030644</c:v>
                </c:pt>
                <c:pt idx="2689">
                  <c:v>127.81634471619026</c:v>
                </c:pt>
                <c:pt idx="2690">
                  <c:v>127.83920463983513</c:v>
                </c:pt>
                <c:pt idx="2691">
                  <c:v>127.86206865197205</c:v>
                </c:pt>
                <c:pt idx="2692">
                  <c:v>127.88493675333227</c:v>
                </c:pt>
                <c:pt idx="2693">
                  <c:v>127.9078089446471</c:v>
                </c:pt>
                <c:pt idx="2694">
                  <c:v>127.93068522664807</c:v>
                </c:pt>
                <c:pt idx="2695">
                  <c:v>127.95356560006674</c:v>
                </c:pt>
                <c:pt idx="2696">
                  <c:v>127.97645006563492</c:v>
                </c:pt>
                <c:pt idx="2697">
                  <c:v>127.99933862408446</c:v>
                </c:pt>
                <c:pt idx="2698">
                  <c:v>128.02223127614727</c:v>
                </c:pt>
                <c:pt idx="2699">
                  <c:v>128.0451280225557</c:v>
                </c:pt>
                <c:pt idx="2700">
                  <c:v>128.06802886404191</c:v>
                </c:pt>
                <c:pt idx="2701">
                  <c:v>128.09093380133834</c:v>
                </c:pt>
                <c:pt idx="2702">
                  <c:v>128.11384283517751</c:v>
                </c:pt>
                <c:pt idx="2703">
                  <c:v>128.13675596629204</c:v>
                </c:pt>
                <c:pt idx="2704">
                  <c:v>128.15967319541477</c:v>
                </c:pt>
                <c:pt idx="2705">
                  <c:v>128.18259452327865</c:v>
                </c:pt>
                <c:pt idx="2706">
                  <c:v>128.20551995061666</c:v>
                </c:pt>
                <c:pt idx="2707">
                  <c:v>128.22844947816208</c:v>
                </c:pt>
                <c:pt idx="2708">
                  <c:v>128.25138310664806</c:v>
                </c:pt>
                <c:pt idx="2709">
                  <c:v>128.2743208368083</c:v>
                </c:pt>
                <c:pt idx="2710">
                  <c:v>128.29726266937629</c:v>
                </c:pt>
                <c:pt idx="2711">
                  <c:v>128.3202086050857</c:v>
                </c:pt>
                <c:pt idx="2712">
                  <c:v>128.34315864467038</c:v>
                </c:pt>
                <c:pt idx="2713">
                  <c:v>128.36611278886431</c:v>
                </c:pt>
                <c:pt idx="2714">
                  <c:v>128.38907103840165</c:v>
                </c:pt>
                <c:pt idx="2715">
                  <c:v>128.41203339401659</c:v>
                </c:pt>
                <c:pt idx="2716">
                  <c:v>128.43499985644351</c:v>
                </c:pt>
                <c:pt idx="2717">
                  <c:v>128.45797042641681</c:v>
                </c:pt>
                <c:pt idx="2718">
                  <c:v>128.48094510467135</c:v>
                </c:pt>
                <c:pt idx="2719">
                  <c:v>128.50392389194175</c:v>
                </c:pt>
                <c:pt idx="2720">
                  <c:v>128.52690678896295</c:v>
                </c:pt>
                <c:pt idx="2721">
                  <c:v>128.54989379646995</c:v>
                </c:pt>
                <c:pt idx="2722">
                  <c:v>128.5728849151979</c:v>
                </c:pt>
                <c:pt idx="2723">
                  <c:v>128.59588014588215</c:v>
                </c:pt>
                <c:pt idx="2724">
                  <c:v>128.61887948925803</c:v>
                </c:pt>
                <c:pt idx="2725">
                  <c:v>128.6418829460612</c:v>
                </c:pt>
                <c:pt idx="2726">
                  <c:v>128.66489051702715</c:v>
                </c:pt>
                <c:pt idx="2727">
                  <c:v>128.68790220289193</c:v>
                </c:pt>
                <c:pt idx="2728">
                  <c:v>128.7109180043914</c:v>
                </c:pt>
                <c:pt idx="2729">
                  <c:v>128.73393792226167</c:v>
                </c:pt>
                <c:pt idx="2730">
                  <c:v>128.7569619572389</c:v>
                </c:pt>
                <c:pt idx="2731">
                  <c:v>128.77999011005946</c:v>
                </c:pt>
                <c:pt idx="2732">
                  <c:v>128.80302238145981</c:v>
                </c:pt>
                <c:pt idx="2733">
                  <c:v>128.82605877217657</c:v>
                </c:pt>
                <c:pt idx="2734">
                  <c:v>128.84909928294647</c:v>
                </c:pt>
                <c:pt idx="2735">
                  <c:v>128.87214391450627</c:v>
                </c:pt>
                <c:pt idx="2736">
                  <c:v>128.89519266759322</c:v>
                </c:pt>
                <c:pt idx="2737">
                  <c:v>128.91824554294428</c:v>
                </c:pt>
                <c:pt idx="2738">
                  <c:v>128.94130254129678</c:v>
                </c:pt>
                <c:pt idx="2739">
                  <c:v>128.9643636633881</c:v>
                </c:pt>
                <c:pt idx="2740">
                  <c:v>128.98742890995575</c:v>
                </c:pt>
                <c:pt idx="2741">
                  <c:v>129.01049828173743</c:v>
                </c:pt>
                <c:pt idx="2742">
                  <c:v>129.03357177947089</c:v>
                </c:pt>
                <c:pt idx="2743">
                  <c:v>129.05664940389406</c:v>
                </c:pt>
                <c:pt idx="2744">
                  <c:v>129.07973115574492</c:v>
                </c:pt>
                <c:pt idx="2745">
                  <c:v>129.10281703576186</c:v>
                </c:pt>
                <c:pt idx="2746">
                  <c:v>129.12590704468309</c:v>
                </c:pt>
                <c:pt idx="2747">
                  <c:v>129.14900118324709</c:v>
                </c:pt>
                <c:pt idx="2748">
                  <c:v>129.17209945219238</c:v>
                </c:pt>
                <c:pt idx="2749">
                  <c:v>129.19520185225775</c:v>
                </c:pt>
                <c:pt idx="2750">
                  <c:v>129.21830838418202</c:v>
                </c:pt>
                <c:pt idx="2751">
                  <c:v>129.24141904870416</c:v>
                </c:pt>
                <c:pt idx="2752">
                  <c:v>129.2645338465633</c:v>
                </c:pt>
                <c:pt idx="2753">
                  <c:v>129.2876527784986</c:v>
                </c:pt>
                <c:pt idx="2754">
                  <c:v>129.31077584524959</c:v>
                </c:pt>
                <c:pt idx="2755">
                  <c:v>129.33390304755571</c:v>
                </c:pt>
                <c:pt idx="2756">
                  <c:v>129.35703438615664</c:v>
                </c:pt>
                <c:pt idx="2757">
                  <c:v>129.3801698617921</c:v>
                </c:pt>
                <c:pt idx="2758">
                  <c:v>129.40330947520204</c:v>
                </c:pt>
                <c:pt idx="2759">
                  <c:v>129.42645322712644</c:v>
                </c:pt>
                <c:pt idx="2760">
                  <c:v>129.44960111830554</c:v>
                </c:pt>
                <c:pt idx="2761">
                  <c:v>129.47275314947962</c:v>
                </c:pt>
                <c:pt idx="2762">
                  <c:v>129.49590932138898</c:v>
                </c:pt>
                <c:pt idx="2763">
                  <c:v>129.51906963477455</c:v>
                </c:pt>
                <c:pt idx="2764">
                  <c:v>129.5422340903767</c:v>
                </c:pt>
                <c:pt idx="2765">
                  <c:v>129.56540268893636</c:v>
                </c:pt>
                <c:pt idx="2766">
                  <c:v>129.5885754311945</c:v>
                </c:pt>
                <c:pt idx="2767">
                  <c:v>129.61175231789224</c:v>
                </c:pt>
                <c:pt idx="2768">
                  <c:v>129.63493334977079</c:v>
                </c:pt>
                <c:pt idx="2769">
                  <c:v>129.65811852757153</c:v>
                </c:pt>
                <c:pt idx="2770">
                  <c:v>129.68130785203596</c:v>
                </c:pt>
                <c:pt idx="2771">
                  <c:v>129.70450132390556</c:v>
                </c:pt>
                <c:pt idx="2772">
                  <c:v>129.72769894392235</c:v>
                </c:pt>
                <c:pt idx="2773">
                  <c:v>129.7509007128281</c:v>
                </c:pt>
                <c:pt idx="2774">
                  <c:v>129.77410663136487</c:v>
                </c:pt>
                <c:pt idx="2775">
                  <c:v>129.79731670027476</c:v>
                </c:pt>
                <c:pt idx="2776">
                  <c:v>129.82053092030014</c:v>
                </c:pt>
                <c:pt idx="2777">
                  <c:v>129.84374929218336</c:v>
                </c:pt>
                <c:pt idx="2778">
                  <c:v>129.86697181666702</c:v>
                </c:pt>
                <c:pt idx="2779">
                  <c:v>129.89019849449383</c:v>
                </c:pt>
                <c:pt idx="2780">
                  <c:v>129.91342932640654</c:v>
                </c:pt>
                <c:pt idx="2781">
                  <c:v>129.93666431314807</c:v>
                </c:pt>
                <c:pt idx="2782">
                  <c:v>129.9599034554617</c:v>
                </c:pt>
                <c:pt idx="2783">
                  <c:v>129.98314675409057</c:v>
                </c:pt>
                <c:pt idx="2784">
                  <c:v>130.00639420977802</c:v>
                </c:pt>
                <c:pt idx="2785">
                  <c:v>130.02964582326751</c:v>
                </c:pt>
                <c:pt idx="2786">
                  <c:v>130.0529015953027</c:v>
                </c:pt>
                <c:pt idx="2787">
                  <c:v>130.07616152662735</c:v>
                </c:pt>
                <c:pt idx="2788">
                  <c:v>130.0994256179853</c:v>
                </c:pt>
                <c:pt idx="2789">
                  <c:v>130.1226938701206</c:v>
                </c:pt>
                <c:pt idx="2790">
                  <c:v>130.14596628377728</c:v>
                </c:pt>
                <c:pt idx="2791">
                  <c:v>130.16924285969989</c:v>
                </c:pt>
                <c:pt idx="2792">
                  <c:v>130.19252359863273</c:v>
                </c:pt>
                <c:pt idx="2793">
                  <c:v>130.21580850132031</c:v>
                </c:pt>
                <c:pt idx="2794">
                  <c:v>130.23909756850733</c:v>
                </c:pt>
                <c:pt idx="2795">
                  <c:v>130.26239080093862</c:v>
                </c:pt>
                <c:pt idx="2796">
                  <c:v>130.28568819935916</c:v>
                </c:pt>
                <c:pt idx="2797">
                  <c:v>130.30898976451402</c:v>
                </c:pt>
                <c:pt idx="2798">
                  <c:v>130.33229549714838</c:v>
                </c:pt>
                <c:pt idx="2799">
                  <c:v>130.35560539800753</c:v>
                </c:pt>
                <c:pt idx="2800">
                  <c:v>130.37891946783714</c:v>
                </c:pt>
                <c:pt idx="2801">
                  <c:v>130.40223770738274</c:v>
                </c:pt>
                <c:pt idx="2802">
                  <c:v>130.42556011739012</c:v>
                </c:pt>
                <c:pt idx="2803">
                  <c:v>130.44888669860509</c:v>
                </c:pt>
                <c:pt idx="2804">
                  <c:v>130.47221745177373</c:v>
                </c:pt>
                <c:pt idx="2805">
                  <c:v>130.49555237764216</c:v>
                </c:pt>
                <c:pt idx="2806">
                  <c:v>130.51889147695667</c:v>
                </c:pt>
                <c:pt idx="2807">
                  <c:v>130.54223475046368</c:v>
                </c:pt>
                <c:pt idx="2808">
                  <c:v>130.56558219890962</c:v>
                </c:pt>
                <c:pt idx="2809">
                  <c:v>130.58893382304149</c:v>
                </c:pt>
                <c:pt idx="2810">
                  <c:v>130.61228962360585</c:v>
                </c:pt>
                <c:pt idx="2811">
                  <c:v>130.63564960134977</c:v>
                </c:pt>
                <c:pt idx="2812">
                  <c:v>130.65901375702029</c:v>
                </c:pt>
                <c:pt idx="2813">
                  <c:v>130.68238209136464</c:v>
                </c:pt>
                <c:pt idx="2814">
                  <c:v>130.70575460513018</c:v>
                </c:pt>
                <c:pt idx="2815">
                  <c:v>130.72913129906439</c:v>
                </c:pt>
                <c:pt idx="2816">
                  <c:v>130.75251217391491</c:v>
                </c:pt>
                <c:pt idx="2817">
                  <c:v>130.77589723042934</c:v>
                </c:pt>
                <c:pt idx="2818">
                  <c:v>130.79928646935582</c:v>
                </c:pt>
                <c:pt idx="2819">
                  <c:v>130.82267989144228</c:v>
                </c:pt>
                <c:pt idx="2820">
                  <c:v>130.84607749743688</c:v>
                </c:pt>
                <c:pt idx="2821">
                  <c:v>130.86947928808786</c:v>
                </c:pt>
                <c:pt idx="2822">
                  <c:v>130.8928852641437</c:v>
                </c:pt>
                <c:pt idx="2823">
                  <c:v>130.91629542635292</c:v>
                </c:pt>
                <c:pt idx="2824">
                  <c:v>130.93970977546422</c:v>
                </c:pt>
                <c:pt idx="2825">
                  <c:v>130.96312831222644</c:v>
                </c:pt>
                <c:pt idx="2826">
                  <c:v>130.98655103738847</c:v>
                </c:pt>
                <c:pt idx="2827">
                  <c:v>131.00997795169954</c:v>
                </c:pt>
                <c:pt idx="2828">
                  <c:v>131.03340905590878</c:v>
                </c:pt>
                <c:pt idx="2829">
                  <c:v>131.05684435076563</c:v>
                </c:pt>
                <c:pt idx="2830">
                  <c:v>131.08028383701952</c:v>
                </c:pt>
                <c:pt idx="2831">
                  <c:v>131.10372751542008</c:v>
                </c:pt>
                <c:pt idx="2832">
                  <c:v>131.12717538671711</c:v>
                </c:pt>
                <c:pt idx="2833">
                  <c:v>131.15062745166048</c:v>
                </c:pt>
                <c:pt idx="2834">
                  <c:v>131.17408371100024</c:v>
                </c:pt>
                <c:pt idx="2835">
                  <c:v>131.19754416548645</c:v>
                </c:pt>
                <c:pt idx="2836">
                  <c:v>131.2210088158696</c:v>
                </c:pt>
                <c:pt idx="2837">
                  <c:v>131.24447766290004</c:v>
                </c:pt>
                <c:pt idx="2838">
                  <c:v>131.26795070732834</c:v>
                </c:pt>
                <c:pt idx="2839">
                  <c:v>131.2914279499052</c:v>
                </c:pt>
                <c:pt idx="2840">
                  <c:v>131.31490939138146</c:v>
                </c:pt>
                <c:pt idx="2841">
                  <c:v>131.33839503250809</c:v>
                </c:pt>
                <c:pt idx="2842">
                  <c:v>131.36188487403618</c:v>
                </c:pt>
                <c:pt idx="2843">
                  <c:v>131.385378916717</c:v>
                </c:pt>
                <c:pt idx="2844">
                  <c:v>131.40887716130177</c:v>
                </c:pt>
                <c:pt idx="2845">
                  <c:v>131.43237960854228</c:v>
                </c:pt>
                <c:pt idx="2846">
                  <c:v>131.45588625919004</c:v>
                </c:pt>
                <c:pt idx="2847">
                  <c:v>131.47939711399681</c:v>
                </c:pt>
                <c:pt idx="2848">
                  <c:v>131.50291217371455</c:v>
                </c:pt>
                <c:pt idx="2849">
                  <c:v>131.52643143909523</c:v>
                </c:pt>
                <c:pt idx="2850">
                  <c:v>131.54995491089107</c:v>
                </c:pt>
                <c:pt idx="2851">
                  <c:v>131.57348258985442</c:v>
                </c:pt>
                <c:pt idx="2852">
                  <c:v>131.59701447673768</c:v>
                </c:pt>
                <c:pt idx="2853">
                  <c:v>131.62055057229335</c:v>
                </c:pt>
                <c:pt idx="2854">
                  <c:v>131.64409087727441</c:v>
                </c:pt>
                <c:pt idx="2855">
                  <c:v>131.66763539243354</c:v>
                </c:pt>
                <c:pt idx="2856">
                  <c:v>131.69118411852372</c:v>
                </c:pt>
                <c:pt idx="2857">
                  <c:v>131.71473705629813</c:v>
                </c:pt>
                <c:pt idx="2858">
                  <c:v>131.73829420651003</c:v>
                </c:pt>
                <c:pt idx="2859">
                  <c:v>131.76185556991274</c:v>
                </c:pt>
                <c:pt idx="2860">
                  <c:v>131.78542114725988</c:v>
                </c:pt>
                <c:pt idx="2861">
                  <c:v>131.80899093930506</c:v>
                </c:pt>
                <c:pt idx="2862">
                  <c:v>131.83256494680197</c:v>
                </c:pt>
                <c:pt idx="2863">
                  <c:v>131.85614317050477</c:v>
                </c:pt>
                <c:pt idx="2864">
                  <c:v>131.8797256111674</c:v>
                </c:pt>
                <c:pt idx="2865">
                  <c:v>131.9033122695441</c:v>
                </c:pt>
                <c:pt idx="2866">
                  <c:v>131.92690314638918</c:v>
                </c:pt>
                <c:pt idx="2867">
                  <c:v>131.95049824245712</c:v>
                </c:pt>
                <c:pt idx="2868">
                  <c:v>131.97409755850254</c:v>
                </c:pt>
                <c:pt idx="2869">
                  <c:v>131.99770109528015</c:v>
                </c:pt>
                <c:pt idx="2870">
                  <c:v>132.02130885354487</c:v>
                </c:pt>
                <c:pt idx="2871">
                  <c:v>132.04492083405154</c:v>
                </c:pt>
                <c:pt idx="2872">
                  <c:v>132.06853703755559</c:v>
                </c:pt>
                <c:pt idx="2873">
                  <c:v>132.09215746481215</c:v>
                </c:pt>
                <c:pt idx="2874">
                  <c:v>132.11578211657667</c:v>
                </c:pt>
                <c:pt idx="2875">
                  <c:v>132.13941099360466</c:v>
                </c:pt>
                <c:pt idx="2876">
                  <c:v>132.16304409665187</c:v>
                </c:pt>
                <c:pt idx="2877">
                  <c:v>132.18668142647408</c:v>
                </c:pt>
                <c:pt idx="2878">
                  <c:v>132.21032298382724</c:v>
                </c:pt>
                <c:pt idx="2879">
                  <c:v>132.23396876946742</c:v>
                </c:pt>
                <c:pt idx="2880">
                  <c:v>132.25761878415085</c:v>
                </c:pt>
                <c:pt idx="2881">
                  <c:v>132.28127302863399</c:v>
                </c:pt>
                <c:pt idx="2882">
                  <c:v>132.30493150367326</c:v>
                </c:pt>
                <c:pt idx="2883">
                  <c:v>132.32859421002536</c:v>
                </c:pt>
                <c:pt idx="2884">
                  <c:v>132.35226114844698</c:v>
                </c:pt>
                <c:pt idx="2885">
                  <c:v>132.37593231969507</c:v>
                </c:pt>
                <c:pt idx="2886">
                  <c:v>132.39960772452665</c:v>
                </c:pt>
                <c:pt idx="2887">
                  <c:v>132.42328736369888</c:v>
                </c:pt>
                <c:pt idx="2888">
                  <c:v>132.44697123796911</c:v>
                </c:pt>
                <c:pt idx="2889">
                  <c:v>132.47065934809464</c:v>
                </c:pt>
                <c:pt idx="2890">
                  <c:v>132.49435169483331</c:v>
                </c:pt>
                <c:pt idx="2891">
                  <c:v>132.5180482789427</c:v>
                </c:pt>
                <c:pt idx="2892">
                  <c:v>132.54174910118067</c:v>
                </c:pt>
                <c:pt idx="2893">
                  <c:v>132.5654541623052</c:v>
                </c:pt>
                <c:pt idx="2894">
                  <c:v>132.58916346307441</c:v>
                </c:pt>
                <c:pt idx="2895">
                  <c:v>132.6128770042466</c:v>
                </c:pt>
                <c:pt idx="2896">
                  <c:v>132.6365947865801</c:v>
                </c:pt>
                <c:pt idx="2897">
                  <c:v>132.66031681083351</c:v>
                </c:pt>
                <c:pt idx="2898">
                  <c:v>132.68404307776532</c:v>
                </c:pt>
                <c:pt idx="2899">
                  <c:v>132.70777358813461</c:v>
                </c:pt>
                <c:pt idx="2900">
                  <c:v>132.73150834270018</c:v>
                </c:pt>
                <c:pt idx="2901">
                  <c:v>132.75524734222111</c:v>
                </c:pt>
                <c:pt idx="2902">
                  <c:v>132.77899058745658</c:v>
                </c:pt>
                <c:pt idx="2903">
                  <c:v>132.80273807916598</c:v>
                </c:pt>
                <c:pt idx="2904">
                  <c:v>132.8264898181088</c:v>
                </c:pt>
                <c:pt idx="2905">
                  <c:v>132.85024580504458</c:v>
                </c:pt>
                <c:pt idx="2906">
                  <c:v>132.87400604073315</c:v>
                </c:pt>
                <c:pt idx="2907">
                  <c:v>132.89777052593425</c:v>
                </c:pt>
                <c:pt idx="2908">
                  <c:v>132.9215392614081</c:v>
                </c:pt>
                <c:pt idx="2909">
                  <c:v>132.94531224791481</c:v>
                </c:pt>
                <c:pt idx="2910">
                  <c:v>132.96908948621467</c:v>
                </c:pt>
                <c:pt idx="2911">
                  <c:v>132.99287097706809</c:v>
                </c:pt>
                <c:pt idx="2912">
                  <c:v>133.01665672123562</c:v>
                </c:pt>
                <c:pt idx="2913">
                  <c:v>133.04044671947798</c:v>
                </c:pt>
                <c:pt idx="2914">
                  <c:v>133.06424097255604</c:v>
                </c:pt>
                <c:pt idx="2915">
                  <c:v>133.08803948123074</c:v>
                </c:pt>
                <c:pt idx="2916">
                  <c:v>133.11184224626319</c:v>
                </c:pt>
                <c:pt idx="2917">
                  <c:v>133.13564926841454</c:v>
                </c:pt>
                <c:pt idx="2918">
                  <c:v>133.15946054844642</c:v>
                </c:pt>
                <c:pt idx="2919">
                  <c:v>133.18327608712022</c:v>
                </c:pt>
                <c:pt idx="2920">
                  <c:v>133.20709588519756</c:v>
                </c:pt>
                <c:pt idx="2921">
                  <c:v>133.23091994344031</c:v>
                </c:pt>
                <c:pt idx="2922">
                  <c:v>133.25474826261035</c:v>
                </c:pt>
                <c:pt idx="2923">
                  <c:v>133.27858084346985</c:v>
                </c:pt>
                <c:pt idx="2924">
                  <c:v>133.30241768678081</c:v>
                </c:pt>
                <c:pt idx="2925">
                  <c:v>133.3262587933057</c:v>
                </c:pt>
                <c:pt idx="2926">
                  <c:v>133.3501041638068</c:v>
                </c:pt>
                <c:pt idx="2927">
                  <c:v>133.37395379904706</c:v>
                </c:pt>
                <c:pt idx="2928">
                  <c:v>133.39780769978901</c:v>
                </c:pt>
                <c:pt idx="2929">
                  <c:v>133.42166586679562</c:v>
                </c:pt>
                <c:pt idx="2930">
                  <c:v>133.44552830082986</c:v>
                </c:pt>
                <c:pt idx="2931">
                  <c:v>133.46939500265489</c:v>
                </c:pt>
                <c:pt idx="2932">
                  <c:v>133.49326597303403</c:v>
                </c:pt>
                <c:pt idx="2933">
                  <c:v>133.51714121273068</c:v>
                </c:pt>
                <c:pt idx="2934">
                  <c:v>133.54102072250842</c:v>
                </c:pt>
                <c:pt idx="2935">
                  <c:v>133.56490450313086</c:v>
                </c:pt>
                <c:pt idx="2936">
                  <c:v>133.58879255536201</c:v>
                </c:pt>
                <c:pt idx="2937">
                  <c:v>133.61268487996577</c:v>
                </c:pt>
                <c:pt idx="2938">
                  <c:v>133.63658147770627</c:v>
                </c:pt>
                <c:pt idx="2939">
                  <c:v>133.66048234934775</c:v>
                </c:pt>
                <c:pt idx="2940">
                  <c:v>133.68438749565456</c:v>
                </c:pt>
                <c:pt idx="2941">
                  <c:v>133.70829691739127</c:v>
                </c:pt>
                <c:pt idx="2942">
                  <c:v>133.73221061532251</c:v>
                </c:pt>
                <c:pt idx="2943">
                  <c:v>133.75612859021308</c:v>
                </c:pt>
                <c:pt idx="2944">
                  <c:v>133.78005084282782</c:v>
                </c:pt>
                <c:pt idx="2945">
                  <c:v>133.80397737393199</c:v>
                </c:pt>
                <c:pt idx="2946">
                  <c:v>133.82790818429072</c:v>
                </c:pt>
                <c:pt idx="2947">
                  <c:v>133.85184327466933</c:v>
                </c:pt>
                <c:pt idx="2948">
                  <c:v>133.87578264583334</c:v>
                </c:pt>
                <c:pt idx="2949">
                  <c:v>133.8997262985483</c:v>
                </c:pt>
                <c:pt idx="2950">
                  <c:v>133.92367423358004</c:v>
                </c:pt>
                <c:pt idx="2951">
                  <c:v>133.94762645169439</c:v>
                </c:pt>
                <c:pt idx="2952">
                  <c:v>133.97158295365739</c:v>
                </c:pt>
                <c:pt idx="2953">
                  <c:v>133.99554374023512</c:v>
                </c:pt>
                <c:pt idx="2954">
                  <c:v>134.01950881219409</c:v>
                </c:pt>
                <c:pt idx="2955">
                  <c:v>134.04347817030063</c:v>
                </c:pt>
                <c:pt idx="2956">
                  <c:v>134.06745181532131</c:v>
                </c:pt>
                <c:pt idx="2957">
                  <c:v>134.09142974802285</c:v>
                </c:pt>
                <c:pt idx="2958">
                  <c:v>134.1154119691721</c:v>
                </c:pt>
                <c:pt idx="2959">
                  <c:v>134.13939847953606</c:v>
                </c:pt>
                <c:pt idx="2960">
                  <c:v>134.16338927988181</c:v>
                </c:pt>
                <c:pt idx="2961">
                  <c:v>134.18738437097667</c:v>
                </c:pt>
                <c:pt idx="2962">
                  <c:v>134.21138375358791</c:v>
                </c:pt>
                <c:pt idx="2963">
                  <c:v>134.23538742848325</c:v>
                </c:pt>
                <c:pt idx="2964">
                  <c:v>134.25939539643031</c:v>
                </c:pt>
                <c:pt idx="2965">
                  <c:v>134.28340765819686</c:v>
                </c:pt>
                <c:pt idx="2966">
                  <c:v>134.30742421455088</c:v>
                </c:pt>
                <c:pt idx="2967">
                  <c:v>134.33144506626044</c:v>
                </c:pt>
                <c:pt idx="2968">
                  <c:v>134.35547021409377</c:v>
                </c:pt>
                <c:pt idx="2969">
                  <c:v>134.37949965881921</c:v>
                </c:pt>
                <c:pt idx="2970">
                  <c:v>134.40353340120527</c:v>
                </c:pt>
                <c:pt idx="2971">
                  <c:v>134.42757144202048</c:v>
                </c:pt>
                <c:pt idx="2972">
                  <c:v>134.45161378203383</c:v>
                </c:pt>
                <c:pt idx="2973">
                  <c:v>134.47566042201413</c:v>
                </c:pt>
                <c:pt idx="2974">
                  <c:v>134.49971136273041</c:v>
                </c:pt>
                <c:pt idx="2975">
                  <c:v>134.52376660495187</c:v>
                </c:pt>
                <c:pt idx="2976">
                  <c:v>134.54782614944787</c:v>
                </c:pt>
                <c:pt idx="2977">
                  <c:v>134.57188999698778</c:v>
                </c:pt>
                <c:pt idx="2978">
                  <c:v>134.59595814834128</c:v>
                </c:pt>
                <c:pt idx="2979">
                  <c:v>134.62003060427804</c:v>
                </c:pt>
                <c:pt idx="2980">
                  <c:v>134.64410736556786</c:v>
                </c:pt>
                <c:pt idx="2981">
                  <c:v>134.668188432981</c:v>
                </c:pt>
                <c:pt idx="2982">
                  <c:v>134.69227380728745</c:v>
                </c:pt>
                <c:pt idx="2983">
                  <c:v>134.71636348925753</c:v>
                </c:pt>
                <c:pt idx="2984">
                  <c:v>134.74045747966161</c:v>
                </c:pt>
                <c:pt idx="2985">
                  <c:v>134.76455577927035</c:v>
                </c:pt>
                <c:pt idx="2986">
                  <c:v>134.78865838885434</c:v>
                </c:pt>
                <c:pt idx="2987">
                  <c:v>134.81276530918453</c:v>
                </c:pt>
                <c:pt idx="2988">
                  <c:v>134.83687654103178</c:v>
                </c:pt>
                <c:pt idx="2989">
                  <c:v>134.86099208516717</c:v>
                </c:pt>
                <c:pt idx="2990">
                  <c:v>134.88511194236216</c:v>
                </c:pt>
                <c:pt idx="2991">
                  <c:v>134.909236113388</c:v>
                </c:pt>
                <c:pt idx="2992">
                  <c:v>134.93336459901627</c:v>
                </c:pt>
                <c:pt idx="2993">
                  <c:v>134.95749740001858</c:v>
                </c:pt>
                <c:pt idx="2994">
                  <c:v>134.98163451716678</c:v>
                </c:pt>
                <c:pt idx="2995">
                  <c:v>135.00577595123281</c:v>
                </c:pt>
                <c:pt idx="2996">
                  <c:v>135.0299217029887</c:v>
                </c:pt>
                <c:pt idx="2997">
                  <c:v>135.05407177320669</c:v>
                </c:pt>
                <c:pt idx="2998">
                  <c:v>135.07822616265915</c:v>
                </c:pt>
                <c:pt idx="2999">
                  <c:v>135.10238487211845</c:v>
                </c:pt>
                <c:pt idx="3000">
                  <c:v>135.12654790235749</c:v>
                </c:pt>
                <c:pt idx="3001">
                  <c:v>135.15071525414885</c:v>
                </c:pt>
                <c:pt idx="3002">
                  <c:v>135.17488692826549</c:v>
                </c:pt>
                <c:pt idx="3003">
                  <c:v>135.19906292548046</c:v>
                </c:pt>
                <c:pt idx="3004">
                  <c:v>135.22324324656691</c:v>
                </c:pt>
                <c:pt idx="3005">
                  <c:v>135.24742789229822</c:v>
                </c:pt>
                <c:pt idx="3006">
                  <c:v>135.27161686344778</c:v>
                </c:pt>
                <c:pt idx="3007">
                  <c:v>135.29581016078927</c:v>
                </c:pt>
                <c:pt idx="3008">
                  <c:v>135.32000778509624</c:v>
                </c:pt>
                <c:pt idx="3009">
                  <c:v>135.34420973714282</c:v>
                </c:pt>
                <c:pt idx="3010">
                  <c:v>135.36841601770294</c:v>
                </c:pt>
                <c:pt idx="3011">
                  <c:v>135.39262662755073</c:v>
                </c:pt>
                <c:pt idx="3012">
                  <c:v>135.41684156746047</c:v>
                </c:pt>
                <c:pt idx="3013">
                  <c:v>135.4410608382066</c:v>
                </c:pt>
                <c:pt idx="3014">
                  <c:v>135.46528444056369</c:v>
                </c:pt>
                <c:pt idx="3015">
                  <c:v>135.48951237530645</c:v>
                </c:pt>
                <c:pt idx="3016">
                  <c:v>135.51374464320975</c:v>
                </c:pt>
                <c:pt idx="3017">
                  <c:v>135.5379812450484</c:v>
                </c:pt>
                <c:pt idx="3018">
                  <c:v>135.5622221815978</c:v>
                </c:pt>
                <c:pt idx="3019">
                  <c:v>135.58646745363311</c:v>
                </c:pt>
                <c:pt idx="3020">
                  <c:v>135.61071706192971</c:v>
                </c:pt>
                <c:pt idx="3021">
                  <c:v>135.63497100726312</c:v>
                </c:pt>
                <c:pt idx="3022">
                  <c:v>135.65922929040903</c:v>
                </c:pt>
                <c:pt idx="3023">
                  <c:v>135.68349191214327</c:v>
                </c:pt>
                <c:pt idx="3024">
                  <c:v>135.70775887324177</c:v>
                </c:pt>
                <c:pt idx="3025">
                  <c:v>135.73203017448068</c:v>
                </c:pt>
                <c:pt idx="3026">
                  <c:v>135.75630581663606</c:v>
                </c:pt>
                <c:pt idx="3027">
                  <c:v>135.78058580048452</c:v>
                </c:pt>
                <c:pt idx="3028">
                  <c:v>135.80487012680246</c:v>
                </c:pt>
                <c:pt idx="3029">
                  <c:v>135.82915879636656</c:v>
                </c:pt>
                <c:pt idx="3030">
                  <c:v>135.85345180995355</c:v>
                </c:pt>
                <c:pt idx="3031">
                  <c:v>135.87774916834044</c:v>
                </c:pt>
                <c:pt idx="3032">
                  <c:v>135.90205087230424</c:v>
                </c:pt>
                <c:pt idx="3033">
                  <c:v>135.92635692262215</c:v>
                </c:pt>
                <c:pt idx="3034">
                  <c:v>135.95066732007152</c:v>
                </c:pt>
                <c:pt idx="3035">
                  <c:v>135.97498206542974</c:v>
                </c:pt>
                <c:pt idx="3036">
                  <c:v>135.99930115947464</c:v>
                </c:pt>
                <c:pt idx="3037">
                  <c:v>136.02362460298389</c:v>
                </c:pt>
                <c:pt idx="3038">
                  <c:v>136.04795239673538</c:v>
                </c:pt>
                <c:pt idx="3039">
                  <c:v>136.07228454150714</c:v>
                </c:pt>
                <c:pt idx="3040">
                  <c:v>136.09662103807736</c:v>
                </c:pt>
                <c:pt idx="3041">
                  <c:v>136.12096188722435</c:v>
                </c:pt>
                <c:pt idx="3042">
                  <c:v>136.14530708972657</c:v>
                </c:pt>
                <c:pt idx="3043">
                  <c:v>136.1696566463626</c:v>
                </c:pt>
                <c:pt idx="3044">
                  <c:v>136.1940105579111</c:v>
                </c:pt>
                <c:pt idx="3045">
                  <c:v>136.21836882515117</c:v>
                </c:pt>
                <c:pt idx="3046">
                  <c:v>136.24273144886166</c:v>
                </c:pt>
                <c:pt idx="3047">
                  <c:v>136.26709842982177</c:v>
                </c:pt>
                <c:pt idx="3048">
                  <c:v>136.2914697688108</c:v>
                </c:pt>
                <c:pt idx="3049">
                  <c:v>136.31584546660815</c:v>
                </c:pt>
                <c:pt idx="3050">
                  <c:v>136.34022552399341</c:v>
                </c:pt>
                <c:pt idx="3051">
                  <c:v>136.36460994174627</c:v>
                </c:pt>
                <c:pt idx="3052">
                  <c:v>136.38899872064661</c:v>
                </c:pt>
                <c:pt idx="3053">
                  <c:v>136.41339186147428</c:v>
                </c:pt>
                <c:pt idx="3054">
                  <c:v>136.43778936500965</c:v>
                </c:pt>
                <c:pt idx="3055">
                  <c:v>136.46219123203286</c:v>
                </c:pt>
                <c:pt idx="3056">
                  <c:v>136.48659746332439</c:v>
                </c:pt>
                <c:pt idx="3057">
                  <c:v>136.51100805966468</c:v>
                </c:pt>
                <c:pt idx="3058">
                  <c:v>136.5354230218345</c:v>
                </c:pt>
                <c:pt idx="3059">
                  <c:v>136.55984235061464</c:v>
                </c:pt>
                <c:pt idx="3060">
                  <c:v>136.58426604678607</c:v>
                </c:pt>
                <c:pt idx="3061">
                  <c:v>136.60869411112992</c:v>
                </c:pt>
                <c:pt idx="3062">
                  <c:v>136.63312654442728</c:v>
                </c:pt>
                <c:pt idx="3063">
                  <c:v>136.65756334745981</c:v>
                </c:pt>
                <c:pt idx="3064">
                  <c:v>136.68200452100891</c:v>
                </c:pt>
                <c:pt idx="3065">
                  <c:v>136.70645006585622</c:v>
                </c:pt>
                <c:pt idx="3066">
                  <c:v>136.73089998278357</c:v>
                </c:pt>
                <c:pt idx="3067">
                  <c:v>136.75535427257287</c:v>
                </c:pt>
                <c:pt idx="3068">
                  <c:v>136.77981293600627</c:v>
                </c:pt>
                <c:pt idx="3069">
                  <c:v>136.80427597386594</c:v>
                </c:pt>
                <c:pt idx="3070">
                  <c:v>136.82874338693429</c:v>
                </c:pt>
                <c:pt idx="3071">
                  <c:v>136.85321517599368</c:v>
                </c:pt>
                <c:pt idx="3072">
                  <c:v>136.87769134182696</c:v>
                </c:pt>
                <c:pt idx="3073">
                  <c:v>136.90217188521686</c:v>
                </c:pt>
                <c:pt idx="3074">
                  <c:v>136.92665680694626</c:v>
                </c:pt>
                <c:pt idx="3075">
                  <c:v>136.95114610779825</c:v>
                </c:pt>
                <c:pt idx="3076">
                  <c:v>136.97563978855601</c:v>
                </c:pt>
                <c:pt idx="3077">
                  <c:v>137.00013785000289</c:v>
                </c:pt>
                <c:pt idx="3078">
                  <c:v>137.02464029292241</c:v>
                </c:pt>
                <c:pt idx="3079">
                  <c:v>137.04914711809818</c:v>
                </c:pt>
                <c:pt idx="3080">
                  <c:v>137.07365832631379</c:v>
                </c:pt>
                <c:pt idx="3081">
                  <c:v>137.09817391835347</c:v>
                </c:pt>
                <c:pt idx="3082">
                  <c:v>137.12269389500108</c:v>
                </c:pt>
                <c:pt idx="3083">
                  <c:v>137.14721825704098</c:v>
                </c:pt>
                <c:pt idx="3084">
                  <c:v>137.1717470052572</c:v>
                </c:pt>
                <c:pt idx="3085">
                  <c:v>137.1962801404344</c:v>
                </c:pt>
                <c:pt idx="3086">
                  <c:v>137.22081766335714</c:v>
                </c:pt>
                <c:pt idx="3087">
                  <c:v>137.24535957481012</c:v>
                </c:pt>
                <c:pt idx="3088">
                  <c:v>137.26990587557833</c:v>
                </c:pt>
                <c:pt idx="3089">
                  <c:v>137.29445656644671</c:v>
                </c:pt>
                <c:pt idx="3090">
                  <c:v>137.31901164820039</c:v>
                </c:pt>
                <c:pt idx="3091">
                  <c:v>137.34357112162482</c:v>
                </c:pt>
                <c:pt idx="3092">
                  <c:v>137.36813498750541</c:v>
                </c:pt>
                <c:pt idx="3093">
                  <c:v>137.39270324662772</c:v>
                </c:pt>
                <c:pt idx="3094">
                  <c:v>137.41727589977748</c:v>
                </c:pt>
                <c:pt idx="3095">
                  <c:v>137.44185294774056</c:v>
                </c:pt>
                <c:pt idx="3096">
                  <c:v>137.46643439130298</c:v>
                </c:pt>
                <c:pt idx="3097">
                  <c:v>137.4910202312509</c:v>
                </c:pt>
                <c:pt idx="3098">
                  <c:v>137.5156104683706</c:v>
                </c:pt>
                <c:pt idx="3099">
                  <c:v>137.54020510344836</c:v>
                </c:pt>
                <c:pt idx="3100">
                  <c:v>137.56480413727107</c:v>
                </c:pt>
                <c:pt idx="3101">
                  <c:v>137.58940757062524</c:v>
                </c:pt>
                <c:pt idx="3102">
                  <c:v>137.61401540429779</c:v>
                </c:pt>
                <c:pt idx="3103">
                  <c:v>137.63862763907568</c:v>
                </c:pt>
                <c:pt idx="3104">
                  <c:v>137.66324427574605</c:v>
                </c:pt>
                <c:pt idx="3105">
                  <c:v>137.68786531509622</c:v>
                </c:pt>
                <c:pt idx="3106">
                  <c:v>137.71249075791354</c:v>
                </c:pt>
                <c:pt idx="3107">
                  <c:v>137.73712060498565</c:v>
                </c:pt>
                <c:pt idx="3108">
                  <c:v>137.76175485710004</c:v>
                </c:pt>
                <c:pt idx="3109">
                  <c:v>137.78639351504486</c:v>
                </c:pt>
                <c:pt idx="3110">
                  <c:v>137.81103657960793</c:v>
                </c:pt>
                <c:pt idx="3111">
                  <c:v>137.8356840515774</c:v>
                </c:pt>
                <c:pt idx="3112">
                  <c:v>137.8603359317415</c:v>
                </c:pt>
                <c:pt idx="3113">
                  <c:v>137.88499222088868</c:v>
                </c:pt>
                <c:pt idx="3114">
                  <c:v>137.90965291980746</c:v>
                </c:pt>
                <c:pt idx="3115">
                  <c:v>137.93431802928652</c:v>
                </c:pt>
                <c:pt idx="3116">
                  <c:v>137.9589875501147</c:v>
                </c:pt>
                <c:pt idx="3117">
                  <c:v>137.98366148308085</c:v>
                </c:pt>
                <c:pt idx="3118">
                  <c:v>138.0083398289743</c:v>
                </c:pt>
                <c:pt idx="3119">
                  <c:v>138.0330225885842</c:v>
                </c:pt>
                <c:pt idx="3120">
                  <c:v>138.05770976269994</c:v>
                </c:pt>
                <c:pt idx="3121">
                  <c:v>138.08240135211108</c:v>
                </c:pt>
                <c:pt idx="3122">
                  <c:v>138.10709735760724</c:v>
                </c:pt>
                <c:pt idx="3123">
                  <c:v>138.13179777997829</c:v>
                </c:pt>
                <c:pt idx="3124">
                  <c:v>138.15650262001412</c:v>
                </c:pt>
                <c:pt idx="3125">
                  <c:v>138.18121187850488</c:v>
                </c:pt>
                <c:pt idx="3126">
                  <c:v>138.20592555624069</c:v>
                </c:pt>
                <c:pt idx="3127">
                  <c:v>138.23064365401214</c:v>
                </c:pt>
                <c:pt idx="3128">
                  <c:v>138.25536617260968</c:v>
                </c:pt>
                <c:pt idx="3129">
                  <c:v>138.28009311282392</c:v>
                </c:pt>
                <c:pt idx="3130">
                  <c:v>138.30482447544571</c:v>
                </c:pt>
                <c:pt idx="3131">
                  <c:v>138.32956026126595</c:v>
                </c:pt>
                <c:pt idx="3132">
                  <c:v>138.35430047107576</c:v>
                </c:pt>
                <c:pt idx="3133">
                  <c:v>138.37904510566639</c:v>
                </c:pt>
                <c:pt idx="3134">
                  <c:v>138.40379416582917</c:v>
                </c:pt>
                <c:pt idx="3135">
                  <c:v>138.42854765235546</c:v>
                </c:pt>
                <c:pt idx="3136">
                  <c:v>138.45330556603724</c:v>
                </c:pt>
                <c:pt idx="3137">
                  <c:v>138.47806790766617</c:v>
                </c:pt>
                <c:pt idx="3138">
                  <c:v>138.50283467803413</c:v>
                </c:pt>
                <c:pt idx="3139">
                  <c:v>138.52760587793324</c:v>
                </c:pt>
                <c:pt idx="3140">
                  <c:v>138.55238150815575</c:v>
                </c:pt>
                <c:pt idx="3141">
                  <c:v>138.57716156949394</c:v>
                </c:pt>
                <c:pt idx="3142">
                  <c:v>138.60194606274038</c:v>
                </c:pt>
                <c:pt idx="3143">
                  <c:v>138.6267349886877</c:v>
                </c:pt>
                <c:pt idx="3144">
                  <c:v>138.65152834812855</c:v>
                </c:pt>
                <c:pt idx="3145">
                  <c:v>138.67632614185612</c:v>
                </c:pt>
                <c:pt idx="3146">
                  <c:v>138.70112837066335</c:v>
                </c:pt>
                <c:pt idx="3147">
                  <c:v>138.72593503534347</c:v>
                </c:pt>
                <c:pt idx="3148">
                  <c:v>138.7507461366898</c:v>
                </c:pt>
                <c:pt idx="3149">
                  <c:v>138.77556167549588</c:v>
                </c:pt>
                <c:pt idx="3150">
                  <c:v>138.80038165255533</c:v>
                </c:pt>
                <c:pt idx="3151">
                  <c:v>138.82520606866191</c:v>
                </c:pt>
                <c:pt idx="3152">
                  <c:v>138.85003492460956</c:v>
                </c:pt>
                <c:pt idx="3153">
                  <c:v>138.87486822119223</c:v>
                </c:pt>
                <c:pt idx="3154">
                  <c:v>138.89970595920437</c:v>
                </c:pt>
                <c:pt idx="3155">
                  <c:v>138.92454813944019</c:v>
                </c:pt>
                <c:pt idx="3156">
                  <c:v>138.9493947626942</c:v>
                </c:pt>
                <c:pt idx="3157">
                  <c:v>138.974245829761</c:v>
                </c:pt>
                <c:pt idx="3158">
                  <c:v>138.99910134143542</c:v>
                </c:pt>
                <c:pt idx="3159">
                  <c:v>139.02396129851232</c:v>
                </c:pt>
                <c:pt idx="3160">
                  <c:v>139.0488257017868</c:v>
                </c:pt>
                <c:pt idx="3161">
                  <c:v>139.07369455205404</c:v>
                </c:pt>
                <c:pt idx="3162">
                  <c:v>139.09856785010928</c:v>
                </c:pt>
                <c:pt idx="3163">
                  <c:v>139.12344559674821</c:v>
                </c:pt>
                <c:pt idx="3164">
                  <c:v>139.14832779276637</c:v>
                </c:pt>
                <c:pt idx="3165">
                  <c:v>139.17321443895955</c:v>
                </c:pt>
                <c:pt idx="3166">
                  <c:v>139.19810553612362</c:v>
                </c:pt>
                <c:pt idx="3167">
                  <c:v>139.22300108505465</c:v>
                </c:pt>
                <c:pt idx="3168">
                  <c:v>139.24790108654884</c:v>
                </c:pt>
                <c:pt idx="3169">
                  <c:v>139.27280554140253</c:v>
                </c:pt>
                <c:pt idx="3170">
                  <c:v>139.2977144504122</c:v>
                </c:pt>
                <c:pt idx="3171">
                  <c:v>139.32262781437436</c:v>
                </c:pt>
                <c:pt idx="3172">
                  <c:v>139.34754563408603</c:v>
                </c:pt>
                <c:pt idx="3173">
                  <c:v>139.37246791034394</c:v>
                </c:pt>
                <c:pt idx="3174">
                  <c:v>139.39739464394523</c:v>
                </c:pt>
                <c:pt idx="3175">
                  <c:v>139.42232583568702</c:v>
                </c:pt>
                <c:pt idx="3176">
                  <c:v>139.4472614863667</c:v>
                </c:pt>
                <c:pt idx="3177">
                  <c:v>139.4722015967817</c:v>
                </c:pt>
                <c:pt idx="3178">
                  <c:v>139.49714616772971</c:v>
                </c:pt>
                <c:pt idx="3179">
                  <c:v>139.52209520000844</c:v>
                </c:pt>
                <c:pt idx="3180">
                  <c:v>139.54704869441568</c:v>
                </c:pt>
                <c:pt idx="3181">
                  <c:v>139.57200665174975</c:v>
                </c:pt>
                <c:pt idx="3182">
                  <c:v>139.59696907280869</c:v>
                </c:pt>
                <c:pt idx="3183">
                  <c:v>139.62193595839088</c:v>
                </c:pt>
                <c:pt idx="3184">
                  <c:v>139.64690730929476</c:v>
                </c:pt>
                <c:pt idx="3185">
                  <c:v>139.67188312631896</c:v>
                </c:pt>
                <c:pt idx="3186">
                  <c:v>139.69686341026224</c:v>
                </c:pt>
                <c:pt idx="3187">
                  <c:v>139.72184816192353</c:v>
                </c:pt>
                <c:pt idx="3188">
                  <c:v>139.74683738210189</c:v>
                </c:pt>
                <c:pt idx="3189">
                  <c:v>139.77183107159632</c:v>
                </c:pt>
                <c:pt idx="3190">
                  <c:v>139.79682923120649</c:v>
                </c:pt>
                <c:pt idx="3191">
                  <c:v>139.82183186173168</c:v>
                </c:pt>
                <c:pt idx="3192">
                  <c:v>139.84683896397155</c:v>
                </c:pt>
                <c:pt idx="3193">
                  <c:v>139.87185053872591</c:v>
                </c:pt>
                <c:pt idx="3194">
                  <c:v>139.89686658679457</c:v>
                </c:pt>
                <c:pt idx="3195">
                  <c:v>139.92188710897764</c:v>
                </c:pt>
                <c:pt idx="3196">
                  <c:v>139.94691210607536</c:v>
                </c:pt>
                <c:pt idx="3197">
                  <c:v>139.97194157888794</c:v>
                </c:pt>
                <c:pt idx="3198">
                  <c:v>139.99697552821587</c:v>
                </c:pt>
                <c:pt idx="3199">
                  <c:v>140.02201395485994</c:v>
                </c:pt>
                <c:pt idx="3200">
                  <c:v>140.0470568596208</c:v>
                </c:pt>
                <c:pt idx="3201">
                  <c:v>140.07210424329941</c:v>
                </c:pt>
                <c:pt idx="3202">
                  <c:v>140.09715610669676</c:v>
                </c:pt>
                <c:pt idx="3203">
                  <c:v>140.12221245061406</c:v>
                </c:pt>
                <c:pt idx="3204">
                  <c:v>140.14727327585268</c:v>
                </c:pt>
                <c:pt idx="3205">
                  <c:v>140.1723385832141</c:v>
                </c:pt>
                <c:pt idx="3206">
                  <c:v>140.19740837349994</c:v>
                </c:pt>
                <c:pt idx="3207">
                  <c:v>140.22248264751195</c:v>
                </c:pt>
                <c:pt idx="3208">
                  <c:v>140.24756140605194</c:v>
                </c:pt>
                <c:pt idx="3209">
                  <c:v>140.27264464992223</c:v>
                </c:pt>
                <c:pt idx="3210">
                  <c:v>140.29773237992487</c:v>
                </c:pt>
                <c:pt idx="3211">
                  <c:v>140.32282459686218</c:v>
                </c:pt>
                <c:pt idx="3212">
                  <c:v>140.3479213015367</c:v>
                </c:pt>
                <c:pt idx="3213">
                  <c:v>140.37302249475104</c:v>
                </c:pt>
                <c:pt idx="3214">
                  <c:v>140.39812817730794</c:v>
                </c:pt>
                <c:pt idx="3215">
                  <c:v>140.42323835001039</c:v>
                </c:pt>
                <c:pt idx="3216">
                  <c:v>140.44835301366138</c:v>
                </c:pt>
                <c:pt idx="3217">
                  <c:v>140.47347216906405</c:v>
                </c:pt>
                <c:pt idx="3218">
                  <c:v>140.49859581702196</c:v>
                </c:pt>
                <c:pt idx="3219">
                  <c:v>140.52372395833848</c:v>
                </c:pt>
                <c:pt idx="3220">
                  <c:v>140.54885659381725</c:v>
                </c:pt>
                <c:pt idx="3221">
                  <c:v>140.57399372426207</c:v>
                </c:pt>
                <c:pt idx="3222">
                  <c:v>140.59913535047681</c:v>
                </c:pt>
                <c:pt idx="3223">
                  <c:v>140.62428147326563</c:v>
                </c:pt>
                <c:pt idx="3224">
                  <c:v>140.64943209343267</c:v>
                </c:pt>
                <c:pt idx="3225">
                  <c:v>140.67458721178227</c:v>
                </c:pt>
                <c:pt idx="3226">
                  <c:v>140.69974682911885</c:v>
                </c:pt>
                <c:pt idx="3227">
                  <c:v>140.72491094624729</c:v>
                </c:pt>
                <c:pt idx="3228">
                  <c:v>140.75007956397226</c:v>
                </c:pt>
                <c:pt idx="3229">
                  <c:v>140.77525268309867</c:v>
                </c:pt>
                <c:pt idx="3230">
                  <c:v>140.80043030443161</c:v>
                </c:pt>
                <c:pt idx="3231">
                  <c:v>140.82561242877628</c:v>
                </c:pt>
                <c:pt idx="3232">
                  <c:v>140.85079905693806</c:v>
                </c:pt>
                <c:pt idx="3233">
                  <c:v>140.87599018972247</c:v>
                </c:pt>
                <c:pt idx="3234">
                  <c:v>140.90118582793511</c:v>
                </c:pt>
                <c:pt idx="3235">
                  <c:v>140.92638597238172</c:v>
                </c:pt>
                <c:pt idx="3236">
                  <c:v>140.95159062386844</c:v>
                </c:pt>
                <c:pt idx="3237">
                  <c:v>140.97679978320124</c:v>
                </c:pt>
                <c:pt idx="3238">
                  <c:v>141.00201345118634</c:v>
                </c:pt>
                <c:pt idx="3239">
                  <c:v>141.02723162863012</c:v>
                </c:pt>
                <c:pt idx="3240">
                  <c:v>141.05245431633909</c:v>
                </c:pt>
                <c:pt idx="3241">
                  <c:v>141.07768151511993</c:v>
                </c:pt>
                <c:pt idx="3242">
                  <c:v>141.10291322577942</c:v>
                </c:pt>
                <c:pt idx="3243">
                  <c:v>141.12814944912463</c:v>
                </c:pt>
                <c:pt idx="3244">
                  <c:v>141.15339018596228</c:v>
                </c:pt>
                <c:pt idx="3245">
                  <c:v>141.17863543710004</c:v>
                </c:pt>
                <c:pt idx="3246">
                  <c:v>141.20388520334507</c:v>
                </c:pt>
                <c:pt idx="3247">
                  <c:v>141.22913948550496</c:v>
                </c:pt>
                <c:pt idx="3248">
                  <c:v>141.25439828438738</c:v>
                </c:pt>
                <c:pt idx="3249">
                  <c:v>141.27966160080013</c:v>
                </c:pt>
                <c:pt idx="3250">
                  <c:v>141.30492943555114</c:v>
                </c:pt>
                <c:pt idx="3251">
                  <c:v>141.33020178944855</c:v>
                </c:pt>
                <c:pt idx="3252">
                  <c:v>141.3554786633006</c:v>
                </c:pt>
                <c:pt idx="3253">
                  <c:v>141.38076005791558</c:v>
                </c:pt>
                <c:pt idx="3254">
                  <c:v>141.40604597410223</c:v>
                </c:pt>
                <c:pt idx="3255">
                  <c:v>141.43133641266917</c:v>
                </c:pt>
                <c:pt idx="3256">
                  <c:v>141.45663137442514</c:v>
                </c:pt>
                <c:pt idx="3257">
                  <c:v>141.4819308601792</c:v>
                </c:pt>
                <c:pt idx="3258">
                  <c:v>141.5072348707404</c:v>
                </c:pt>
                <c:pt idx="3259">
                  <c:v>141.53254340691805</c:v>
                </c:pt>
                <c:pt idx="3260">
                  <c:v>141.55785646952151</c:v>
                </c:pt>
                <c:pt idx="3261">
                  <c:v>141.58317405936037</c:v>
                </c:pt>
                <c:pt idx="3262">
                  <c:v>141.60849617724418</c:v>
                </c:pt>
                <c:pt idx="3263">
                  <c:v>141.63382282398302</c:v>
                </c:pt>
                <c:pt idx="3264">
                  <c:v>141.65915400038676</c:v>
                </c:pt>
                <c:pt idx="3265">
                  <c:v>141.68448970726556</c:v>
                </c:pt>
                <c:pt idx="3266">
                  <c:v>141.70982994542965</c:v>
                </c:pt>
                <c:pt idx="3267">
                  <c:v>141.73517471568948</c:v>
                </c:pt>
                <c:pt idx="3268">
                  <c:v>141.76052401885559</c:v>
                </c:pt>
                <c:pt idx="3269">
                  <c:v>141.78587785573868</c:v>
                </c:pt>
                <c:pt idx="3270">
                  <c:v>141.81123622714964</c:v>
                </c:pt>
                <c:pt idx="3271">
                  <c:v>141.83659913389931</c:v>
                </c:pt>
                <c:pt idx="3272">
                  <c:v>141.86196657679915</c:v>
                </c:pt>
                <c:pt idx="3273">
                  <c:v>141.88733855666024</c:v>
                </c:pt>
                <c:pt idx="3274">
                  <c:v>141.91271507429406</c:v>
                </c:pt>
                <c:pt idx="3275">
                  <c:v>141.93809613051218</c:v>
                </c:pt>
                <c:pt idx="3276">
                  <c:v>141.9634817261263</c:v>
                </c:pt>
                <c:pt idx="3277">
                  <c:v>141.98887186194833</c:v>
                </c:pt>
                <c:pt idx="3278">
                  <c:v>142.01426653879031</c:v>
                </c:pt>
                <c:pt idx="3279">
                  <c:v>142.03966575746432</c:v>
                </c:pt>
                <c:pt idx="3280">
                  <c:v>142.06506951878259</c:v>
                </c:pt>
                <c:pt idx="3281">
                  <c:v>142.09047782355779</c:v>
                </c:pt>
                <c:pt idx="3282">
                  <c:v>142.11589067260243</c:v>
                </c:pt>
                <c:pt idx="3283">
                  <c:v>142.14130806672927</c:v>
                </c:pt>
                <c:pt idx="3284">
                  <c:v>142.16673000675112</c:v>
                </c:pt>
                <c:pt idx="3285">
                  <c:v>142.19215649348106</c:v>
                </c:pt>
                <c:pt idx="3286">
                  <c:v>142.21758752773229</c:v>
                </c:pt>
                <c:pt idx="3287">
                  <c:v>142.24302311031806</c:v>
                </c:pt>
                <c:pt idx="3288">
                  <c:v>142.26846324205192</c:v>
                </c:pt>
                <c:pt idx="3289">
                  <c:v>142.29390792374744</c:v>
                </c:pt>
                <c:pt idx="3290">
                  <c:v>142.31935715621825</c:v>
                </c:pt>
                <c:pt idx="3291">
                  <c:v>142.34481094027853</c:v>
                </c:pt>
                <c:pt idx="3292">
                  <c:v>142.37026927674219</c:v>
                </c:pt>
                <c:pt idx="3293">
                  <c:v>142.39573216642344</c:v>
                </c:pt>
                <c:pt idx="3294">
                  <c:v>142.42119961013657</c:v>
                </c:pt>
                <c:pt idx="3295">
                  <c:v>142.44667160869616</c:v>
                </c:pt>
                <c:pt idx="3296">
                  <c:v>142.47214816291674</c:v>
                </c:pt>
                <c:pt idx="3297">
                  <c:v>142.49762927361317</c:v>
                </c:pt>
                <c:pt idx="3298">
                  <c:v>142.52311494160037</c:v>
                </c:pt>
                <c:pt idx="3299">
                  <c:v>142.54860516769321</c:v>
                </c:pt>
                <c:pt idx="3300">
                  <c:v>142.57409995270723</c:v>
                </c:pt>
                <c:pt idx="3301">
                  <c:v>142.59959929745764</c:v>
                </c:pt>
                <c:pt idx="3302">
                  <c:v>142.62510320275999</c:v>
                </c:pt>
                <c:pt idx="3303">
                  <c:v>142.65061166942988</c:v>
                </c:pt>
                <c:pt idx="3304">
                  <c:v>142.67612469828308</c:v>
                </c:pt>
                <c:pt idx="3305">
                  <c:v>142.70164229013562</c:v>
                </c:pt>
                <c:pt idx="3306">
                  <c:v>142.72716444580354</c:v>
                </c:pt>
                <c:pt idx="3307">
                  <c:v>142.75269116610309</c:v>
                </c:pt>
                <c:pt idx="3308">
                  <c:v>142.77822245185052</c:v>
                </c:pt>
                <c:pt idx="3309">
                  <c:v>142.80375830386265</c:v>
                </c:pt>
                <c:pt idx="3310">
                  <c:v>142.82929872295597</c:v>
                </c:pt>
                <c:pt idx="3311">
                  <c:v>142.85484370994732</c:v>
                </c:pt>
                <c:pt idx="3312">
                  <c:v>142.88039326565368</c:v>
                </c:pt>
                <c:pt idx="3313">
                  <c:v>142.90594739089218</c:v>
                </c:pt>
                <c:pt idx="3314">
                  <c:v>142.93150608648003</c:v>
                </c:pt>
                <c:pt idx="3315">
                  <c:v>142.95706935323471</c:v>
                </c:pt>
                <c:pt idx="3316">
                  <c:v>142.98263719197368</c:v>
                </c:pt>
                <c:pt idx="3317">
                  <c:v>143.00820960351459</c:v>
                </c:pt>
                <c:pt idx="3318">
                  <c:v>143.0337865886755</c:v>
                </c:pt>
                <c:pt idx="3319">
                  <c:v>143.05936814827425</c:v>
                </c:pt>
                <c:pt idx="3320">
                  <c:v>143.08495428312906</c:v>
                </c:pt>
                <c:pt idx="3321">
                  <c:v>143.11054499405813</c:v>
                </c:pt>
                <c:pt idx="3322">
                  <c:v>143.13614028187993</c:v>
                </c:pt>
                <c:pt idx="3323">
                  <c:v>143.16174014741301</c:v>
                </c:pt>
                <c:pt idx="3324">
                  <c:v>143.18734459147615</c:v>
                </c:pt>
                <c:pt idx="3325">
                  <c:v>143.21295361488816</c:v>
                </c:pt>
                <c:pt idx="3326">
                  <c:v>143.23856721846795</c:v>
                </c:pt>
                <c:pt idx="3327">
                  <c:v>143.2641854030349</c:v>
                </c:pt>
                <c:pt idx="3328">
                  <c:v>143.28980816940827</c:v>
                </c:pt>
                <c:pt idx="3329">
                  <c:v>143.31543551840747</c:v>
                </c:pt>
                <c:pt idx="3330">
                  <c:v>143.34106745085208</c:v>
                </c:pt>
                <c:pt idx="3331">
                  <c:v>143.36670396756188</c:v>
                </c:pt>
                <c:pt idx="3332">
                  <c:v>143.39234506935676</c:v>
                </c:pt>
                <c:pt idx="3333">
                  <c:v>143.41799075705674</c:v>
                </c:pt>
                <c:pt idx="3334">
                  <c:v>143.44364103148203</c:v>
                </c:pt>
                <c:pt idx="3335">
                  <c:v>143.46929589345285</c:v>
                </c:pt>
                <c:pt idx="3336">
                  <c:v>143.49495534378991</c:v>
                </c:pt>
                <c:pt idx="3337">
                  <c:v>143.52061938331371</c:v>
                </c:pt>
                <c:pt idx="3338">
                  <c:v>143.54628801284503</c:v>
                </c:pt>
                <c:pt idx="3339">
                  <c:v>143.5719612332048</c:v>
                </c:pt>
                <c:pt idx="3340">
                  <c:v>143.59763904521409</c:v>
                </c:pt>
                <c:pt idx="3341">
                  <c:v>143.62332144969412</c:v>
                </c:pt>
                <c:pt idx="3342">
                  <c:v>143.64900844746623</c:v>
                </c:pt>
                <c:pt idx="3343">
                  <c:v>143.67470003935193</c:v>
                </c:pt>
                <c:pt idx="3344">
                  <c:v>143.70039622617276</c:v>
                </c:pt>
                <c:pt idx="3345">
                  <c:v>143.7260970087508</c:v>
                </c:pt>
                <c:pt idx="3346">
                  <c:v>143.75180238790784</c:v>
                </c:pt>
                <c:pt idx="3347">
                  <c:v>143.77751236446599</c:v>
                </c:pt>
                <c:pt idx="3348">
                  <c:v>143.80322693924751</c:v>
                </c:pt>
                <c:pt idx="3349">
                  <c:v>143.82894611307472</c:v>
                </c:pt>
                <c:pt idx="3350">
                  <c:v>143.85466988677027</c:v>
                </c:pt>
                <c:pt idx="3351">
                  <c:v>143.88039826115676</c:v>
                </c:pt>
                <c:pt idx="3352">
                  <c:v>143.90613123705705</c:v>
                </c:pt>
                <c:pt idx="3353">
                  <c:v>143.931868815294</c:v>
                </c:pt>
                <c:pt idx="3354">
                  <c:v>143.95761099669096</c:v>
                </c:pt>
                <c:pt idx="3355">
                  <c:v>143.9833577820711</c:v>
                </c:pt>
                <c:pt idx="3356">
                  <c:v>144.00910917225787</c:v>
                </c:pt>
                <c:pt idx="3357">
                  <c:v>144.03486516807479</c:v>
                </c:pt>
                <c:pt idx="3358">
                  <c:v>144.06062577034561</c:v>
                </c:pt>
                <c:pt idx="3359">
                  <c:v>144.08639097989416</c:v>
                </c:pt>
                <c:pt idx="3360">
                  <c:v>144.1121607975445</c:v>
                </c:pt>
                <c:pt idx="3361">
                  <c:v>144.13793522412072</c:v>
                </c:pt>
                <c:pt idx="3362">
                  <c:v>144.16371426044705</c:v>
                </c:pt>
                <c:pt idx="3363">
                  <c:v>144.1894979073482</c:v>
                </c:pt>
                <c:pt idx="3364">
                  <c:v>144.21528616564859</c:v>
                </c:pt>
                <c:pt idx="3365">
                  <c:v>144.24107903617303</c:v>
                </c:pt>
                <c:pt idx="3366">
                  <c:v>144.2668765197464</c:v>
                </c:pt>
                <c:pt idx="3367">
                  <c:v>144.2926786171937</c:v>
                </c:pt>
                <c:pt idx="3368">
                  <c:v>144.31848532934018</c:v>
                </c:pt>
                <c:pt idx="3369">
                  <c:v>144.34429665701111</c:v>
                </c:pt>
                <c:pt idx="3370">
                  <c:v>144.37011260103205</c:v>
                </c:pt>
                <c:pt idx="3371">
                  <c:v>144.39593316222846</c:v>
                </c:pt>
                <c:pt idx="3372">
                  <c:v>144.4217583414264</c:v>
                </c:pt>
                <c:pt idx="3373">
                  <c:v>144.44758813945165</c:v>
                </c:pt>
                <c:pt idx="3374">
                  <c:v>144.47342255713028</c:v>
                </c:pt>
                <c:pt idx="3375">
                  <c:v>144.49926159528854</c:v>
                </c:pt>
                <c:pt idx="3376">
                  <c:v>144.52510525475276</c:v>
                </c:pt>
                <c:pt idx="3377">
                  <c:v>144.55095353634954</c:v>
                </c:pt>
                <c:pt idx="3378">
                  <c:v>144.57680644090544</c:v>
                </c:pt>
                <c:pt idx="3379">
                  <c:v>144.6026639692474</c:v>
                </c:pt>
                <c:pt idx="3380">
                  <c:v>144.62852612220215</c:v>
                </c:pt>
                <c:pt idx="3381">
                  <c:v>144.65439290059706</c:v>
                </c:pt>
                <c:pt idx="3382">
                  <c:v>144.68026430525933</c:v>
                </c:pt>
                <c:pt idx="3383">
                  <c:v>144.70614033701634</c:v>
                </c:pt>
                <c:pt idx="3384">
                  <c:v>144.73202099669561</c:v>
                </c:pt>
                <c:pt idx="3385">
                  <c:v>144.75790628512488</c:v>
                </c:pt>
                <c:pt idx="3386">
                  <c:v>144.783796203132</c:v>
                </c:pt>
                <c:pt idx="3387">
                  <c:v>144.80969075154493</c:v>
                </c:pt>
                <c:pt idx="3388">
                  <c:v>144.83558993119186</c:v>
                </c:pt>
                <c:pt idx="3389">
                  <c:v>144.86149374290096</c:v>
                </c:pt>
                <c:pt idx="3390">
                  <c:v>144.8874021875009</c:v>
                </c:pt>
                <c:pt idx="3391">
                  <c:v>144.91331526582013</c:v>
                </c:pt>
                <c:pt idx="3392">
                  <c:v>144.93923297868744</c:v>
                </c:pt>
                <c:pt idx="3393">
                  <c:v>144.96515532693172</c:v>
                </c:pt>
                <c:pt idx="3394">
                  <c:v>144.99108231138194</c:v>
                </c:pt>
                <c:pt idx="3395">
                  <c:v>145.01701393286731</c:v>
                </c:pt>
                <c:pt idx="3396">
                  <c:v>145.04295019221721</c:v>
                </c:pt>
                <c:pt idx="3397">
                  <c:v>145.06889109026108</c:v>
                </c:pt>
                <c:pt idx="3398">
                  <c:v>145.09483662782841</c:v>
                </c:pt>
                <c:pt idx="3399">
                  <c:v>145.12078680574928</c:v>
                </c:pt>
                <c:pt idx="3400">
                  <c:v>145.14674162485343</c:v>
                </c:pt>
                <c:pt idx="3401">
                  <c:v>145.17270108597097</c:v>
                </c:pt>
                <c:pt idx="3402">
                  <c:v>145.19866518993226</c:v>
                </c:pt>
                <c:pt idx="3403">
                  <c:v>145.2246339375674</c:v>
                </c:pt>
                <c:pt idx="3404">
                  <c:v>145.25060732970704</c:v>
                </c:pt>
                <c:pt idx="3405">
                  <c:v>145.27658536718187</c:v>
                </c:pt>
                <c:pt idx="3406">
                  <c:v>145.30256805082263</c:v>
                </c:pt>
                <c:pt idx="3407">
                  <c:v>145.32855538146038</c:v>
                </c:pt>
                <c:pt idx="3408">
                  <c:v>145.35454735992604</c:v>
                </c:pt>
                <c:pt idx="3409">
                  <c:v>145.38054398705117</c:v>
                </c:pt>
                <c:pt idx="3410">
                  <c:v>145.40654526366706</c:v>
                </c:pt>
                <c:pt idx="3411">
                  <c:v>145.43255119060521</c:v>
                </c:pt>
                <c:pt idx="3412">
                  <c:v>145.45856176869739</c:v>
                </c:pt>
                <c:pt idx="3413">
                  <c:v>145.48457699877542</c:v>
                </c:pt>
                <c:pt idx="3414">
                  <c:v>145.51059688167135</c:v>
                </c:pt>
                <c:pt idx="3415">
                  <c:v>145.53662141821729</c:v>
                </c:pt>
                <c:pt idx="3416">
                  <c:v>145.56265060924557</c:v>
                </c:pt>
                <c:pt idx="3417">
                  <c:v>145.58868445558852</c:v>
                </c:pt>
                <c:pt idx="3418">
                  <c:v>145.61472295807897</c:v>
                </c:pt>
                <c:pt idx="3419">
                  <c:v>145.64076611754956</c:v>
                </c:pt>
                <c:pt idx="3420">
                  <c:v>145.66681393483321</c:v>
                </c:pt>
                <c:pt idx="3421">
                  <c:v>145.69286641076292</c:v>
                </c:pt>
                <c:pt idx="3422">
                  <c:v>145.71892354617194</c:v>
                </c:pt>
                <c:pt idx="3423">
                  <c:v>145.74498534189357</c:v>
                </c:pt>
                <c:pt idx="3424">
                  <c:v>145.77105179876133</c:v>
                </c:pt>
                <c:pt idx="3425">
                  <c:v>145.79712291760887</c:v>
                </c:pt>
                <c:pt idx="3426">
                  <c:v>145.82319869926982</c:v>
                </c:pt>
                <c:pt idx="3427">
                  <c:v>145.84927914457845</c:v>
                </c:pt>
                <c:pt idx="3428">
                  <c:v>145.87536425436866</c:v>
                </c:pt>
                <c:pt idx="3429">
                  <c:v>145.90145402947471</c:v>
                </c:pt>
                <c:pt idx="3430">
                  <c:v>145.92754847073101</c:v>
                </c:pt>
                <c:pt idx="3431">
                  <c:v>145.95364757897207</c:v>
                </c:pt>
                <c:pt idx="3432">
                  <c:v>145.97975135503262</c:v>
                </c:pt>
                <c:pt idx="3433">
                  <c:v>146.00585979974744</c:v>
                </c:pt>
                <c:pt idx="3434">
                  <c:v>146.03197291395156</c:v>
                </c:pt>
                <c:pt idx="3435">
                  <c:v>146.05809069847999</c:v>
                </c:pt>
                <c:pt idx="3436">
                  <c:v>146.08421315416825</c:v>
                </c:pt>
                <c:pt idx="3437">
                  <c:v>146.11034028185165</c:v>
                </c:pt>
                <c:pt idx="3438">
                  <c:v>146.1364720823658</c:v>
                </c:pt>
                <c:pt idx="3439">
                  <c:v>146.16260855654642</c:v>
                </c:pt>
                <c:pt idx="3440">
                  <c:v>146.18874970522936</c:v>
                </c:pt>
                <c:pt idx="3441">
                  <c:v>146.21489552925073</c:v>
                </c:pt>
                <c:pt idx="3442">
                  <c:v>146.24104602944664</c:v>
                </c:pt>
                <c:pt idx="3443">
                  <c:v>146.26720120665348</c:v>
                </c:pt>
                <c:pt idx="3444">
                  <c:v>146.29336106170754</c:v>
                </c:pt>
                <c:pt idx="3445">
                  <c:v>146.31952559544578</c:v>
                </c:pt>
                <c:pt idx="3446">
                  <c:v>146.34569480870479</c:v>
                </c:pt>
                <c:pt idx="3447">
                  <c:v>146.37186870232154</c:v>
                </c:pt>
                <c:pt idx="3448">
                  <c:v>146.39804727713312</c:v>
                </c:pt>
                <c:pt idx="3449">
                  <c:v>146.42423053397673</c:v>
                </c:pt>
                <c:pt idx="3450">
                  <c:v>146.45041847368975</c:v>
                </c:pt>
                <c:pt idx="3451">
                  <c:v>146.47661109710972</c:v>
                </c:pt>
                <c:pt idx="3452">
                  <c:v>146.50280840507432</c:v>
                </c:pt>
                <c:pt idx="3453">
                  <c:v>146.52901039842129</c:v>
                </c:pt>
                <c:pt idx="3454">
                  <c:v>146.55521707798877</c:v>
                </c:pt>
                <c:pt idx="3455">
                  <c:v>146.58142844461486</c:v>
                </c:pt>
                <c:pt idx="3456">
                  <c:v>146.60764449913779</c:v>
                </c:pt>
                <c:pt idx="3457">
                  <c:v>146.63386524239598</c:v>
                </c:pt>
                <c:pt idx="3458">
                  <c:v>146.66009067522808</c:v>
                </c:pt>
                <c:pt idx="3459">
                  <c:v>146.68632079847274</c:v>
                </c:pt>
                <c:pt idx="3460">
                  <c:v>146.71255561296886</c:v>
                </c:pt>
                <c:pt idx="3461">
                  <c:v>146.73879511955545</c:v>
                </c:pt>
                <c:pt idx="3462">
                  <c:v>146.76503931907163</c:v>
                </c:pt>
                <c:pt idx="3463">
                  <c:v>146.7912882123569</c:v>
                </c:pt>
                <c:pt idx="3464">
                  <c:v>146.81754180025069</c:v>
                </c:pt>
                <c:pt idx="3465">
                  <c:v>146.84380008359258</c:v>
                </c:pt>
                <c:pt idx="3466">
                  <c:v>146.87006306322237</c:v>
                </c:pt>
                <c:pt idx="3467">
                  <c:v>146.89633073997999</c:v>
                </c:pt>
                <c:pt idx="3468">
                  <c:v>146.92260311470548</c:v>
                </c:pt>
                <c:pt idx="3469">
                  <c:v>146.94888018823914</c:v>
                </c:pt>
                <c:pt idx="3470">
                  <c:v>146.97516196142129</c:v>
                </c:pt>
                <c:pt idx="3471">
                  <c:v>147.00144843509239</c:v>
                </c:pt>
                <c:pt idx="3472">
                  <c:v>147.02773961009331</c:v>
                </c:pt>
                <c:pt idx="3473">
                  <c:v>147.0540354872648</c:v>
                </c:pt>
                <c:pt idx="3474">
                  <c:v>147.08033606744783</c:v>
                </c:pt>
                <c:pt idx="3475">
                  <c:v>147.10664135148355</c:v>
                </c:pt>
                <c:pt idx="3476">
                  <c:v>147.1329513402132</c:v>
                </c:pt>
                <c:pt idx="3477">
                  <c:v>147.15926603447824</c:v>
                </c:pt>
                <c:pt idx="3478">
                  <c:v>147.18558543512029</c:v>
                </c:pt>
                <c:pt idx="3479">
                  <c:v>147.211909542981</c:v>
                </c:pt>
                <c:pt idx="3480">
                  <c:v>147.23823835890218</c:v>
                </c:pt>
                <c:pt idx="3481">
                  <c:v>147.26457188372615</c:v>
                </c:pt>
                <c:pt idx="3482">
                  <c:v>147.29091011829493</c:v>
                </c:pt>
                <c:pt idx="3483">
                  <c:v>147.31725306345086</c:v>
                </c:pt>
                <c:pt idx="3484">
                  <c:v>147.34360072003642</c:v>
                </c:pt>
                <c:pt idx="3485">
                  <c:v>147.36995308889425</c:v>
                </c:pt>
                <c:pt idx="3486">
                  <c:v>147.39631017086714</c:v>
                </c:pt>
                <c:pt idx="3487">
                  <c:v>147.42267196679808</c:v>
                </c:pt>
                <c:pt idx="3488">
                  <c:v>147.44903847753005</c:v>
                </c:pt>
                <c:pt idx="3489">
                  <c:v>147.47540970390628</c:v>
                </c:pt>
                <c:pt idx="3490">
                  <c:v>147.50178564677034</c:v>
                </c:pt>
                <c:pt idx="3491">
                  <c:v>147.52816630696569</c:v>
                </c:pt>
                <c:pt idx="3492">
                  <c:v>147.55455168533601</c:v>
                </c:pt>
                <c:pt idx="3493">
                  <c:v>147.58094178272512</c:v>
                </c:pt>
                <c:pt idx="3494">
                  <c:v>147.60733659997706</c:v>
                </c:pt>
                <c:pt idx="3495">
                  <c:v>147.63373613793593</c:v>
                </c:pt>
                <c:pt idx="3496">
                  <c:v>147.66014039744604</c:v>
                </c:pt>
                <c:pt idx="3497">
                  <c:v>147.68654937935185</c:v>
                </c:pt>
                <c:pt idx="3498">
                  <c:v>147.71296308449797</c:v>
                </c:pt>
                <c:pt idx="3499">
                  <c:v>147.739381513729</c:v>
                </c:pt>
                <c:pt idx="3500">
                  <c:v>147.76580466789011</c:v>
                </c:pt>
                <c:pt idx="3501">
                  <c:v>147.79223254782625</c:v>
                </c:pt>
                <c:pt idx="3502">
                  <c:v>147.81866515438256</c:v>
                </c:pt>
                <c:pt idx="3503">
                  <c:v>147.84510248840442</c:v>
                </c:pt>
                <c:pt idx="3504">
                  <c:v>147.87154455073735</c:v>
                </c:pt>
                <c:pt idx="3505">
                  <c:v>147.89799134222702</c:v>
                </c:pt>
                <c:pt idx="3506">
                  <c:v>147.92444286371921</c:v>
                </c:pt>
                <c:pt idx="3507">
                  <c:v>147.95089911605993</c:v>
                </c:pt>
                <c:pt idx="3508">
                  <c:v>147.97736010009507</c:v>
                </c:pt>
                <c:pt idx="3509">
                  <c:v>148.00382581667122</c:v>
                </c:pt>
                <c:pt idx="3510">
                  <c:v>148.03029626663465</c:v>
                </c:pt>
                <c:pt idx="3511">
                  <c:v>148.05677145083195</c:v>
                </c:pt>
                <c:pt idx="3512">
                  <c:v>148.08325137010979</c:v>
                </c:pt>
                <c:pt idx="3513">
                  <c:v>148.10973602531504</c:v>
                </c:pt>
                <c:pt idx="3514">
                  <c:v>148.13622541729478</c:v>
                </c:pt>
                <c:pt idx="3515">
                  <c:v>148.16271954689611</c:v>
                </c:pt>
                <c:pt idx="3516">
                  <c:v>148.1892184149664</c:v>
                </c:pt>
                <c:pt idx="3517">
                  <c:v>148.21572202235296</c:v>
                </c:pt>
                <c:pt idx="3518">
                  <c:v>148.24223036990369</c:v>
                </c:pt>
                <c:pt idx="3519">
                  <c:v>148.26874345846625</c:v>
                </c:pt>
                <c:pt idx="3520">
                  <c:v>148.29526128888855</c:v>
                </c:pt>
                <c:pt idx="3521">
                  <c:v>148.32178386201869</c:v>
                </c:pt>
                <c:pt idx="3522">
                  <c:v>148.34831117870488</c:v>
                </c:pt>
                <c:pt idx="3523">
                  <c:v>148.37484323979552</c:v>
                </c:pt>
                <c:pt idx="3524">
                  <c:v>148.40138004613914</c:v>
                </c:pt>
                <c:pt idx="3525">
                  <c:v>148.42792159858442</c:v>
                </c:pt>
                <c:pt idx="3526">
                  <c:v>148.45446789798009</c:v>
                </c:pt>
                <c:pt idx="3527">
                  <c:v>148.48101894517538</c:v>
                </c:pt>
                <c:pt idx="3528">
                  <c:v>148.50757474101931</c:v>
                </c:pt>
                <c:pt idx="3529">
                  <c:v>148.53413528636116</c:v>
                </c:pt>
                <c:pt idx="3530">
                  <c:v>148.56070058205043</c:v>
                </c:pt>
                <c:pt idx="3531">
                  <c:v>148.58727062893664</c:v>
                </c:pt>
                <c:pt idx="3532">
                  <c:v>148.61384542786962</c:v>
                </c:pt>
                <c:pt idx="3533">
                  <c:v>148.64042497969919</c:v>
                </c:pt>
                <c:pt idx="3534">
                  <c:v>148.6670092852755</c:v>
                </c:pt>
                <c:pt idx="3535">
                  <c:v>148.69359834544852</c:v>
                </c:pt>
                <c:pt idx="3536">
                  <c:v>148.72019216106895</c:v>
                </c:pt>
                <c:pt idx="3537">
                  <c:v>148.74679073298714</c:v>
                </c:pt>
                <c:pt idx="3538">
                  <c:v>148.77339406205374</c:v>
                </c:pt>
                <c:pt idx="3539">
                  <c:v>148.80000214911962</c:v>
                </c:pt>
                <c:pt idx="3540">
                  <c:v>148.8266149950357</c:v>
                </c:pt>
                <c:pt idx="3541">
                  <c:v>148.85323260065309</c:v>
                </c:pt>
                <c:pt idx="3542">
                  <c:v>148.87985496682307</c:v>
                </c:pt>
                <c:pt idx="3543">
                  <c:v>148.90648209439709</c:v>
                </c:pt>
                <c:pt idx="3544">
                  <c:v>148.93311398422657</c:v>
                </c:pt>
                <c:pt idx="3545">
                  <c:v>148.95975063716352</c:v>
                </c:pt>
                <c:pt idx="3546">
                  <c:v>148.98639205405965</c:v>
                </c:pt>
                <c:pt idx="3547">
                  <c:v>149.01303823576706</c:v>
                </c:pt>
                <c:pt idx="3548">
                  <c:v>149.03968918313785</c:v>
                </c:pt>
                <c:pt idx="3549">
                  <c:v>149.06634489702444</c:v>
                </c:pt>
                <c:pt idx="3550">
                  <c:v>149.09300537827929</c:v>
                </c:pt>
                <c:pt idx="3551">
                  <c:v>149.119670627755</c:v>
                </c:pt>
                <c:pt idx="3552">
                  <c:v>149.14634064630442</c:v>
                </c:pt>
                <c:pt idx="3553">
                  <c:v>149.17301543478035</c:v>
                </c:pt>
                <c:pt idx="3554">
                  <c:v>149.19969499403615</c:v>
                </c:pt>
                <c:pt idx="3555">
                  <c:v>149.22637932492495</c:v>
                </c:pt>
                <c:pt idx="3556">
                  <c:v>149.25306842830014</c:v>
                </c:pt>
                <c:pt idx="3557">
                  <c:v>149.27976230501528</c:v>
                </c:pt>
                <c:pt idx="3558">
                  <c:v>149.30646095592411</c:v>
                </c:pt>
                <c:pt idx="3559">
                  <c:v>149.33316438188047</c:v>
                </c:pt>
                <c:pt idx="3560">
                  <c:v>149.35987258373837</c:v>
                </c:pt>
                <c:pt idx="3561">
                  <c:v>149.38658556235197</c:v>
                </c:pt>
                <c:pt idx="3562">
                  <c:v>149.4133033185756</c:v>
                </c:pt>
                <c:pt idx="3563">
                  <c:v>149.44002585326373</c:v>
                </c:pt>
                <c:pt idx="3564">
                  <c:v>149.46675316727107</c:v>
                </c:pt>
                <c:pt idx="3565">
                  <c:v>149.49348526145226</c:v>
                </c:pt>
                <c:pt idx="3566">
                  <c:v>149.52022213666234</c:v>
                </c:pt>
                <c:pt idx="3567">
                  <c:v>149.54696379375633</c:v>
                </c:pt>
                <c:pt idx="3568">
                  <c:v>149.57371023358951</c:v>
                </c:pt>
                <c:pt idx="3569">
                  <c:v>149.60046145701727</c:v>
                </c:pt>
                <c:pt idx="3570">
                  <c:v>149.62721746489515</c:v>
                </c:pt>
                <c:pt idx="3571">
                  <c:v>149.65397825807869</c:v>
                </c:pt>
                <c:pt idx="3572">
                  <c:v>149.68074383742402</c:v>
                </c:pt>
                <c:pt idx="3573">
                  <c:v>149.70751420378701</c:v>
                </c:pt>
                <c:pt idx="3574">
                  <c:v>149.73428935802383</c:v>
                </c:pt>
                <c:pt idx="3575">
                  <c:v>149.76106930099078</c:v>
                </c:pt>
                <c:pt idx="3576">
                  <c:v>149.78785403354436</c:v>
                </c:pt>
                <c:pt idx="3577">
                  <c:v>149.81464355654111</c:v>
                </c:pt>
                <c:pt idx="3578">
                  <c:v>149.84143787083786</c:v>
                </c:pt>
                <c:pt idx="3579">
                  <c:v>149.86823697729153</c:v>
                </c:pt>
                <c:pt idx="3580">
                  <c:v>149.89504087675917</c:v>
                </c:pt>
                <c:pt idx="3581">
                  <c:v>149.92184957009789</c:v>
                </c:pt>
                <c:pt idx="3582">
                  <c:v>149.94866305816532</c:v>
                </c:pt>
                <c:pt idx="3583">
                  <c:v>149.97548134181889</c:v>
                </c:pt>
                <c:pt idx="3584">
                  <c:v>150.00230442191628</c:v>
                </c:pt>
                <c:pt idx="3585">
                  <c:v>150.02913229931534</c:v>
                </c:pt>
                <c:pt idx="3586">
                  <c:v>150.05596497487406</c:v>
                </c:pt>
                <c:pt idx="3587">
                  <c:v>150.08280244945058</c:v>
                </c:pt>
                <c:pt idx="3588">
                  <c:v>150.10964472390322</c:v>
                </c:pt>
                <c:pt idx="3589">
                  <c:v>150.13649179909041</c:v>
                </c:pt>
                <c:pt idx="3590">
                  <c:v>150.16334367587064</c:v>
                </c:pt>
                <c:pt idx="3591">
                  <c:v>150.19020035510297</c:v>
                </c:pt>
                <c:pt idx="3592">
                  <c:v>150.21706183764616</c:v>
                </c:pt>
                <c:pt idx="3593">
                  <c:v>150.24392812435926</c:v>
                </c:pt>
                <c:pt idx="3594">
                  <c:v>150.27079921610152</c:v>
                </c:pt>
                <c:pt idx="3595">
                  <c:v>150.29767511373231</c:v>
                </c:pt>
                <c:pt idx="3596">
                  <c:v>150.32455581811118</c:v>
                </c:pt>
                <c:pt idx="3597">
                  <c:v>150.3514413300978</c:v>
                </c:pt>
                <c:pt idx="3598">
                  <c:v>150.37833165055198</c:v>
                </c:pt>
                <c:pt idx="3599">
                  <c:v>150.40522678033363</c:v>
                </c:pt>
                <c:pt idx="3600">
                  <c:v>150.43212672030316</c:v>
                </c:pt>
                <c:pt idx="3601">
                  <c:v>150.45903147132074</c:v>
                </c:pt>
                <c:pt idx="3602">
                  <c:v>150.48594103424676</c:v>
                </c:pt>
                <c:pt idx="3603">
                  <c:v>150.51285540994192</c:v>
                </c:pt>
                <c:pt idx="3604">
                  <c:v>150.53977459926691</c:v>
                </c:pt>
                <c:pt idx="3605">
                  <c:v>150.56669860308267</c:v>
                </c:pt>
                <c:pt idx="3606">
                  <c:v>150.59362742225031</c:v>
                </c:pt>
                <c:pt idx="3607">
                  <c:v>150.62056105763097</c:v>
                </c:pt>
                <c:pt idx="3608">
                  <c:v>150.64749951008599</c:v>
                </c:pt>
                <c:pt idx="3609">
                  <c:v>150.67444278047711</c:v>
                </c:pt>
                <c:pt idx="3610">
                  <c:v>150.70139086966589</c:v>
                </c:pt>
                <c:pt idx="3611">
                  <c:v>150.72834377851416</c:v>
                </c:pt>
                <c:pt idx="3612">
                  <c:v>150.75530150788398</c:v>
                </c:pt>
                <c:pt idx="3613">
                  <c:v>150.78226405863742</c:v>
                </c:pt>
                <c:pt idx="3614">
                  <c:v>150.80923143163682</c:v>
                </c:pt>
                <c:pt idx="3615">
                  <c:v>150.83620362774468</c:v>
                </c:pt>
                <c:pt idx="3616">
                  <c:v>150.8631806478235</c:v>
                </c:pt>
                <c:pt idx="3617">
                  <c:v>150.89016249273601</c:v>
                </c:pt>
                <c:pt idx="3618">
                  <c:v>150.91714916334539</c:v>
                </c:pt>
                <c:pt idx="3619">
                  <c:v>150.94414066051451</c:v>
                </c:pt>
                <c:pt idx="3620">
                  <c:v>150.97113698510668</c:v>
                </c:pt>
                <c:pt idx="3621">
                  <c:v>150.99813813798522</c:v>
                </c:pt>
                <c:pt idx="3622">
                  <c:v>151.02514412001372</c:v>
                </c:pt>
                <c:pt idx="3623">
                  <c:v>151.05215493205583</c:v>
                </c:pt>
                <c:pt idx="3624">
                  <c:v>151.07917057497545</c:v>
                </c:pt>
                <c:pt idx="3625">
                  <c:v>151.10619104963652</c:v>
                </c:pt>
                <c:pt idx="3626">
                  <c:v>151.13321635690312</c:v>
                </c:pt>
                <c:pt idx="3627">
                  <c:v>151.16024649763978</c:v>
                </c:pt>
                <c:pt idx="3628">
                  <c:v>151.18728147271085</c:v>
                </c:pt>
                <c:pt idx="3629">
                  <c:v>151.21432128298093</c:v>
                </c:pt>
                <c:pt idx="3630">
                  <c:v>151.24136592931484</c:v>
                </c:pt>
                <c:pt idx="3631">
                  <c:v>151.26841541257747</c:v>
                </c:pt>
                <c:pt idx="3632">
                  <c:v>151.29546973363392</c:v>
                </c:pt>
                <c:pt idx="3633">
                  <c:v>151.32252889334941</c:v>
                </c:pt>
                <c:pt idx="3634">
                  <c:v>151.34959289258936</c:v>
                </c:pt>
                <c:pt idx="3635">
                  <c:v>151.37666173221916</c:v>
                </c:pt>
                <c:pt idx="3636">
                  <c:v>151.40373541310481</c:v>
                </c:pt>
                <c:pt idx="3637">
                  <c:v>151.430813936112</c:v>
                </c:pt>
                <c:pt idx="3638">
                  <c:v>151.45789730210677</c:v>
                </c:pt>
                <c:pt idx="3639">
                  <c:v>151.48498551195527</c:v>
                </c:pt>
                <c:pt idx="3640">
                  <c:v>151.51207856652383</c:v>
                </c:pt>
                <c:pt idx="3641">
                  <c:v>151.53917646667892</c:v>
                </c:pt>
                <c:pt idx="3642">
                  <c:v>151.56627921328717</c:v>
                </c:pt>
                <c:pt idx="3643">
                  <c:v>151.59338680721538</c:v>
                </c:pt>
                <c:pt idx="3644">
                  <c:v>151.62049924933035</c:v>
                </c:pt>
                <c:pt idx="3645">
                  <c:v>151.64761654049943</c:v>
                </c:pt>
                <c:pt idx="3646">
                  <c:v>151.67473868158979</c:v>
                </c:pt>
                <c:pt idx="3647">
                  <c:v>151.70186567346877</c:v>
                </c:pt>
                <c:pt idx="3648">
                  <c:v>151.72899751700396</c:v>
                </c:pt>
                <c:pt idx="3649">
                  <c:v>151.75613421306309</c:v>
                </c:pt>
                <c:pt idx="3650">
                  <c:v>151.78327576251405</c:v>
                </c:pt>
                <c:pt idx="3651">
                  <c:v>151.81042216622481</c:v>
                </c:pt>
                <c:pt idx="3652">
                  <c:v>151.8375734250636</c:v>
                </c:pt>
                <c:pt idx="3653">
                  <c:v>151.8647295398986</c:v>
                </c:pt>
                <c:pt idx="3654">
                  <c:v>151.8918905115986</c:v>
                </c:pt>
                <c:pt idx="3655">
                  <c:v>151.91905634103207</c:v>
                </c:pt>
                <c:pt idx="3656">
                  <c:v>151.94622702906787</c:v>
                </c:pt>
                <c:pt idx="3657">
                  <c:v>151.9734025765749</c:v>
                </c:pt>
                <c:pt idx="3658">
                  <c:v>152.00058298442235</c:v>
                </c:pt>
                <c:pt idx="3659">
                  <c:v>152.02776825347942</c:v>
                </c:pt>
                <c:pt idx="3660">
                  <c:v>152.05495838461556</c:v>
                </c:pt>
                <c:pt idx="3661">
                  <c:v>152.08215337870035</c:v>
                </c:pt>
                <c:pt idx="3662">
                  <c:v>152.10935323660343</c:v>
                </c:pt>
                <c:pt idx="3663">
                  <c:v>152.13655795919487</c:v>
                </c:pt>
                <c:pt idx="3664">
                  <c:v>152.16376754734472</c:v>
                </c:pt>
                <c:pt idx="3665">
                  <c:v>152.19098200192306</c:v>
                </c:pt>
                <c:pt idx="3666">
                  <c:v>152.21820132380032</c:v>
                </c:pt>
                <c:pt idx="3667">
                  <c:v>152.24542551384695</c:v>
                </c:pt>
                <c:pt idx="3668">
                  <c:v>152.2726545729337</c:v>
                </c:pt>
                <c:pt idx="3669">
                  <c:v>152.29988850193135</c:v>
                </c:pt>
                <c:pt idx="3670">
                  <c:v>152.3271273017109</c:v>
                </c:pt>
                <c:pt idx="3671">
                  <c:v>152.35437097314335</c:v>
                </c:pt>
                <c:pt idx="3672">
                  <c:v>152.38161951710026</c:v>
                </c:pt>
                <c:pt idx="3673">
                  <c:v>152.40887293445294</c:v>
                </c:pt>
                <c:pt idx="3674">
                  <c:v>152.43613122607297</c:v>
                </c:pt>
                <c:pt idx="3675">
                  <c:v>152.46339439283219</c:v>
                </c:pt>
                <c:pt idx="3676">
                  <c:v>152.49066243560245</c:v>
                </c:pt>
                <c:pt idx="3677">
                  <c:v>152.51793535525584</c:v>
                </c:pt>
                <c:pt idx="3678">
                  <c:v>152.54521315266459</c:v>
                </c:pt>
                <c:pt idx="3679">
                  <c:v>152.57249582870108</c:v>
                </c:pt>
                <c:pt idx="3680">
                  <c:v>152.59978338423775</c:v>
                </c:pt>
                <c:pt idx="3681">
                  <c:v>152.62707582014752</c:v>
                </c:pt>
                <c:pt idx="3682">
                  <c:v>152.65437313730317</c:v>
                </c:pt>
                <c:pt idx="3683">
                  <c:v>152.68167533657763</c:v>
                </c:pt>
                <c:pt idx="3684">
                  <c:v>152.7089824188441</c:v>
                </c:pt>
                <c:pt idx="3685">
                  <c:v>152.73629438497593</c:v>
                </c:pt>
                <c:pt idx="3686">
                  <c:v>152.76361123584658</c:v>
                </c:pt>
                <c:pt idx="3687">
                  <c:v>152.79093297232967</c:v>
                </c:pt>
                <c:pt idx="3688">
                  <c:v>152.818259595299</c:v>
                </c:pt>
                <c:pt idx="3689">
                  <c:v>152.84559110562836</c:v>
                </c:pt>
                <c:pt idx="3690">
                  <c:v>152.87292750419218</c:v>
                </c:pt>
                <c:pt idx="3691">
                  <c:v>152.90026879186456</c:v>
                </c:pt>
                <c:pt idx="3692">
                  <c:v>152.92761496951988</c:v>
                </c:pt>
                <c:pt idx="3693">
                  <c:v>152.95496603803275</c:v>
                </c:pt>
                <c:pt idx="3694">
                  <c:v>152.98232199827788</c:v>
                </c:pt>
                <c:pt idx="3695">
                  <c:v>153.00968285113018</c:v>
                </c:pt>
                <c:pt idx="3696">
                  <c:v>153.03704859746466</c:v>
                </c:pt>
                <c:pt idx="3697">
                  <c:v>153.06441923815652</c:v>
                </c:pt>
                <c:pt idx="3698">
                  <c:v>153.091794774081</c:v>
                </c:pt>
                <c:pt idx="3699">
                  <c:v>153.11917520611388</c:v>
                </c:pt>
                <c:pt idx="3700">
                  <c:v>153.1465605351307</c:v>
                </c:pt>
                <c:pt idx="3701">
                  <c:v>153.17395076200725</c:v>
                </c:pt>
                <c:pt idx="3702">
                  <c:v>153.20134588761954</c:v>
                </c:pt>
                <c:pt idx="3703">
                  <c:v>153.22874591284372</c:v>
                </c:pt>
                <c:pt idx="3704">
                  <c:v>153.25615083855604</c:v>
                </c:pt>
                <c:pt idx="3705">
                  <c:v>153.28356066563299</c:v>
                </c:pt>
                <c:pt idx="3706">
                  <c:v>153.31097539495116</c:v>
                </c:pt>
                <c:pt idx="3707">
                  <c:v>153.33839502738718</c:v>
                </c:pt>
                <c:pt idx="3708">
                  <c:v>153.36581956381823</c:v>
                </c:pt>
                <c:pt idx="3709">
                  <c:v>153.39324900512128</c:v>
                </c:pt>
                <c:pt idx="3710">
                  <c:v>153.42068335217354</c:v>
                </c:pt>
                <c:pt idx="3711">
                  <c:v>153.44812260585246</c:v>
                </c:pt>
                <c:pt idx="3712">
                  <c:v>153.4755667670355</c:v>
                </c:pt>
                <c:pt idx="3713">
                  <c:v>153.50301583660041</c:v>
                </c:pt>
                <c:pt idx="3714">
                  <c:v>153.53046981542508</c:v>
                </c:pt>
                <c:pt idx="3715">
                  <c:v>153.55792870438748</c:v>
                </c:pt>
                <c:pt idx="3716">
                  <c:v>153.58539250436581</c:v>
                </c:pt>
                <c:pt idx="3717">
                  <c:v>153.61286121623831</c:v>
                </c:pt>
                <c:pt idx="3718">
                  <c:v>153.64033484088367</c:v>
                </c:pt>
                <c:pt idx="3719">
                  <c:v>153.66781337918042</c:v>
                </c:pt>
                <c:pt idx="3720">
                  <c:v>153.69529683200739</c:v>
                </c:pt>
                <c:pt idx="3721">
                  <c:v>153.72278520024355</c:v>
                </c:pt>
                <c:pt idx="3722">
                  <c:v>153.7502784847681</c:v>
                </c:pt>
                <c:pt idx="3723">
                  <c:v>153.77777668646013</c:v>
                </c:pt>
                <c:pt idx="3724">
                  <c:v>153.80527980619914</c:v>
                </c:pt>
                <c:pt idx="3725">
                  <c:v>153.83278784486473</c:v>
                </c:pt>
                <c:pt idx="3726">
                  <c:v>153.86030080333654</c:v>
                </c:pt>
                <c:pt idx="3727">
                  <c:v>153.88781868249475</c:v>
                </c:pt>
                <c:pt idx="3728">
                  <c:v>153.91534148321927</c:v>
                </c:pt>
                <c:pt idx="3729">
                  <c:v>153.9428692063903</c:v>
                </c:pt>
                <c:pt idx="3730">
                  <c:v>153.97040185288824</c:v>
                </c:pt>
                <c:pt idx="3731">
                  <c:v>153.99793942359366</c:v>
                </c:pt>
                <c:pt idx="3732">
                  <c:v>154.0254819193872</c:v>
                </c:pt>
                <c:pt idx="3733">
                  <c:v>154.05302934114974</c:v>
                </c:pt>
                <c:pt idx="3734">
                  <c:v>154.08058168976228</c:v>
                </c:pt>
                <c:pt idx="3735">
                  <c:v>154.10813896610586</c:v>
                </c:pt>
                <c:pt idx="3736">
                  <c:v>154.13570117106204</c:v>
                </c:pt>
                <c:pt idx="3737">
                  <c:v>154.16326830551222</c:v>
                </c:pt>
                <c:pt idx="3738">
                  <c:v>154.19084037033801</c:v>
                </c:pt>
                <c:pt idx="3739">
                  <c:v>154.21841736642119</c:v>
                </c:pt>
                <c:pt idx="3740">
                  <c:v>154.24599929464372</c:v>
                </c:pt>
                <c:pt idx="3741">
                  <c:v>154.27358615588776</c:v>
                </c:pt>
                <c:pt idx="3742">
                  <c:v>154.30117795103553</c:v>
                </c:pt>
                <c:pt idx="3743">
                  <c:v>154.32877468096947</c:v>
                </c:pt>
                <c:pt idx="3744">
                  <c:v>154.35637634657201</c:v>
                </c:pt>
                <c:pt idx="3745">
                  <c:v>154.38398294872621</c:v>
                </c:pt>
                <c:pt idx="3746">
                  <c:v>154.41159448831479</c:v>
                </c:pt>
                <c:pt idx="3747">
                  <c:v>154.43921096622086</c:v>
                </c:pt>
                <c:pt idx="3748">
                  <c:v>154.46683238332758</c:v>
                </c:pt>
                <c:pt idx="3749">
                  <c:v>154.49445874051835</c:v>
                </c:pt>
                <c:pt idx="3750">
                  <c:v>154.52209003867674</c:v>
                </c:pt>
                <c:pt idx="3751">
                  <c:v>154.54972627868636</c:v>
                </c:pt>
                <c:pt idx="3752">
                  <c:v>154.57736746143112</c:v>
                </c:pt>
                <c:pt idx="3753">
                  <c:v>154.6050135877949</c:v>
                </c:pt>
                <c:pt idx="3754">
                  <c:v>154.63266465866209</c:v>
                </c:pt>
                <c:pt idx="3755">
                  <c:v>154.66032067491687</c:v>
                </c:pt>
                <c:pt idx="3756">
                  <c:v>154.68798163744378</c:v>
                </c:pt>
                <c:pt idx="3757">
                  <c:v>154.71564754712745</c:v>
                </c:pt>
                <c:pt idx="3758">
                  <c:v>154.74331840485263</c:v>
                </c:pt>
                <c:pt idx="3759">
                  <c:v>154.77099421150433</c:v>
                </c:pt>
                <c:pt idx="3760">
                  <c:v>154.7986749679676</c:v>
                </c:pt>
                <c:pt idx="3761">
                  <c:v>154.82636067512777</c:v>
                </c:pt>
                <c:pt idx="3762">
                  <c:v>154.85405133387013</c:v>
                </c:pt>
                <c:pt idx="3763">
                  <c:v>154.88174694508052</c:v>
                </c:pt>
                <c:pt idx="3764">
                  <c:v>154.90944750964454</c:v>
                </c:pt>
                <c:pt idx="3765">
                  <c:v>154.93715302844814</c:v>
                </c:pt>
                <c:pt idx="3766">
                  <c:v>154.96486350237737</c:v>
                </c:pt>
                <c:pt idx="3767">
                  <c:v>154.99257893231842</c:v>
                </c:pt>
                <c:pt idx="3768">
                  <c:v>155.02029931915771</c:v>
                </c:pt>
                <c:pt idx="3769">
                  <c:v>155.04802466378175</c:v>
                </c:pt>
                <c:pt idx="3770">
                  <c:v>155.07575496707727</c:v>
                </c:pt>
                <c:pt idx="3771">
                  <c:v>155.10349022993094</c:v>
                </c:pt>
                <c:pt idx="3772">
                  <c:v>155.13123045323013</c:v>
                </c:pt>
                <c:pt idx="3773">
                  <c:v>155.1589756378618</c:v>
                </c:pt>
                <c:pt idx="3774">
                  <c:v>155.18672578471333</c:v>
                </c:pt>
                <c:pt idx="3775">
                  <c:v>155.21448089467219</c:v>
                </c:pt>
                <c:pt idx="3776">
                  <c:v>155.24224096862602</c:v>
                </c:pt>
                <c:pt idx="3777">
                  <c:v>155.27000600746268</c:v>
                </c:pt>
                <c:pt idx="3778">
                  <c:v>155.2977760120701</c:v>
                </c:pt>
                <c:pt idx="3779">
                  <c:v>155.32555098333637</c:v>
                </c:pt>
                <c:pt idx="3780">
                  <c:v>155.35333092214972</c:v>
                </c:pt>
                <c:pt idx="3781">
                  <c:v>155.38111582939882</c:v>
                </c:pt>
                <c:pt idx="3782">
                  <c:v>155.40890570597213</c:v>
                </c:pt>
                <c:pt idx="3783">
                  <c:v>155.43670055275845</c:v>
                </c:pt>
                <c:pt idx="3784">
                  <c:v>155.46450037064668</c:v>
                </c:pt>
                <c:pt idx="3785">
                  <c:v>155.49230516052589</c:v>
                </c:pt>
                <c:pt idx="3786">
                  <c:v>155.52011492328532</c:v>
                </c:pt>
                <c:pt idx="3787">
                  <c:v>155.5479296598144</c:v>
                </c:pt>
                <c:pt idx="3788">
                  <c:v>155.57574937100264</c:v>
                </c:pt>
                <c:pt idx="3789">
                  <c:v>155.60357405773979</c:v>
                </c:pt>
                <c:pt idx="3790">
                  <c:v>155.63140372091559</c:v>
                </c:pt>
                <c:pt idx="3791">
                  <c:v>155.65923836142034</c:v>
                </c:pt>
                <c:pt idx="3792">
                  <c:v>155.68707798014407</c:v>
                </c:pt>
                <c:pt idx="3793">
                  <c:v>155.71492257797721</c:v>
                </c:pt>
                <c:pt idx="3794">
                  <c:v>155.74277215581017</c:v>
                </c:pt>
                <c:pt idx="3795">
                  <c:v>155.77062671453371</c:v>
                </c:pt>
                <c:pt idx="3796">
                  <c:v>155.7984862550386</c:v>
                </c:pt>
                <c:pt idx="3797">
                  <c:v>155.82635077821587</c:v>
                </c:pt>
                <c:pt idx="3798">
                  <c:v>155.85422028495665</c:v>
                </c:pt>
                <c:pt idx="3799">
                  <c:v>155.88209477615212</c:v>
                </c:pt>
                <c:pt idx="3800">
                  <c:v>155.90997425269401</c:v>
                </c:pt>
                <c:pt idx="3801">
                  <c:v>155.93785871547385</c:v>
                </c:pt>
                <c:pt idx="3802">
                  <c:v>155.96574816538339</c:v>
                </c:pt>
                <c:pt idx="3803">
                  <c:v>155.99364260331456</c:v>
                </c:pt>
                <c:pt idx="3804">
                  <c:v>156.02154203015954</c:v>
                </c:pt>
                <c:pt idx="3805">
                  <c:v>156.04944644681049</c:v>
                </c:pt>
                <c:pt idx="3806">
                  <c:v>156.07735585415995</c:v>
                </c:pt>
                <c:pt idx="3807">
                  <c:v>156.1052702531004</c:v>
                </c:pt>
                <c:pt idx="3808">
                  <c:v>156.13318964452452</c:v>
                </c:pt>
                <c:pt idx="3809">
                  <c:v>156.16111402932546</c:v>
                </c:pt>
                <c:pt idx="3810">
                  <c:v>156.18904340839617</c:v>
                </c:pt>
                <c:pt idx="3811">
                  <c:v>156.21697778262987</c:v>
                </c:pt>
                <c:pt idx="3812">
                  <c:v>156.2449171529199</c:v>
                </c:pt>
                <c:pt idx="3813">
                  <c:v>156.27286152015984</c:v>
                </c:pt>
                <c:pt idx="3814">
                  <c:v>156.30081088524338</c:v>
                </c:pt>
                <c:pt idx="3815">
                  <c:v>156.32876524906439</c:v>
                </c:pt>
                <c:pt idx="3816">
                  <c:v>156.35672461251693</c:v>
                </c:pt>
                <c:pt idx="3817">
                  <c:v>156.38468897649497</c:v>
                </c:pt>
                <c:pt idx="3818">
                  <c:v>156.41265834189318</c:v>
                </c:pt>
                <c:pt idx="3819">
                  <c:v>156.44063270960592</c:v>
                </c:pt>
                <c:pt idx="3820">
                  <c:v>156.46861208052783</c:v>
                </c:pt>
                <c:pt idx="3821">
                  <c:v>156.49659645555377</c:v>
                </c:pt>
                <c:pt idx="3822">
                  <c:v>156.52458583557868</c:v>
                </c:pt>
                <c:pt idx="3823">
                  <c:v>156.55258022149772</c:v>
                </c:pt>
                <c:pt idx="3824">
                  <c:v>156.58057961420621</c:v>
                </c:pt>
                <c:pt idx="3825">
                  <c:v>156.60858401459961</c:v>
                </c:pt>
                <c:pt idx="3826">
                  <c:v>156.63659342357337</c:v>
                </c:pt>
                <c:pt idx="3827">
                  <c:v>156.6646078420236</c:v>
                </c:pt>
                <c:pt idx="3828">
                  <c:v>156.69262727084609</c:v>
                </c:pt>
                <c:pt idx="3829">
                  <c:v>156.72065171093692</c:v>
                </c:pt>
                <c:pt idx="3830">
                  <c:v>156.74868116319234</c:v>
                </c:pt>
                <c:pt idx="3831">
                  <c:v>156.77671562850884</c:v>
                </c:pt>
                <c:pt idx="3832">
                  <c:v>156.80475510778297</c:v>
                </c:pt>
                <c:pt idx="3833">
                  <c:v>156.83279960191143</c:v>
                </c:pt>
                <c:pt idx="3834">
                  <c:v>156.8608491117912</c:v>
                </c:pt>
                <c:pt idx="3835">
                  <c:v>156.88890363831916</c:v>
                </c:pt>
                <c:pt idx="3836">
                  <c:v>156.91696318239286</c:v>
                </c:pt>
                <c:pt idx="3837">
                  <c:v>156.94502774490951</c:v>
                </c:pt>
                <c:pt idx="3838">
                  <c:v>156.97309732676663</c:v>
                </c:pt>
                <c:pt idx="3839">
                  <c:v>157.00117192886199</c:v>
                </c:pt>
                <c:pt idx="3840">
                  <c:v>157.02925155209346</c:v>
                </c:pt>
                <c:pt idx="3841">
                  <c:v>157.05733619735898</c:v>
                </c:pt>
                <c:pt idx="3842">
                  <c:v>157.08542586555686</c:v>
                </c:pt>
                <c:pt idx="3843">
                  <c:v>157.11352055758533</c:v>
                </c:pt>
                <c:pt idx="3844">
                  <c:v>157.14162027434287</c:v>
                </c:pt>
                <c:pt idx="3845">
                  <c:v>157.16972501672836</c:v>
                </c:pt>
                <c:pt idx="3846">
                  <c:v>157.19783478564051</c:v>
                </c:pt>
                <c:pt idx="3847">
                  <c:v>157.22594958197834</c:v>
                </c:pt>
                <c:pt idx="3848">
                  <c:v>157.25406940664095</c:v>
                </c:pt>
                <c:pt idx="3849">
                  <c:v>157.28219426052772</c:v>
                </c:pt>
                <c:pt idx="3850">
                  <c:v>157.3103241445381</c:v>
                </c:pt>
                <c:pt idx="3851">
                  <c:v>157.33845905957168</c:v>
                </c:pt>
                <c:pt idx="3852">
                  <c:v>157.36659900652833</c:v>
                </c:pt>
                <c:pt idx="3853">
                  <c:v>157.39474398630782</c:v>
                </c:pt>
                <c:pt idx="3854">
                  <c:v>157.42289399981055</c:v>
                </c:pt>
                <c:pt idx="3855">
                  <c:v>157.45104904793672</c:v>
                </c:pt>
                <c:pt idx="3856">
                  <c:v>157.47920913158669</c:v>
                </c:pt>
                <c:pt idx="3857">
                  <c:v>157.50737425166108</c:v>
                </c:pt>
                <c:pt idx="3858">
                  <c:v>157.53554440906069</c:v>
                </c:pt>
                <c:pt idx="3859">
                  <c:v>157.56371960468644</c:v>
                </c:pt>
                <c:pt idx="3860">
                  <c:v>157.59189983943941</c:v>
                </c:pt>
                <c:pt idx="3861">
                  <c:v>157.62008511422081</c:v>
                </c:pt>
                <c:pt idx="3862">
                  <c:v>157.64827542993194</c:v>
                </c:pt>
                <c:pt idx="3863">
                  <c:v>157.67647078747467</c:v>
                </c:pt>
                <c:pt idx="3864">
                  <c:v>157.70467118775051</c:v>
                </c:pt>
                <c:pt idx="3865">
                  <c:v>157.73287663166147</c:v>
                </c:pt>
                <c:pt idx="3866">
                  <c:v>157.76108712010949</c:v>
                </c:pt>
                <c:pt idx="3867">
                  <c:v>157.78930265399686</c:v>
                </c:pt>
                <c:pt idx="3868">
                  <c:v>157.81752323422594</c:v>
                </c:pt>
                <c:pt idx="3869">
                  <c:v>157.84574886169924</c:v>
                </c:pt>
                <c:pt idx="3870">
                  <c:v>157.87397953731946</c:v>
                </c:pt>
                <c:pt idx="3871">
                  <c:v>157.90221526198937</c:v>
                </c:pt>
                <c:pt idx="3872">
                  <c:v>157.93045603661221</c:v>
                </c:pt>
                <c:pt idx="3873">
                  <c:v>157.95870186209106</c:v>
                </c:pt>
                <c:pt idx="3874">
                  <c:v>157.98695273932924</c:v>
                </c:pt>
                <c:pt idx="3875">
                  <c:v>158.0152086692303</c:v>
                </c:pt>
                <c:pt idx="3876">
                  <c:v>158.04346965269787</c:v>
                </c:pt>
                <c:pt idx="3877">
                  <c:v>158.07173569063576</c:v>
                </c:pt>
                <c:pt idx="3878">
                  <c:v>158.100006783948</c:v>
                </c:pt>
                <c:pt idx="3879">
                  <c:v>158.12828293353877</c:v>
                </c:pt>
                <c:pt idx="3880">
                  <c:v>158.15656414031216</c:v>
                </c:pt>
                <c:pt idx="3881">
                  <c:v>158.18485040517311</c:v>
                </c:pt>
                <c:pt idx="3882">
                  <c:v>158.21314172902586</c:v>
                </c:pt>
                <c:pt idx="3883">
                  <c:v>158.24143811277531</c:v>
                </c:pt>
                <c:pt idx="3884">
                  <c:v>158.26973955732643</c:v>
                </c:pt>
                <c:pt idx="3885">
                  <c:v>158.29804606358437</c:v>
                </c:pt>
                <c:pt idx="3886">
                  <c:v>158.3263576324544</c:v>
                </c:pt>
                <c:pt idx="3887">
                  <c:v>158.35467426484198</c:v>
                </c:pt>
                <c:pt idx="3888">
                  <c:v>158.38299596165265</c:v>
                </c:pt>
                <c:pt idx="3889">
                  <c:v>158.41132272379227</c:v>
                </c:pt>
                <c:pt idx="3890">
                  <c:v>158.43965455216662</c:v>
                </c:pt>
                <c:pt idx="3891">
                  <c:v>158.46799144768201</c:v>
                </c:pt>
                <c:pt idx="3892">
                  <c:v>158.49633341124462</c:v>
                </c:pt>
                <c:pt idx="3893">
                  <c:v>158.52468044376084</c:v>
                </c:pt>
                <c:pt idx="3894">
                  <c:v>158.55303254613725</c:v>
                </c:pt>
                <c:pt idx="3895">
                  <c:v>158.58138971928059</c:v>
                </c:pt>
                <c:pt idx="3896">
                  <c:v>158.60975196409782</c:v>
                </c:pt>
                <c:pt idx="3897">
                  <c:v>158.63811928149596</c:v>
                </c:pt>
                <c:pt idx="3898">
                  <c:v>158.66649167238222</c:v>
                </c:pt>
                <c:pt idx="3899">
                  <c:v>158.69486913766389</c:v>
                </c:pt>
                <c:pt idx="3900">
                  <c:v>158.7232516782488</c:v>
                </c:pt>
                <c:pt idx="3901">
                  <c:v>158.7516392950445</c:v>
                </c:pt>
                <c:pt idx="3902">
                  <c:v>158.78003198895891</c:v>
                </c:pt>
                <c:pt idx="3903">
                  <c:v>158.80842976090003</c:v>
                </c:pt>
                <c:pt idx="3904">
                  <c:v>158.83683261177609</c:v>
                </c:pt>
                <c:pt idx="3905">
                  <c:v>158.86524054249546</c:v>
                </c:pt>
                <c:pt idx="3906">
                  <c:v>158.89365355396666</c:v>
                </c:pt>
                <c:pt idx="3907">
                  <c:v>158.92207164709836</c:v>
                </c:pt>
                <c:pt idx="3908">
                  <c:v>158.9504948227993</c:v>
                </c:pt>
                <c:pt idx="3909">
                  <c:v>158.97892308197876</c:v>
                </c:pt>
                <c:pt idx="3910">
                  <c:v>159.00735642554582</c:v>
                </c:pt>
                <c:pt idx="3911">
                  <c:v>159.0357948544098</c:v>
                </c:pt>
                <c:pt idx="3912">
                  <c:v>159.06423836948017</c:v>
                </c:pt>
                <c:pt idx="3913">
                  <c:v>159.09268697166661</c:v>
                </c:pt>
                <c:pt idx="3914">
                  <c:v>159.12114066187897</c:v>
                </c:pt>
                <c:pt idx="3915">
                  <c:v>159.14959944102725</c:v>
                </c:pt>
                <c:pt idx="3916">
                  <c:v>159.17806331002157</c:v>
                </c:pt>
                <c:pt idx="3917">
                  <c:v>159.20653226977211</c:v>
                </c:pt>
                <c:pt idx="3918">
                  <c:v>159.23500632118967</c:v>
                </c:pt>
                <c:pt idx="3919">
                  <c:v>159.26348546518471</c:v>
                </c:pt>
                <c:pt idx="3920">
                  <c:v>159.2919697026681</c:v>
                </c:pt>
                <c:pt idx="3921">
                  <c:v>159.32045903455074</c:v>
                </c:pt>
                <c:pt idx="3922">
                  <c:v>159.34895346174378</c:v>
                </c:pt>
                <c:pt idx="3923">
                  <c:v>159.37745298515856</c:v>
                </c:pt>
                <c:pt idx="3924">
                  <c:v>159.40595760570645</c:v>
                </c:pt>
                <c:pt idx="3925">
                  <c:v>159.43446732429913</c:v>
                </c:pt>
                <c:pt idx="3926">
                  <c:v>159.46298214184827</c:v>
                </c:pt>
                <c:pt idx="3927">
                  <c:v>159.49150205926605</c:v>
                </c:pt>
                <c:pt idx="3928">
                  <c:v>159.52002707746445</c:v>
                </c:pt>
                <c:pt idx="3929">
                  <c:v>159.54855719735573</c:v>
                </c:pt>
                <c:pt idx="3930">
                  <c:v>159.57709241985236</c:v>
                </c:pt>
                <c:pt idx="3931">
                  <c:v>159.6056327458669</c:v>
                </c:pt>
                <c:pt idx="3932">
                  <c:v>159.63417817631216</c:v>
                </c:pt>
                <c:pt idx="3933">
                  <c:v>159.66272871210106</c:v>
                </c:pt>
                <c:pt idx="3934">
                  <c:v>159.69128435414666</c:v>
                </c:pt>
                <c:pt idx="3935">
                  <c:v>159.71984510336208</c:v>
                </c:pt>
                <c:pt idx="3936">
                  <c:v>159.748410960661</c:v>
                </c:pt>
                <c:pt idx="3937">
                  <c:v>159.77698192695689</c:v>
                </c:pt>
                <c:pt idx="3938">
                  <c:v>159.80555800316353</c:v>
                </c:pt>
                <c:pt idx="3939">
                  <c:v>159.83413919019475</c:v>
                </c:pt>
                <c:pt idx="3940">
                  <c:v>159.86272548896463</c:v>
                </c:pt>
                <c:pt idx="3941">
                  <c:v>159.89131690038744</c:v>
                </c:pt>
                <c:pt idx="3942">
                  <c:v>159.91991342537756</c:v>
                </c:pt>
                <c:pt idx="3943">
                  <c:v>159.94851506484954</c:v>
                </c:pt>
                <c:pt idx="3944">
                  <c:v>159.97712181971798</c:v>
                </c:pt>
                <c:pt idx="3945">
                  <c:v>160.00573369089804</c:v>
                </c:pt>
                <c:pt idx="3946">
                  <c:v>160.03435067930465</c:v>
                </c:pt>
                <c:pt idx="3947">
                  <c:v>160.06297278585296</c:v>
                </c:pt>
                <c:pt idx="3948">
                  <c:v>160.09160001145847</c:v>
                </c:pt>
                <c:pt idx="3949">
                  <c:v>160.1202323570366</c:v>
                </c:pt>
                <c:pt idx="3950">
                  <c:v>160.14886982350311</c:v>
                </c:pt>
                <c:pt idx="3951">
                  <c:v>160.17751241177388</c:v>
                </c:pt>
                <c:pt idx="3952">
                  <c:v>160.20616012276491</c:v>
                </c:pt>
                <c:pt idx="3953">
                  <c:v>160.23481295739225</c:v>
                </c:pt>
                <c:pt idx="3954">
                  <c:v>160.2634709165726</c:v>
                </c:pt>
                <c:pt idx="3955">
                  <c:v>160.29213400122231</c:v>
                </c:pt>
                <c:pt idx="3956">
                  <c:v>160.32080221225806</c:v>
                </c:pt>
                <c:pt idx="3957">
                  <c:v>160.34947555059674</c:v>
                </c:pt>
                <c:pt idx="3958">
                  <c:v>160.37815401715531</c:v>
                </c:pt>
                <c:pt idx="3959">
                  <c:v>160.40683761285101</c:v>
                </c:pt>
                <c:pt idx="3960">
                  <c:v>160.43552633860111</c:v>
                </c:pt>
                <c:pt idx="3961">
                  <c:v>160.46422019532321</c:v>
                </c:pt>
                <c:pt idx="3962">
                  <c:v>160.49291918393479</c:v>
                </c:pt>
                <c:pt idx="3963">
                  <c:v>160.52162330535396</c:v>
                </c:pt>
                <c:pt idx="3964">
                  <c:v>160.55033256049859</c:v>
                </c:pt>
                <c:pt idx="3965">
                  <c:v>160.57904695028685</c:v>
                </c:pt>
                <c:pt idx="3966">
                  <c:v>160.60776647563708</c:v>
                </c:pt>
                <c:pt idx="3967">
                  <c:v>160.6364911374678</c:v>
                </c:pt>
                <c:pt idx="3968">
                  <c:v>160.66522093669758</c:v>
                </c:pt>
                <c:pt idx="3969">
                  <c:v>160.69395587424535</c:v>
                </c:pt>
                <c:pt idx="3970">
                  <c:v>160.72269595103</c:v>
                </c:pt>
                <c:pt idx="3971">
                  <c:v>160.7514411679706</c:v>
                </c:pt>
                <c:pt idx="3972">
                  <c:v>160.78019152598674</c:v>
                </c:pt>
                <c:pt idx="3973">
                  <c:v>160.80894702599775</c:v>
                </c:pt>
                <c:pt idx="3974">
                  <c:v>160.83770766892329</c:v>
                </c:pt>
                <c:pt idx="3975">
                  <c:v>160.86647345568312</c:v>
                </c:pt>
                <c:pt idx="3976">
                  <c:v>160.89524438719727</c:v>
                </c:pt>
                <c:pt idx="3977">
                  <c:v>160.92402046438585</c:v>
                </c:pt>
                <c:pt idx="3978">
                  <c:v>160.95280168816916</c:v>
                </c:pt>
                <c:pt idx="3979">
                  <c:v>160.9815880594677</c:v>
                </c:pt>
                <c:pt idx="3980">
                  <c:v>161.01037957920192</c:v>
                </c:pt>
                <c:pt idx="3981">
                  <c:v>161.03917624829293</c:v>
                </c:pt>
                <c:pt idx="3982">
                  <c:v>161.06797806766153</c:v>
                </c:pt>
                <c:pt idx="3983">
                  <c:v>161.09678503822886</c:v>
                </c:pt>
                <c:pt idx="3984">
                  <c:v>161.12559716091619</c:v>
                </c:pt>
                <c:pt idx="3985">
                  <c:v>161.15441443664497</c:v>
                </c:pt>
                <c:pt idx="3986">
                  <c:v>161.18323686633687</c:v>
                </c:pt>
                <c:pt idx="3987">
                  <c:v>161.21206445091363</c:v>
                </c:pt>
                <c:pt idx="3988">
                  <c:v>161.24089719129722</c:v>
                </c:pt>
                <c:pt idx="3989">
                  <c:v>161.26973508840962</c:v>
                </c:pt>
                <c:pt idx="3990">
                  <c:v>161.29857814317336</c:v>
                </c:pt>
                <c:pt idx="3991">
                  <c:v>161.32742635651078</c:v>
                </c:pt>
                <c:pt idx="3992">
                  <c:v>161.35627972934446</c:v>
                </c:pt>
                <c:pt idx="3993">
                  <c:v>161.3851382625972</c:v>
                </c:pt>
                <c:pt idx="3994">
                  <c:v>161.41400195719191</c:v>
                </c:pt>
                <c:pt idx="3995">
                  <c:v>161.4428708140517</c:v>
                </c:pt>
                <c:pt idx="3996">
                  <c:v>161.47174483409989</c:v>
                </c:pt>
                <c:pt idx="3997">
                  <c:v>161.50062401825986</c:v>
                </c:pt>
                <c:pt idx="3998">
                  <c:v>161.52950836745507</c:v>
                </c:pt>
                <c:pt idx="3999">
                  <c:v>161.5583978826096</c:v>
                </c:pt>
                <c:pt idx="4000">
                  <c:v>161.58729256464721</c:v>
                </c:pt>
                <c:pt idx="4001">
                  <c:v>161.61619241449205</c:v>
                </c:pt>
                <c:pt idx="4002">
                  <c:v>161.64509743306829</c:v>
                </c:pt>
                <c:pt idx="4003">
                  <c:v>161.67400762130043</c:v>
                </c:pt>
                <c:pt idx="4004">
                  <c:v>161.70292298011304</c:v>
                </c:pt>
                <c:pt idx="4005">
                  <c:v>161.73184351043088</c:v>
                </c:pt>
                <c:pt idx="4006">
                  <c:v>161.76076921317886</c:v>
                </c:pt>
                <c:pt idx="4007">
                  <c:v>161.78970008928209</c:v>
                </c:pt>
                <c:pt idx="4008">
                  <c:v>161.81863613966564</c:v>
                </c:pt>
                <c:pt idx="4009">
                  <c:v>161.84757736525526</c:v>
                </c:pt>
                <c:pt idx="4010">
                  <c:v>161.87652376697636</c:v>
                </c:pt>
                <c:pt idx="4011">
                  <c:v>161.90547534575472</c:v>
                </c:pt>
                <c:pt idx="4012">
                  <c:v>161.93443210251624</c:v>
                </c:pt>
                <c:pt idx="4013">
                  <c:v>161.96339403818698</c:v>
                </c:pt>
                <c:pt idx="4014">
                  <c:v>161.99236115369322</c:v>
                </c:pt>
                <c:pt idx="4015">
                  <c:v>162.02133344996133</c:v>
                </c:pt>
                <c:pt idx="4016">
                  <c:v>162.05031092791796</c:v>
                </c:pt>
                <c:pt idx="4017">
                  <c:v>162.07929358848963</c:v>
                </c:pt>
                <c:pt idx="4018">
                  <c:v>162.1082814326036</c:v>
                </c:pt>
                <c:pt idx="4019">
                  <c:v>162.13727446118676</c:v>
                </c:pt>
                <c:pt idx="4020">
                  <c:v>162.16627267516637</c:v>
                </c:pt>
                <c:pt idx="4021">
                  <c:v>162.19527607546985</c:v>
                </c:pt>
                <c:pt idx="4022">
                  <c:v>162.22428466302472</c:v>
                </c:pt>
                <c:pt idx="4023">
                  <c:v>162.25329843875878</c:v>
                </c:pt>
                <c:pt idx="4024">
                  <c:v>162.2823174035999</c:v>
                </c:pt>
                <c:pt idx="4025">
                  <c:v>162.31134155847616</c:v>
                </c:pt>
                <c:pt idx="4026">
                  <c:v>162.34037090431565</c:v>
                </c:pt>
                <c:pt idx="4027">
                  <c:v>162.36940544204708</c:v>
                </c:pt>
                <c:pt idx="4028">
                  <c:v>162.39844517259883</c:v>
                </c:pt>
                <c:pt idx="4029">
                  <c:v>162.42749009689967</c:v>
                </c:pt>
                <c:pt idx="4030">
                  <c:v>162.4565402158785</c:v>
                </c:pt>
                <c:pt idx="4031">
                  <c:v>162.48559553046439</c:v>
                </c:pt>
                <c:pt idx="4032">
                  <c:v>162.51465604158656</c:v>
                </c:pt>
                <c:pt idx="4033">
                  <c:v>162.5437217501744</c:v>
                </c:pt>
                <c:pt idx="4034">
                  <c:v>162.57279265715749</c:v>
                </c:pt>
                <c:pt idx="4035">
                  <c:v>162.60186876346543</c:v>
                </c:pt>
                <c:pt idx="4036">
                  <c:v>162.63095007002838</c:v>
                </c:pt>
                <c:pt idx="4037">
                  <c:v>162.66003657777628</c:v>
                </c:pt>
                <c:pt idx="4038">
                  <c:v>162.68912828763933</c:v>
                </c:pt>
                <c:pt idx="4039">
                  <c:v>162.71822520054798</c:v>
                </c:pt>
                <c:pt idx="4040">
                  <c:v>162.74732731743276</c:v>
                </c:pt>
                <c:pt idx="4041">
                  <c:v>162.77643463922453</c:v>
                </c:pt>
                <c:pt idx="4042">
                  <c:v>162.80554716685393</c:v>
                </c:pt>
                <c:pt idx="4043">
                  <c:v>162.83466490125215</c:v>
                </c:pt>
                <c:pt idx="4044">
                  <c:v>162.86378784335028</c:v>
                </c:pt>
                <c:pt idx="4045">
                  <c:v>162.89291599408</c:v>
                </c:pt>
                <c:pt idx="4046">
                  <c:v>162.92204935437272</c:v>
                </c:pt>
                <c:pt idx="4047">
                  <c:v>162.95118792516018</c:v>
                </c:pt>
                <c:pt idx="4048">
                  <c:v>162.98033170737429</c:v>
                </c:pt>
                <c:pt idx="4049">
                  <c:v>163.0094807019471</c:v>
                </c:pt>
                <c:pt idx="4050">
                  <c:v>163.03863490981084</c:v>
                </c:pt>
                <c:pt idx="4051">
                  <c:v>163.06779433189789</c:v>
                </c:pt>
                <c:pt idx="4052">
                  <c:v>163.09695896914081</c:v>
                </c:pt>
                <c:pt idx="4053">
                  <c:v>163.12612882247223</c:v>
                </c:pt>
                <c:pt idx="4054">
                  <c:v>163.15530389282529</c:v>
                </c:pt>
                <c:pt idx="4055">
                  <c:v>163.18448418113292</c:v>
                </c:pt>
                <c:pt idx="4056">
                  <c:v>163.21366968832837</c:v>
                </c:pt>
                <c:pt idx="4057">
                  <c:v>163.24286041534501</c:v>
                </c:pt>
                <c:pt idx="4058">
                  <c:v>163.27205636311643</c:v>
                </c:pt>
                <c:pt idx="4059">
                  <c:v>163.30125753257633</c:v>
                </c:pt>
                <c:pt idx="4060">
                  <c:v>163.33046392465866</c:v>
                </c:pt>
                <c:pt idx="4061">
                  <c:v>163.35967554029739</c:v>
                </c:pt>
                <c:pt idx="4062">
                  <c:v>163.38889238042671</c:v>
                </c:pt>
                <c:pt idx="4063">
                  <c:v>163.41811444598125</c:v>
                </c:pt>
                <c:pt idx="4064">
                  <c:v>163.44734173789544</c:v>
                </c:pt>
                <c:pt idx="4065">
                  <c:v>163.47657425710401</c:v>
                </c:pt>
                <c:pt idx="4066">
                  <c:v>163.50581200454189</c:v>
                </c:pt>
                <c:pt idx="4067">
                  <c:v>163.53505498114413</c:v>
                </c:pt>
                <c:pt idx="4068">
                  <c:v>163.56430318784592</c:v>
                </c:pt>
                <c:pt idx="4069">
                  <c:v>163.59355662558275</c:v>
                </c:pt>
                <c:pt idx="4070">
                  <c:v>163.62281529529014</c:v>
                </c:pt>
                <c:pt idx="4071">
                  <c:v>163.65207919790365</c:v>
                </c:pt>
                <c:pt idx="4072">
                  <c:v>163.68134833435954</c:v>
                </c:pt>
                <c:pt idx="4073">
                  <c:v>163.71062270559369</c:v>
                </c:pt>
                <c:pt idx="4074">
                  <c:v>163.73990231254234</c:v>
                </c:pt>
                <c:pt idx="4075">
                  <c:v>163.76918715614195</c:v>
                </c:pt>
                <c:pt idx="4076">
                  <c:v>163.79847723732902</c:v>
                </c:pt>
                <c:pt idx="4077">
                  <c:v>163.82777255704033</c:v>
                </c:pt>
                <c:pt idx="4078">
                  <c:v>163.8570731162128</c:v>
                </c:pt>
                <c:pt idx="4079">
                  <c:v>163.8863789157835</c:v>
                </c:pt>
                <c:pt idx="4080">
                  <c:v>163.9156899566895</c:v>
                </c:pt>
                <c:pt idx="4081">
                  <c:v>163.94500623986852</c:v>
                </c:pt>
                <c:pt idx="4082">
                  <c:v>163.974327766258</c:v>
                </c:pt>
                <c:pt idx="4083">
                  <c:v>164.00365453679569</c:v>
                </c:pt>
                <c:pt idx="4084">
                  <c:v>164.03298655241949</c:v>
                </c:pt>
                <c:pt idx="4085">
                  <c:v>164.06232381406747</c:v>
                </c:pt>
                <c:pt idx="4086">
                  <c:v>164.09166632267795</c:v>
                </c:pt>
                <c:pt idx="4087">
                  <c:v>164.12101407918925</c:v>
                </c:pt>
                <c:pt idx="4088">
                  <c:v>164.15036708454002</c:v>
                </c:pt>
                <c:pt idx="4089">
                  <c:v>164.17972533966901</c:v>
                </c:pt>
                <c:pt idx="4090">
                  <c:v>164.20908884551497</c:v>
                </c:pt>
                <c:pt idx="4091">
                  <c:v>164.23845760301731</c:v>
                </c:pt>
                <c:pt idx="4092">
                  <c:v>164.26783161311511</c:v>
                </c:pt>
                <c:pt idx="4093">
                  <c:v>164.29721087674781</c:v>
                </c:pt>
                <c:pt idx="4094">
                  <c:v>164.32659539485502</c:v>
                </c:pt>
                <c:pt idx="4095">
                  <c:v>164.35598516837646</c:v>
                </c:pt>
                <c:pt idx="4096">
                  <c:v>164.38538019825211</c:v>
                </c:pt>
                <c:pt idx="4097">
                  <c:v>164.41478048542203</c:v>
                </c:pt>
                <c:pt idx="4098">
                  <c:v>164.44418603082653</c:v>
                </c:pt>
                <c:pt idx="4099">
                  <c:v>164.47359683540583</c:v>
                </c:pt>
                <c:pt idx="4100">
                  <c:v>164.50301290010088</c:v>
                </c:pt>
                <c:pt idx="4101">
                  <c:v>164.53243422585228</c:v>
                </c:pt>
                <c:pt idx="4102">
                  <c:v>164.56186081360099</c:v>
                </c:pt>
                <c:pt idx="4103">
                  <c:v>164.59129266428809</c:v>
                </c:pt>
                <c:pt idx="4104">
                  <c:v>164.62072977885489</c:v>
                </c:pt>
                <c:pt idx="4105">
                  <c:v>164.65017215824275</c:v>
                </c:pt>
                <c:pt idx="4106">
                  <c:v>164.67961980339339</c:v>
                </c:pt>
                <c:pt idx="4107">
                  <c:v>164.70907271524854</c:v>
                </c:pt>
                <c:pt idx="4108">
                  <c:v>164.73853089475003</c:v>
                </c:pt>
                <c:pt idx="4109">
                  <c:v>164.76799434284021</c:v>
                </c:pt>
                <c:pt idx="4110">
                  <c:v>164.79746306046127</c:v>
                </c:pt>
                <c:pt idx="4111">
                  <c:v>164.82693704855566</c:v>
                </c:pt>
                <c:pt idx="4112">
                  <c:v>164.85641630806597</c:v>
                </c:pt>
                <c:pt idx="4113">
                  <c:v>164.88590083993503</c:v>
                </c:pt>
                <c:pt idx="4114">
                  <c:v>164.91539064510579</c:v>
                </c:pt>
                <c:pt idx="4115">
                  <c:v>164.94488572452138</c:v>
                </c:pt>
                <c:pt idx="4116">
                  <c:v>164.97438607912505</c:v>
                </c:pt>
                <c:pt idx="4117">
                  <c:v>165.0038917098602</c:v>
                </c:pt>
                <c:pt idx="4118">
                  <c:v>165.0334026176707</c:v>
                </c:pt>
                <c:pt idx="4119">
                  <c:v>165.06291880350022</c:v>
                </c:pt>
                <c:pt idx="4120">
                  <c:v>165.09244026829276</c:v>
                </c:pt>
                <c:pt idx="4121">
                  <c:v>165.12196701299243</c:v>
                </c:pt>
                <c:pt idx="4122">
                  <c:v>165.15149903854356</c:v>
                </c:pt>
                <c:pt idx="4123">
                  <c:v>165.18103634589059</c:v>
                </c:pt>
                <c:pt idx="4124">
                  <c:v>165.21057893597822</c:v>
                </c:pt>
                <c:pt idx="4125">
                  <c:v>165.24012680975125</c:v>
                </c:pt>
                <c:pt idx="4126">
                  <c:v>165.26967996815452</c:v>
                </c:pt>
                <c:pt idx="4127">
                  <c:v>165.29923841213343</c:v>
                </c:pt>
                <c:pt idx="4128">
                  <c:v>165.32880214263324</c:v>
                </c:pt>
                <c:pt idx="4129">
                  <c:v>165.35837116059938</c:v>
                </c:pt>
                <c:pt idx="4130">
                  <c:v>165.38794546697753</c:v>
                </c:pt>
                <c:pt idx="4131">
                  <c:v>165.41752506271354</c:v>
                </c:pt>
                <c:pt idx="4132">
                  <c:v>165.44710994875339</c:v>
                </c:pt>
                <c:pt idx="4133">
                  <c:v>165.47670012604326</c:v>
                </c:pt>
                <c:pt idx="4134">
                  <c:v>165.50629559552948</c:v>
                </c:pt>
                <c:pt idx="4135">
                  <c:v>165.5358963581584</c:v>
                </c:pt>
                <c:pt idx="4136">
                  <c:v>165.56550241487702</c:v>
                </c:pt>
                <c:pt idx="4137">
                  <c:v>165.59511376663204</c:v>
                </c:pt>
                <c:pt idx="4138">
                  <c:v>165.62473041437045</c:v>
                </c:pt>
                <c:pt idx="4139">
                  <c:v>165.65435235903945</c:v>
                </c:pt>
                <c:pt idx="4140">
                  <c:v>165.68397960158637</c:v>
                </c:pt>
                <c:pt idx="4141">
                  <c:v>165.71361214295879</c:v>
                </c:pt>
                <c:pt idx="4142">
                  <c:v>165.74324998410435</c:v>
                </c:pt>
                <c:pt idx="4143">
                  <c:v>165.77289312597094</c:v>
                </c:pt>
                <c:pt idx="4144">
                  <c:v>165.80254156950645</c:v>
                </c:pt>
                <c:pt idx="4145">
                  <c:v>165.83219531565933</c:v>
                </c:pt>
                <c:pt idx="4146">
                  <c:v>165.86185436537787</c:v>
                </c:pt>
                <c:pt idx="4147">
                  <c:v>165.89151871961056</c:v>
                </c:pt>
                <c:pt idx="4148">
                  <c:v>165.92118837930616</c:v>
                </c:pt>
                <c:pt idx="4149">
                  <c:v>165.9508633454135</c:v>
                </c:pt>
                <c:pt idx="4150">
                  <c:v>165.98054361888168</c:v>
                </c:pt>
                <c:pt idx="4151">
                  <c:v>166.01022920065989</c:v>
                </c:pt>
                <c:pt idx="4152">
                  <c:v>166.03992009169752</c:v>
                </c:pt>
                <c:pt idx="4153">
                  <c:v>166.06961629294398</c:v>
                </c:pt>
                <c:pt idx="4154">
                  <c:v>166.09931780534927</c:v>
                </c:pt>
                <c:pt idx="4155">
                  <c:v>166.12902462986324</c:v>
                </c:pt>
                <c:pt idx="4156">
                  <c:v>166.15873676743587</c:v>
                </c:pt>
                <c:pt idx="4157">
                  <c:v>166.18845421901742</c:v>
                </c:pt>
                <c:pt idx="4158">
                  <c:v>166.21817698555827</c:v>
                </c:pt>
                <c:pt idx="4159">
                  <c:v>166.24790506800906</c:v>
                </c:pt>
                <c:pt idx="4160">
                  <c:v>166.27763846732051</c:v>
                </c:pt>
                <c:pt idx="4161">
                  <c:v>166.30737718444351</c:v>
                </c:pt>
                <c:pt idx="4162">
                  <c:v>166.33712122032907</c:v>
                </c:pt>
                <c:pt idx="4163">
                  <c:v>166.36687057592869</c:v>
                </c:pt>
                <c:pt idx="4164">
                  <c:v>166.39662525219367</c:v>
                </c:pt>
                <c:pt idx="4165">
                  <c:v>166.42638525007561</c:v>
                </c:pt>
                <c:pt idx="4166">
                  <c:v>166.45615057052629</c:v>
                </c:pt>
                <c:pt idx="4167">
                  <c:v>166.48592121449761</c:v>
                </c:pt>
                <c:pt idx="4168">
                  <c:v>166.51569718294172</c:v>
                </c:pt>
                <c:pt idx="4169">
                  <c:v>166.5454784768109</c:v>
                </c:pt>
                <c:pt idx="4170">
                  <c:v>166.57526509705758</c:v>
                </c:pt>
                <c:pt idx="4171">
                  <c:v>166.60505704463424</c:v>
                </c:pt>
                <c:pt idx="4172">
                  <c:v>166.63485432049396</c:v>
                </c:pt>
                <c:pt idx="4173">
                  <c:v>166.66465692558958</c:v>
                </c:pt>
                <c:pt idx="4174">
                  <c:v>166.69446486087421</c:v>
                </c:pt>
                <c:pt idx="4175">
                  <c:v>166.72427812730118</c:v>
                </c:pt>
                <c:pt idx="4176">
                  <c:v>166.75409672582393</c:v>
                </c:pt>
                <c:pt idx="4177">
                  <c:v>166.78392065739612</c:v>
                </c:pt>
                <c:pt idx="4178">
                  <c:v>166.81374992297157</c:v>
                </c:pt>
                <c:pt idx="4179">
                  <c:v>166.84358452350423</c:v>
                </c:pt>
                <c:pt idx="4180">
                  <c:v>166.87342445994818</c:v>
                </c:pt>
                <c:pt idx="4181">
                  <c:v>166.90326973325796</c:v>
                </c:pt>
                <c:pt idx="4182">
                  <c:v>166.93312034438799</c:v>
                </c:pt>
                <c:pt idx="4183">
                  <c:v>166.9629762942929</c:v>
                </c:pt>
                <c:pt idx="4184">
                  <c:v>166.99283758392752</c:v>
                </c:pt>
                <c:pt idx="4185">
                  <c:v>167.02270421424689</c:v>
                </c:pt>
                <c:pt idx="4186">
                  <c:v>167.05257618620615</c:v>
                </c:pt>
                <c:pt idx="4187">
                  <c:v>167.08245350076069</c:v>
                </c:pt>
                <c:pt idx="4188">
                  <c:v>167.11233615886601</c:v>
                </c:pt>
                <c:pt idx="4189">
                  <c:v>167.14222416147769</c:v>
                </c:pt>
                <c:pt idx="4190">
                  <c:v>167.17211750955184</c:v>
                </c:pt>
                <c:pt idx="4191">
                  <c:v>167.20201620404436</c:v>
                </c:pt>
                <c:pt idx="4192">
                  <c:v>167.23192024591148</c:v>
                </c:pt>
                <c:pt idx="4193">
                  <c:v>167.26182963610955</c:v>
                </c:pt>
                <c:pt idx="4194">
                  <c:v>167.29174437559513</c:v>
                </c:pt>
                <c:pt idx="4195">
                  <c:v>167.32166446532494</c:v>
                </c:pt>
                <c:pt idx="4196">
                  <c:v>167.35158990625587</c:v>
                </c:pt>
                <c:pt idx="4197">
                  <c:v>167.38152069934497</c:v>
                </c:pt>
                <c:pt idx="4198">
                  <c:v>167.41145684554934</c:v>
                </c:pt>
                <c:pt idx="4199">
                  <c:v>167.44139834582668</c:v>
                </c:pt>
                <c:pt idx="4200">
                  <c:v>167.4713452011344</c:v>
                </c:pt>
                <c:pt idx="4201">
                  <c:v>167.5012974124304</c:v>
                </c:pt>
                <c:pt idx="4202">
                  <c:v>167.53125498067232</c:v>
                </c:pt>
                <c:pt idx="4203">
                  <c:v>167.56121790681834</c:v>
                </c:pt>
                <c:pt idx="4204">
                  <c:v>167.59118619182681</c:v>
                </c:pt>
                <c:pt idx="4205">
                  <c:v>167.62115983665609</c:v>
                </c:pt>
                <c:pt idx="4206">
                  <c:v>167.6511388422648</c:v>
                </c:pt>
                <c:pt idx="4207">
                  <c:v>167.68112320961171</c:v>
                </c:pt>
                <c:pt idx="4208">
                  <c:v>167.71111293965564</c:v>
                </c:pt>
                <c:pt idx="4209">
                  <c:v>167.741108033356</c:v>
                </c:pt>
                <c:pt idx="4210">
                  <c:v>167.7711084916719</c:v>
                </c:pt>
                <c:pt idx="4211">
                  <c:v>167.80111431556284</c:v>
                </c:pt>
                <c:pt idx="4212">
                  <c:v>167.83112550598844</c:v>
                </c:pt>
                <c:pt idx="4213">
                  <c:v>167.86114206390846</c:v>
                </c:pt>
                <c:pt idx="4214">
                  <c:v>167.89116399028293</c:v>
                </c:pt>
                <c:pt idx="4215">
                  <c:v>167.92119128607197</c:v>
                </c:pt>
                <c:pt idx="4216">
                  <c:v>167.95122395223592</c:v>
                </c:pt>
                <c:pt idx="4217">
                  <c:v>167.98126198973512</c:v>
                </c:pt>
                <c:pt idx="4218">
                  <c:v>168.01130539953047</c:v>
                </c:pt>
                <c:pt idx="4219">
                  <c:v>168.04135418258275</c:v>
                </c:pt>
                <c:pt idx="4220">
                  <c:v>168.07140833985289</c:v>
                </c:pt>
                <c:pt idx="4221">
                  <c:v>168.10146787230209</c:v>
                </c:pt>
                <c:pt idx="4222">
                  <c:v>168.13153278089172</c:v>
                </c:pt>
                <c:pt idx="4223">
                  <c:v>168.16160306658333</c:v>
                </c:pt>
                <c:pt idx="4224">
                  <c:v>168.19167873033851</c:v>
                </c:pt>
                <c:pt idx="4225">
                  <c:v>168.2217597731192</c:v>
                </c:pt>
                <c:pt idx="4226">
                  <c:v>168.25184619588728</c:v>
                </c:pt>
                <c:pt idx="4227">
                  <c:v>168.28193799960525</c:v>
                </c:pt>
                <c:pt idx="4228">
                  <c:v>168.31203518523535</c:v>
                </c:pt>
                <c:pt idx="4229">
                  <c:v>168.3421377537401</c:v>
                </c:pt>
                <c:pt idx="4230">
                  <c:v>168.37224570608231</c:v>
                </c:pt>
                <c:pt idx="4231">
                  <c:v>168.40235904322478</c:v>
                </c:pt>
                <c:pt idx="4232">
                  <c:v>168.43247776613063</c:v>
                </c:pt>
                <c:pt idx="4233">
                  <c:v>168.46260187576308</c:v>
                </c:pt>
                <c:pt idx="4234">
                  <c:v>168.49273137308558</c:v>
                </c:pt>
                <c:pt idx="4235">
                  <c:v>168.52286625906154</c:v>
                </c:pt>
                <c:pt idx="4236">
                  <c:v>168.55300653465503</c:v>
                </c:pt>
                <c:pt idx="4237">
                  <c:v>168.58315220082983</c:v>
                </c:pt>
                <c:pt idx="4238">
                  <c:v>168.61330325855005</c:v>
                </c:pt>
                <c:pt idx="4239">
                  <c:v>168.64345970877994</c:v>
                </c:pt>
                <c:pt idx="4240">
                  <c:v>168.67362155248398</c:v>
                </c:pt>
                <c:pt idx="4241">
                  <c:v>168.70378879062679</c:v>
                </c:pt>
                <c:pt idx="4242">
                  <c:v>168.73396142417312</c:v>
                </c:pt>
                <c:pt idx="4243">
                  <c:v>168.764139454088</c:v>
                </c:pt>
                <c:pt idx="4244">
                  <c:v>168.79432288133637</c:v>
                </c:pt>
                <c:pt idx="4245">
                  <c:v>168.8245117068839</c:v>
                </c:pt>
                <c:pt idx="4246">
                  <c:v>168.85470593169583</c:v>
                </c:pt>
                <c:pt idx="4247">
                  <c:v>168.88490555673789</c:v>
                </c:pt>
                <c:pt idx="4248">
                  <c:v>168.91511058297593</c:v>
                </c:pt>
                <c:pt idx="4249">
                  <c:v>168.94532101137591</c:v>
                </c:pt>
                <c:pt idx="4250">
                  <c:v>168.97553684290398</c:v>
                </c:pt>
                <c:pt idx="4251">
                  <c:v>169.00575807852653</c:v>
                </c:pt>
                <c:pt idx="4252">
                  <c:v>169.03598471921006</c:v>
                </c:pt>
                <c:pt idx="4253">
                  <c:v>169.06621676592115</c:v>
                </c:pt>
                <c:pt idx="4254">
                  <c:v>169.09645421962691</c:v>
                </c:pt>
                <c:pt idx="4255">
                  <c:v>169.12669708129428</c:v>
                </c:pt>
                <c:pt idx="4256">
                  <c:v>169.15694535189047</c:v>
                </c:pt>
                <c:pt idx="4257">
                  <c:v>169.18719903238281</c:v>
                </c:pt>
                <c:pt idx="4258">
                  <c:v>169.21745812373894</c:v>
                </c:pt>
                <c:pt idx="4259">
                  <c:v>169.24772262692653</c:v>
                </c:pt>
                <c:pt idx="4260">
                  <c:v>169.27799254291349</c:v>
                </c:pt>
                <c:pt idx="4261">
                  <c:v>169.30826787266793</c:v>
                </c:pt>
                <c:pt idx="4262">
                  <c:v>169.33854861715793</c:v>
                </c:pt>
                <c:pt idx="4263">
                  <c:v>169.36883477735222</c:v>
                </c:pt>
                <c:pt idx="4264">
                  <c:v>169.39912635421925</c:v>
                </c:pt>
                <c:pt idx="4265">
                  <c:v>169.42942334872779</c:v>
                </c:pt>
                <c:pt idx="4266">
                  <c:v>169.45972576184676</c:v>
                </c:pt>
                <c:pt idx="4267">
                  <c:v>169.49003359454531</c:v>
                </c:pt>
                <c:pt idx="4268">
                  <c:v>169.52034684779269</c:v>
                </c:pt>
                <c:pt idx="4269">
                  <c:v>169.55066552255843</c:v>
                </c:pt>
                <c:pt idx="4270">
                  <c:v>169.5809896198121</c:v>
                </c:pt>
                <c:pt idx="4271">
                  <c:v>169.61131914052342</c:v>
                </c:pt>
                <c:pt idx="4272">
                  <c:v>169.64165408566262</c:v>
                </c:pt>
                <c:pt idx="4273">
                  <c:v>169.67199445619974</c:v>
                </c:pt>
                <c:pt idx="4274">
                  <c:v>169.70234025310512</c:v>
                </c:pt>
                <c:pt idx="4275">
                  <c:v>169.73269147734922</c:v>
                </c:pt>
                <c:pt idx="4276">
                  <c:v>169.76304812990276</c:v>
                </c:pt>
                <c:pt idx="4277">
                  <c:v>169.79341021173656</c:v>
                </c:pt>
                <c:pt idx="4278">
                  <c:v>169.82377772382168</c:v>
                </c:pt>
                <c:pt idx="4279">
                  <c:v>169.85415066712929</c:v>
                </c:pt>
                <c:pt idx="4280">
                  <c:v>169.88452904263065</c:v>
                </c:pt>
                <c:pt idx="4281">
                  <c:v>169.91491285129754</c:v>
                </c:pt>
                <c:pt idx="4282">
                  <c:v>169.94530209410161</c:v>
                </c:pt>
                <c:pt idx="4283">
                  <c:v>169.97569677201469</c:v>
                </c:pt>
                <c:pt idx="4284">
                  <c:v>170.00609688600889</c:v>
                </c:pt>
                <c:pt idx="4285">
                  <c:v>170.03650243705644</c:v>
                </c:pt>
                <c:pt idx="4286">
                  <c:v>170.06691342612973</c:v>
                </c:pt>
                <c:pt idx="4287">
                  <c:v>170.09732985420138</c:v>
                </c:pt>
                <c:pt idx="4288">
                  <c:v>170.12775172224414</c:v>
                </c:pt>
                <c:pt idx="4289">
                  <c:v>170.15817903123082</c:v>
                </c:pt>
                <c:pt idx="4290">
                  <c:v>170.18861178213481</c:v>
                </c:pt>
                <c:pt idx="4291">
                  <c:v>170.21904997592924</c:v>
                </c:pt>
                <c:pt idx="4292">
                  <c:v>170.24949361358759</c:v>
                </c:pt>
                <c:pt idx="4293">
                  <c:v>170.27994269608348</c:v>
                </c:pt>
                <c:pt idx="4294">
                  <c:v>170.31039722439073</c:v>
                </c:pt>
                <c:pt idx="4295">
                  <c:v>170.34085719948328</c:v>
                </c:pt>
                <c:pt idx="4296">
                  <c:v>170.37132262233533</c:v>
                </c:pt>
                <c:pt idx="4297">
                  <c:v>170.40179349392125</c:v>
                </c:pt>
                <c:pt idx="4298">
                  <c:v>170.43226981521542</c:v>
                </c:pt>
                <c:pt idx="4299">
                  <c:v>170.46275158719249</c:v>
                </c:pt>
                <c:pt idx="4300">
                  <c:v>170.49323881082756</c:v>
                </c:pt>
                <c:pt idx="4301">
                  <c:v>170.52373148709552</c:v>
                </c:pt>
                <c:pt idx="4302">
                  <c:v>170.55422961697155</c:v>
                </c:pt>
                <c:pt idx="4303">
                  <c:v>170.58473320143105</c:v>
                </c:pt>
                <c:pt idx="4304">
                  <c:v>170.61524224144958</c:v>
                </c:pt>
                <c:pt idx="4305">
                  <c:v>170.64575673800283</c:v>
                </c:pt>
                <c:pt idx="4306">
                  <c:v>170.67627669206672</c:v>
                </c:pt>
                <c:pt idx="4307">
                  <c:v>170.70680210461734</c:v>
                </c:pt>
                <c:pt idx="4308">
                  <c:v>170.73733297663077</c:v>
                </c:pt>
                <c:pt idx="4309">
                  <c:v>170.76786930908372</c:v>
                </c:pt>
                <c:pt idx="4310">
                  <c:v>170.79841110295268</c:v>
                </c:pt>
                <c:pt idx="4311">
                  <c:v>170.8289583592144</c:v>
                </c:pt>
                <c:pt idx="4312">
                  <c:v>170.8595110788458</c:v>
                </c:pt>
                <c:pt idx="4313">
                  <c:v>170.89006926282403</c:v>
                </c:pt>
                <c:pt idx="4314">
                  <c:v>170.92063291212642</c:v>
                </c:pt>
                <c:pt idx="4315">
                  <c:v>170.95120202773037</c:v>
                </c:pt>
                <c:pt idx="4316">
                  <c:v>170.98177661061357</c:v>
                </c:pt>
                <c:pt idx="4317">
                  <c:v>171.0123566617537</c:v>
                </c:pt>
                <c:pt idx="4318">
                  <c:v>171.04294218212905</c:v>
                </c:pt>
                <c:pt idx="4319">
                  <c:v>171.07353317271762</c:v>
                </c:pt>
                <c:pt idx="4320">
                  <c:v>171.10412963449778</c:v>
                </c:pt>
                <c:pt idx="4321">
                  <c:v>171.13473156844802</c:v>
                </c:pt>
                <c:pt idx="4322">
                  <c:v>171.16533897554709</c:v>
                </c:pt>
                <c:pt idx="4323">
                  <c:v>171.19595185677383</c:v>
                </c:pt>
                <c:pt idx="4324">
                  <c:v>171.22657021310727</c:v>
                </c:pt>
                <c:pt idx="4325">
                  <c:v>171.25719404552666</c:v>
                </c:pt>
                <c:pt idx="4326">
                  <c:v>171.2878233550112</c:v>
                </c:pt>
                <c:pt idx="4327">
                  <c:v>171.31845814254083</c:v>
                </c:pt>
                <c:pt idx="4328">
                  <c:v>171.34909840909509</c:v>
                </c:pt>
                <c:pt idx="4329">
                  <c:v>171.37974415565395</c:v>
                </c:pt>
                <c:pt idx="4330">
                  <c:v>171.41039538319748</c:v>
                </c:pt>
                <c:pt idx="4331">
                  <c:v>171.44105209270595</c:v>
                </c:pt>
                <c:pt idx="4332">
                  <c:v>171.47171428515981</c:v>
                </c:pt>
                <c:pt idx="4333">
                  <c:v>171.50238196153967</c:v>
                </c:pt>
                <c:pt idx="4334">
                  <c:v>171.53305512282637</c:v>
                </c:pt>
                <c:pt idx="4335">
                  <c:v>171.56373377000071</c:v>
                </c:pt>
                <c:pt idx="4336">
                  <c:v>171.59441790404415</c:v>
                </c:pt>
                <c:pt idx="4337">
                  <c:v>171.62510752593784</c:v>
                </c:pt>
                <c:pt idx="4338">
                  <c:v>171.65580263666331</c:v>
                </c:pt>
                <c:pt idx="4339">
                  <c:v>171.6865032372022</c:v>
                </c:pt>
                <c:pt idx="4340">
                  <c:v>171.7172093285364</c:v>
                </c:pt>
                <c:pt idx="4341">
                  <c:v>171.74792091164792</c:v>
                </c:pt>
                <c:pt idx="4342">
                  <c:v>171.77863798751898</c:v>
                </c:pt>
                <c:pt idx="4343">
                  <c:v>171.80936055713192</c:v>
                </c:pt>
                <c:pt idx="4344">
                  <c:v>171.84008862146916</c:v>
                </c:pt>
                <c:pt idx="4345">
                  <c:v>171.87082218151377</c:v>
                </c:pt>
                <c:pt idx="4346">
                  <c:v>171.90156123824849</c:v>
                </c:pt>
                <c:pt idx="4347">
                  <c:v>171.93230579265634</c:v>
                </c:pt>
                <c:pt idx="4348">
                  <c:v>171.96305584572065</c:v>
                </c:pt>
                <c:pt idx="4349">
                  <c:v>171.99381139842481</c:v>
                </c:pt>
                <c:pt idx="4350">
                  <c:v>172.02457245175245</c:v>
                </c:pt>
                <c:pt idx="4351">
                  <c:v>172.05533900668738</c:v>
                </c:pt>
                <c:pt idx="4352">
                  <c:v>172.08611106421353</c:v>
                </c:pt>
                <c:pt idx="4353">
                  <c:v>172.11688862531486</c:v>
                </c:pt>
                <c:pt idx="4354">
                  <c:v>172.14767169097601</c:v>
                </c:pt>
                <c:pt idx="4355">
                  <c:v>172.17846026218135</c:v>
                </c:pt>
                <c:pt idx="4356">
                  <c:v>172.2092543399155</c:v>
                </c:pt>
                <c:pt idx="4357">
                  <c:v>172.24005392516332</c:v>
                </c:pt>
                <c:pt idx="4358">
                  <c:v>172.27085901890985</c:v>
                </c:pt>
                <c:pt idx="4359">
                  <c:v>172.30166962214025</c:v>
                </c:pt>
                <c:pt idx="4360">
                  <c:v>172.3324857358399</c:v>
                </c:pt>
                <c:pt idx="4361">
                  <c:v>172.3633073609945</c:v>
                </c:pt>
                <c:pt idx="4362">
                  <c:v>172.3941344985893</c:v>
                </c:pt>
                <c:pt idx="4363">
                  <c:v>172.42496714961069</c:v>
                </c:pt>
                <c:pt idx="4364">
                  <c:v>172.45580531504456</c:v>
                </c:pt>
                <c:pt idx="4365">
                  <c:v>172.48664899587718</c:v>
                </c:pt>
                <c:pt idx="4366">
                  <c:v>172.51749819309498</c:v>
                </c:pt>
                <c:pt idx="4367">
                  <c:v>172.54835290768452</c:v>
                </c:pt>
                <c:pt idx="4368">
                  <c:v>172.57921314063267</c:v>
                </c:pt>
                <c:pt idx="4369">
                  <c:v>172.61007889292628</c:v>
                </c:pt>
                <c:pt idx="4370">
                  <c:v>172.64095016555257</c:v>
                </c:pt>
                <c:pt idx="4371">
                  <c:v>172.67182695949867</c:v>
                </c:pt>
                <c:pt idx="4372">
                  <c:v>172.70270927575237</c:v>
                </c:pt>
                <c:pt idx="4373">
                  <c:v>172.73359711530117</c:v>
                </c:pt>
                <c:pt idx="4374">
                  <c:v>172.76449047913292</c:v>
                </c:pt>
                <c:pt idx="4375">
                  <c:v>172.79538936823562</c:v>
                </c:pt>
                <c:pt idx="4376">
                  <c:v>172.82629378359749</c:v>
                </c:pt>
                <c:pt idx="4377">
                  <c:v>172.85720372620688</c:v>
                </c:pt>
                <c:pt idx="4378">
                  <c:v>172.88811919705236</c:v>
                </c:pt>
                <c:pt idx="4379">
                  <c:v>172.91904019712263</c:v>
                </c:pt>
                <c:pt idx="4380">
                  <c:v>172.9499667274066</c:v>
                </c:pt>
                <c:pt idx="4381">
                  <c:v>172.9808987888932</c:v>
                </c:pt>
                <c:pt idx="4382">
                  <c:v>173.011836382572</c:v>
                </c:pt>
                <c:pt idx="4383">
                  <c:v>173.04277950943222</c:v>
                </c:pt>
                <c:pt idx="4384">
                  <c:v>173.07372817046354</c:v>
                </c:pt>
                <c:pt idx="4385">
                  <c:v>173.10468236665574</c:v>
                </c:pt>
                <c:pt idx="4386">
                  <c:v>173.13564209899872</c:v>
                </c:pt>
                <c:pt idx="4387">
                  <c:v>173.16660736848266</c:v>
                </c:pt>
                <c:pt idx="4388">
                  <c:v>173.19757817609789</c:v>
                </c:pt>
                <c:pt idx="4389">
                  <c:v>173.22855452283488</c:v>
                </c:pt>
                <c:pt idx="4390">
                  <c:v>173.25953640968416</c:v>
                </c:pt>
                <c:pt idx="4391">
                  <c:v>173.29052383763687</c:v>
                </c:pt>
                <c:pt idx="4392">
                  <c:v>173.32151680768391</c:v>
                </c:pt>
                <c:pt idx="4393">
                  <c:v>173.35251532081645</c:v>
                </c:pt>
                <c:pt idx="4394">
                  <c:v>173.38351937802588</c:v>
                </c:pt>
                <c:pt idx="4395">
                  <c:v>173.41452898030377</c:v>
                </c:pt>
                <c:pt idx="4396">
                  <c:v>173.44554412864184</c:v>
                </c:pt>
                <c:pt idx="4397">
                  <c:v>173.47656482403201</c:v>
                </c:pt>
                <c:pt idx="4398">
                  <c:v>173.50759106746636</c:v>
                </c:pt>
                <c:pt idx="4399">
                  <c:v>173.53862285993699</c:v>
                </c:pt>
                <c:pt idx="4400">
                  <c:v>173.56966020243669</c:v>
                </c:pt>
                <c:pt idx="4401">
                  <c:v>173.6007030959579</c:v>
                </c:pt>
                <c:pt idx="4402">
                  <c:v>173.63175154149346</c:v>
                </c:pt>
                <c:pt idx="4403">
                  <c:v>173.66280554003626</c:v>
                </c:pt>
                <c:pt idx="4404">
                  <c:v>173.69386509257953</c:v>
                </c:pt>
                <c:pt idx="4405">
                  <c:v>173.72493020011657</c:v>
                </c:pt>
                <c:pt idx="4406">
                  <c:v>173.75600086364091</c:v>
                </c:pt>
                <c:pt idx="4407">
                  <c:v>173.7870770841462</c:v>
                </c:pt>
                <c:pt idx="4408">
                  <c:v>173.81815886262621</c:v>
                </c:pt>
                <c:pt idx="4409">
                  <c:v>173.84924620007524</c:v>
                </c:pt>
                <c:pt idx="4410">
                  <c:v>173.88033909748737</c:v>
                </c:pt>
                <c:pt idx="4411">
                  <c:v>173.91143755585696</c:v>
                </c:pt>
                <c:pt idx="4412">
                  <c:v>173.94254157617868</c:v>
                </c:pt>
                <c:pt idx="4413">
                  <c:v>173.9736511594472</c:v>
                </c:pt>
                <c:pt idx="4414">
                  <c:v>174.0047663066575</c:v>
                </c:pt>
                <c:pt idx="4415">
                  <c:v>174.03588701880469</c:v>
                </c:pt>
                <c:pt idx="4416">
                  <c:v>174.067013296884</c:v>
                </c:pt>
                <c:pt idx="4417">
                  <c:v>174.0981451418908</c:v>
                </c:pt>
                <c:pt idx="4418">
                  <c:v>174.129282554821</c:v>
                </c:pt>
                <c:pt idx="4419">
                  <c:v>174.16042553667032</c:v>
                </c:pt>
                <c:pt idx="4420">
                  <c:v>174.19157408843469</c:v>
                </c:pt>
                <c:pt idx="4421">
                  <c:v>174.22272821111036</c:v>
                </c:pt>
                <c:pt idx="4422">
                  <c:v>174.25388790569366</c:v>
                </c:pt>
                <c:pt idx="4423">
                  <c:v>174.2850531731811</c:v>
                </c:pt>
                <c:pt idx="4424">
                  <c:v>174.31622401456943</c:v>
                </c:pt>
                <c:pt idx="4425">
                  <c:v>174.34740043085552</c:v>
                </c:pt>
                <c:pt idx="4426">
                  <c:v>174.37858242303625</c:v>
                </c:pt>
                <c:pt idx="4427">
                  <c:v>174.40976999210923</c:v>
                </c:pt>
                <c:pt idx="4428">
                  <c:v>174.44096313907173</c:v>
                </c:pt>
                <c:pt idx="4429">
                  <c:v>174.47216186492133</c:v>
                </c:pt>
                <c:pt idx="4430">
                  <c:v>174.50336617065582</c:v>
                </c:pt>
                <c:pt idx="4431">
                  <c:v>174.53457605727317</c:v>
                </c:pt>
                <c:pt idx="4432">
                  <c:v>174.56579152577149</c:v>
                </c:pt>
                <c:pt idx="4433">
                  <c:v>174.59701257714914</c:v>
                </c:pt>
                <c:pt idx="4434">
                  <c:v>174.62823921240459</c:v>
                </c:pt>
                <c:pt idx="4435">
                  <c:v>174.65947143253638</c:v>
                </c:pt>
                <c:pt idx="4436">
                  <c:v>174.69070923854366</c:v>
                </c:pt>
                <c:pt idx="4437">
                  <c:v>174.7219526314253</c:v>
                </c:pt>
                <c:pt idx="4438">
                  <c:v>174.7532016121805</c:v>
                </c:pt>
                <c:pt idx="4439">
                  <c:v>174.78445618180871</c:v>
                </c:pt>
                <c:pt idx="4440">
                  <c:v>174.81571634130941</c:v>
                </c:pt>
                <c:pt idx="4441">
                  <c:v>174.84698209168243</c:v>
                </c:pt>
                <c:pt idx="4442">
                  <c:v>174.87825343392765</c:v>
                </c:pt>
                <c:pt idx="4443">
                  <c:v>174.9095303690452</c:v>
                </c:pt>
                <c:pt idx="4444">
                  <c:v>174.94081289803518</c:v>
                </c:pt>
                <c:pt idx="4445">
                  <c:v>174.9721010218984</c:v>
                </c:pt>
                <c:pt idx="4446">
                  <c:v>175.0033947416353</c:v>
                </c:pt>
                <c:pt idx="4447">
                  <c:v>175.03469405824674</c:v>
                </c:pt>
                <c:pt idx="4448">
                  <c:v>175.06599897273369</c:v>
                </c:pt>
                <c:pt idx="4449">
                  <c:v>175.09730948609737</c:v>
                </c:pt>
                <c:pt idx="4450">
                  <c:v>175.1286255993391</c:v>
                </c:pt>
                <c:pt idx="4451">
                  <c:v>175.15994731346044</c:v>
                </c:pt>
                <c:pt idx="4452">
                  <c:v>175.19127462946307</c:v>
                </c:pt>
                <c:pt idx="4453">
                  <c:v>175.22260754834878</c:v>
                </c:pt>
                <c:pt idx="4454">
                  <c:v>175.25394607111988</c:v>
                </c:pt>
                <c:pt idx="4455">
                  <c:v>175.28529019877857</c:v>
                </c:pt>
                <c:pt idx="4456">
                  <c:v>175.31663993232723</c:v>
                </c:pt>
                <c:pt idx="4457">
                  <c:v>175.34799527276846</c:v>
                </c:pt>
                <c:pt idx="4458">
                  <c:v>175.37935622110504</c:v>
                </c:pt>
                <c:pt idx="4459">
                  <c:v>175.41072277834002</c:v>
                </c:pt>
                <c:pt idx="4460">
                  <c:v>175.44209494547644</c:v>
                </c:pt>
                <c:pt idx="4461">
                  <c:v>175.47347272351774</c:v>
                </c:pt>
                <c:pt idx="4462">
                  <c:v>175.50485611346718</c:v>
                </c:pt>
                <c:pt idx="4463">
                  <c:v>175.53624511632881</c:v>
                </c:pt>
                <c:pt idx="4464">
                  <c:v>175.56763973310632</c:v>
                </c:pt>
                <c:pt idx="4465">
                  <c:v>175.59903996480378</c:v>
                </c:pt>
                <c:pt idx="4466">
                  <c:v>175.63044581242539</c:v>
                </c:pt>
                <c:pt idx="4467">
                  <c:v>175.66185727697561</c:v>
                </c:pt>
                <c:pt idx="4468">
                  <c:v>175.69327435945897</c:v>
                </c:pt>
                <c:pt idx="4469">
                  <c:v>175.72469706088023</c:v>
                </c:pt>
                <c:pt idx="4470">
                  <c:v>175.75612538224439</c:v>
                </c:pt>
                <c:pt idx="4471">
                  <c:v>175.78755932455638</c:v>
                </c:pt>
                <c:pt idx="4472">
                  <c:v>175.81899888882182</c:v>
                </c:pt>
                <c:pt idx="4473">
                  <c:v>175.85044407604607</c:v>
                </c:pt>
                <c:pt idx="4474">
                  <c:v>175.88189488723472</c:v>
                </c:pt>
                <c:pt idx="4475">
                  <c:v>175.9133513233937</c:v>
                </c:pt>
                <c:pt idx="4476">
                  <c:v>175.94481338552902</c:v>
                </c:pt>
                <c:pt idx="4477">
                  <c:v>175.97628107464686</c:v>
                </c:pt>
                <c:pt idx="4478">
                  <c:v>176.00775439175356</c:v>
                </c:pt>
                <c:pt idx="4479">
                  <c:v>176.03923333785579</c:v>
                </c:pt>
                <c:pt idx="4480">
                  <c:v>176.07071791396004</c:v>
                </c:pt>
                <c:pt idx="4481">
                  <c:v>176.10220812107363</c:v>
                </c:pt>
                <c:pt idx="4482">
                  <c:v>176.13370396020343</c:v>
                </c:pt>
                <c:pt idx="4483">
                  <c:v>176.1652054323568</c:v>
                </c:pt>
                <c:pt idx="4484">
                  <c:v>176.19671253854114</c:v>
                </c:pt>
                <c:pt idx="4485">
                  <c:v>176.22822527976413</c:v>
                </c:pt>
                <c:pt idx="4486">
                  <c:v>176.2597436570336</c:v>
                </c:pt>
                <c:pt idx="4487">
                  <c:v>176.29126767135753</c:v>
                </c:pt>
                <c:pt idx="4488">
                  <c:v>176.32279732374411</c:v>
                </c:pt>
                <c:pt idx="4489">
                  <c:v>176.35433261520157</c:v>
                </c:pt>
                <c:pt idx="4490">
                  <c:v>176.38587354673876</c:v>
                </c:pt>
                <c:pt idx="4491">
                  <c:v>176.41742011936424</c:v>
                </c:pt>
                <c:pt idx="4492">
                  <c:v>176.44897233408693</c:v>
                </c:pt>
                <c:pt idx="4493">
                  <c:v>176.48053019191596</c:v>
                </c:pt>
                <c:pt idx="4494">
                  <c:v>176.51209369386049</c:v>
                </c:pt>
                <c:pt idx="4495">
                  <c:v>176.54366284093004</c:v>
                </c:pt>
                <c:pt idx="4496">
                  <c:v>176.57523763413425</c:v>
                </c:pt>
                <c:pt idx="4497">
                  <c:v>176.60681807448293</c:v>
                </c:pt>
                <c:pt idx="4498">
                  <c:v>176.63840416298586</c:v>
                </c:pt>
                <c:pt idx="4499">
                  <c:v>176.66999590065356</c:v>
                </c:pt>
                <c:pt idx="4500">
                  <c:v>176.70159328849624</c:v>
                </c:pt>
                <c:pt idx="4501">
                  <c:v>176.73319632752441</c:v>
                </c:pt>
                <c:pt idx="4502">
                  <c:v>176.7648050187488</c:v>
                </c:pt>
                <c:pt idx="4503">
                  <c:v>176.79641936318026</c:v>
                </c:pt>
                <c:pt idx="4504">
                  <c:v>176.82803936182992</c:v>
                </c:pt>
                <c:pt idx="4505">
                  <c:v>176.859665015709</c:v>
                </c:pt>
                <c:pt idx="4506">
                  <c:v>176.89129632582899</c:v>
                </c:pt>
                <c:pt idx="4507">
                  <c:v>176.92293329320145</c:v>
                </c:pt>
                <c:pt idx="4508">
                  <c:v>176.954575918838</c:v>
                </c:pt>
                <c:pt idx="4509">
                  <c:v>176.98622420375102</c:v>
                </c:pt>
                <c:pt idx="4510">
                  <c:v>177.01787814895246</c:v>
                </c:pt>
                <c:pt idx="4511">
                  <c:v>177.04953775545465</c:v>
                </c:pt>
                <c:pt idx="4512">
                  <c:v>177.08120302427014</c:v>
                </c:pt>
                <c:pt idx="4513">
                  <c:v>177.11287395641162</c:v>
                </c:pt>
                <c:pt idx="4514">
                  <c:v>177.14455055289196</c:v>
                </c:pt>
                <c:pt idx="4515">
                  <c:v>177.17623281472427</c:v>
                </c:pt>
                <c:pt idx="4516">
                  <c:v>177.20792074292174</c:v>
                </c:pt>
                <c:pt idx="4517">
                  <c:v>177.23961433849772</c:v>
                </c:pt>
                <c:pt idx="4518">
                  <c:v>177.27131360246602</c:v>
                </c:pt>
                <c:pt idx="4519">
                  <c:v>177.30301853584038</c:v>
                </c:pt>
                <c:pt idx="4520">
                  <c:v>177.33472913963487</c:v>
                </c:pt>
                <c:pt idx="4521">
                  <c:v>177.36644541486336</c:v>
                </c:pt>
                <c:pt idx="4522">
                  <c:v>177.39816736254033</c:v>
                </c:pt>
                <c:pt idx="4523">
                  <c:v>177.42989498368027</c:v>
                </c:pt>
                <c:pt idx="4524">
                  <c:v>177.46162827929794</c:v>
                </c:pt>
                <c:pt idx="4525">
                  <c:v>177.49336725040814</c:v>
                </c:pt>
                <c:pt idx="4526">
                  <c:v>177.52511189802584</c:v>
                </c:pt>
                <c:pt idx="4527">
                  <c:v>177.55686222316655</c:v>
                </c:pt>
                <c:pt idx="4528">
                  <c:v>177.58861822684557</c:v>
                </c:pt>
                <c:pt idx="4529">
                  <c:v>177.6203799100785</c:v>
                </c:pt>
                <c:pt idx="4530">
                  <c:v>177.65214727388113</c:v>
                </c:pt>
                <c:pt idx="4531">
                  <c:v>177.68392031926939</c:v>
                </c:pt>
                <c:pt idx="4532">
                  <c:v>177.71569904725945</c:v>
                </c:pt>
                <c:pt idx="4533">
                  <c:v>177.74748345886766</c:v>
                </c:pt>
                <c:pt idx="4534">
                  <c:v>177.77927355511051</c:v>
                </c:pt>
                <c:pt idx="4535">
                  <c:v>177.8110693370046</c:v>
                </c:pt>
                <c:pt idx="4536">
                  <c:v>177.84287080556703</c:v>
                </c:pt>
                <c:pt idx="4537">
                  <c:v>177.87467796181477</c:v>
                </c:pt>
                <c:pt idx="4538">
                  <c:v>177.90649080676502</c:v>
                </c:pt>
                <c:pt idx="4539">
                  <c:v>177.93830934143523</c:v>
                </c:pt>
                <c:pt idx="4540">
                  <c:v>177.97013356684297</c:v>
                </c:pt>
                <c:pt idx="4541">
                  <c:v>178.0019634840061</c:v>
                </c:pt>
                <c:pt idx="4542">
                  <c:v>178.03379909394249</c:v>
                </c:pt>
                <c:pt idx="4543">
                  <c:v>178.06564039767036</c:v>
                </c:pt>
                <c:pt idx="4544">
                  <c:v>178.0974873962079</c:v>
                </c:pt>
                <c:pt idx="4545">
                  <c:v>178.12934009057389</c:v>
                </c:pt>
                <c:pt idx="4546">
                  <c:v>178.16119848178687</c:v>
                </c:pt>
                <c:pt idx="4547">
                  <c:v>178.19306257086575</c:v>
                </c:pt>
                <c:pt idx="4548">
                  <c:v>178.22493235882959</c:v>
                </c:pt>
                <c:pt idx="4549">
                  <c:v>178.25680784669763</c:v>
                </c:pt>
                <c:pt idx="4550">
                  <c:v>178.28868903548926</c:v>
                </c:pt>
                <c:pt idx="4551">
                  <c:v>178.32057592622417</c:v>
                </c:pt>
                <c:pt idx="4552">
                  <c:v>178.35246851992204</c:v>
                </c:pt>
                <c:pt idx="4553">
                  <c:v>178.38436681760277</c:v>
                </c:pt>
                <c:pt idx="4554">
                  <c:v>178.41627082028683</c:v>
                </c:pt>
                <c:pt idx="4555">
                  <c:v>178.44818052899438</c:v>
                </c:pt>
                <c:pt idx="4556">
                  <c:v>178.48009594474593</c:v>
                </c:pt>
                <c:pt idx="4557">
                  <c:v>178.51201706856219</c:v>
                </c:pt>
                <c:pt idx="4558">
                  <c:v>178.54394390146405</c:v>
                </c:pt>
                <c:pt idx="4559">
                  <c:v>178.57587644447258</c:v>
                </c:pt>
                <c:pt idx="4560">
                  <c:v>178.60781469860905</c:v>
                </c:pt>
                <c:pt idx="4561">
                  <c:v>178.63975866489486</c:v>
                </c:pt>
                <c:pt idx="4562">
                  <c:v>178.67170834435146</c:v>
                </c:pt>
                <c:pt idx="4563">
                  <c:v>178.70366373800101</c:v>
                </c:pt>
                <c:pt idx="4564">
                  <c:v>178.73562484686531</c:v>
                </c:pt>
                <c:pt idx="4565">
                  <c:v>178.76759167196653</c:v>
                </c:pt>
                <c:pt idx="4566">
                  <c:v>178.79956421432701</c:v>
                </c:pt>
                <c:pt idx="4567">
                  <c:v>178.83154247496927</c:v>
                </c:pt>
                <c:pt idx="4568">
                  <c:v>178.86352645491607</c:v>
                </c:pt>
                <c:pt idx="4569">
                  <c:v>178.89551615519025</c:v>
                </c:pt>
                <c:pt idx="4570">
                  <c:v>178.92751157681494</c:v>
                </c:pt>
                <c:pt idx="4571">
                  <c:v>178.95951272081317</c:v>
                </c:pt>
                <c:pt idx="4572">
                  <c:v>178.9915195882088</c:v>
                </c:pt>
                <c:pt idx="4573">
                  <c:v>179.02353218002523</c:v>
                </c:pt>
                <c:pt idx="4574">
                  <c:v>179.05555049728628</c:v>
                </c:pt>
                <c:pt idx="4575">
                  <c:v>179.08757454101598</c:v>
                </c:pt>
                <c:pt idx="4576">
                  <c:v>179.11960431223844</c:v>
                </c:pt>
                <c:pt idx="4577">
                  <c:v>179.1516398119781</c:v>
                </c:pt>
                <c:pt idx="4578">
                  <c:v>179.18368104125946</c:v>
                </c:pt>
                <c:pt idx="4579">
                  <c:v>179.21572800110724</c:v>
                </c:pt>
                <c:pt idx="4580">
                  <c:v>179.24778069254626</c:v>
                </c:pt>
                <c:pt idx="4581">
                  <c:v>179.27983911660183</c:v>
                </c:pt>
                <c:pt idx="4582">
                  <c:v>179.31190327429914</c:v>
                </c:pt>
                <c:pt idx="4583">
                  <c:v>179.34397316666357</c:v>
                </c:pt>
                <c:pt idx="4584">
                  <c:v>179.3760487947209</c:v>
                </c:pt>
                <c:pt idx="4585">
                  <c:v>179.40813015949684</c:v>
                </c:pt>
                <c:pt idx="4586">
                  <c:v>179.44021726201743</c:v>
                </c:pt>
                <c:pt idx="4587">
                  <c:v>179.4723101033089</c:v>
                </c:pt>
                <c:pt idx="4588">
                  <c:v>179.50440868439753</c:v>
                </c:pt>
                <c:pt idx="4589">
                  <c:v>179.53651300631003</c:v>
                </c:pt>
                <c:pt idx="4590">
                  <c:v>179.56862307007287</c:v>
                </c:pt>
                <c:pt idx="4591">
                  <c:v>179.60073887671339</c:v>
                </c:pt>
                <c:pt idx="4592">
                  <c:v>179.63286042725841</c:v>
                </c:pt>
                <c:pt idx="4593">
                  <c:v>179.66498772273536</c:v>
                </c:pt>
                <c:pt idx="4594">
                  <c:v>179.69712076417164</c:v>
                </c:pt>
                <c:pt idx="4595">
                  <c:v>179.72925955259495</c:v>
                </c:pt>
                <c:pt idx="4596">
                  <c:v>179.76140408903311</c:v>
                </c:pt>
                <c:pt idx="4597">
                  <c:v>179.79355437451417</c:v>
                </c:pt>
                <c:pt idx="4598">
                  <c:v>179.82571041006636</c:v>
                </c:pt>
                <c:pt idx="4599">
                  <c:v>179.85787219671786</c:v>
                </c:pt>
                <c:pt idx="4600">
                  <c:v>179.89003973549768</c:v>
                </c:pt>
                <c:pt idx="4601">
                  <c:v>179.92221302743431</c:v>
                </c:pt>
                <c:pt idx="4602">
                  <c:v>179.95439207355676</c:v>
                </c:pt>
                <c:pt idx="4603">
                  <c:v>179.98657687489415</c:v>
                </c:pt>
                <c:pt idx="4604">
                  <c:v>180.01876743247578</c:v>
                </c:pt>
                <c:pt idx="4605">
                  <c:v>180.05096374733122</c:v>
                </c:pt>
                <c:pt idx="4606">
                  <c:v>180.08316582049008</c:v>
                </c:pt>
                <c:pt idx="4607">
                  <c:v>180.1153736529823</c:v>
                </c:pt>
                <c:pt idx="4608">
                  <c:v>180.14758724583774</c:v>
                </c:pt>
                <c:pt idx="4609">
                  <c:v>180.17980660008692</c:v>
                </c:pt>
                <c:pt idx="4610">
                  <c:v>180.21203171676015</c:v>
                </c:pt>
                <c:pt idx="4611">
                  <c:v>180.24426259688806</c:v>
                </c:pt>
                <c:pt idx="4612">
                  <c:v>180.2764992415014</c:v>
                </c:pt>
                <c:pt idx="4613">
                  <c:v>180.30874165163118</c:v>
                </c:pt>
                <c:pt idx="4614">
                  <c:v>180.34098982830852</c:v>
                </c:pt>
                <c:pt idx="4615">
                  <c:v>180.37324377256479</c:v>
                </c:pt>
                <c:pt idx="4616">
                  <c:v>180.40550348543155</c:v>
                </c:pt>
                <c:pt idx="4617">
                  <c:v>180.43776896794029</c:v>
                </c:pt>
                <c:pt idx="4618">
                  <c:v>180.47004022112327</c:v>
                </c:pt>
                <c:pt idx="4619">
                  <c:v>180.50231724601238</c:v>
                </c:pt>
                <c:pt idx="4620">
                  <c:v>180.53460004363995</c:v>
                </c:pt>
                <c:pt idx="4621">
                  <c:v>180.56688861503841</c:v>
                </c:pt>
                <c:pt idx="4622">
                  <c:v>180.59918296124039</c:v>
                </c:pt>
                <c:pt idx="4623">
                  <c:v>180.63148308327865</c:v>
                </c:pt>
                <c:pt idx="4624">
                  <c:v>180.6637889821863</c:v>
                </c:pt>
                <c:pt idx="4625">
                  <c:v>180.69610065899647</c:v>
                </c:pt>
                <c:pt idx="4626">
                  <c:v>180.7284181147424</c:v>
                </c:pt>
                <c:pt idx="4627">
                  <c:v>180.76074135045798</c:v>
                </c:pt>
                <c:pt idx="4628">
                  <c:v>180.79307036717674</c:v>
                </c:pt>
                <c:pt idx="4629">
                  <c:v>180.82540516593266</c:v>
                </c:pt>
                <c:pt idx="4630">
                  <c:v>180.85774574775988</c:v>
                </c:pt>
                <c:pt idx="4631">
                  <c:v>180.89009211369265</c:v>
                </c:pt>
                <c:pt idx="4632">
                  <c:v>180.92244426476549</c:v>
                </c:pt>
                <c:pt idx="4633">
                  <c:v>180.95480220201301</c:v>
                </c:pt>
                <c:pt idx="4634">
                  <c:v>180.98716592647017</c:v>
                </c:pt>
                <c:pt idx="4635">
                  <c:v>181.01953543917176</c:v>
                </c:pt>
                <c:pt idx="4636">
                  <c:v>181.05191074115334</c:v>
                </c:pt>
                <c:pt idx="4637">
                  <c:v>181.08429183345021</c:v>
                </c:pt>
                <c:pt idx="4638">
                  <c:v>181.1166787170979</c:v>
                </c:pt>
                <c:pt idx="4639">
                  <c:v>181.14907139313226</c:v>
                </c:pt>
                <c:pt idx="4640">
                  <c:v>181.18146986258921</c:v>
                </c:pt>
                <c:pt idx="4641">
                  <c:v>181.21387412650495</c:v>
                </c:pt>
                <c:pt idx="4642">
                  <c:v>181.24628418591578</c:v>
                </c:pt>
                <c:pt idx="4643">
                  <c:v>181.27870004185823</c:v>
                </c:pt>
                <c:pt idx="4644">
                  <c:v>181.31112169536877</c:v>
                </c:pt>
                <c:pt idx="4645">
                  <c:v>181.34354914748477</c:v>
                </c:pt>
                <c:pt idx="4646">
                  <c:v>181.37598239924304</c:v>
                </c:pt>
                <c:pt idx="4647">
                  <c:v>181.40842145168088</c:v>
                </c:pt>
                <c:pt idx="4648">
                  <c:v>181.44086630583573</c:v>
                </c:pt>
                <c:pt idx="4649">
                  <c:v>181.47331696274526</c:v>
                </c:pt>
                <c:pt idx="4650">
                  <c:v>181.50577342344724</c:v>
                </c:pt>
                <c:pt idx="4651">
                  <c:v>181.53823568897971</c:v>
                </c:pt>
                <c:pt idx="4652">
                  <c:v>181.57070376038084</c:v>
                </c:pt>
                <c:pt idx="4653">
                  <c:v>181.60317763868883</c:v>
                </c:pt>
                <c:pt idx="4654">
                  <c:v>181.63565732494263</c:v>
                </c:pt>
                <c:pt idx="4655">
                  <c:v>181.66814282018075</c:v>
                </c:pt>
                <c:pt idx="4656">
                  <c:v>181.70063412544221</c:v>
                </c:pt>
                <c:pt idx="4657">
                  <c:v>181.73313124176607</c:v>
                </c:pt>
                <c:pt idx="4658">
                  <c:v>181.76563417019167</c:v>
                </c:pt>
                <c:pt idx="4659">
                  <c:v>181.79814291175848</c:v>
                </c:pt>
                <c:pt idx="4660">
                  <c:v>181.83065746750623</c:v>
                </c:pt>
                <c:pt idx="4661">
                  <c:v>181.86317783847468</c:v>
                </c:pt>
                <c:pt idx="4662">
                  <c:v>181.89570402570382</c:v>
                </c:pt>
                <c:pt idx="4663">
                  <c:v>181.92823603023419</c:v>
                </c:pt>
                <c:pt idx="4664">
                  <c:v>181.96077385310602</c:v>
                </c:pt>
                <c:pt idx="4665">
                  <c:v>181.99331749535989</c:v>
                </c:pt>
                <c:pt idx="4666">
                  <c:v>182.02586695803669</c:v>
                </c:pt>
                <c:pt idx="4667">
                  <c:v>182.0584222421773</c:v>
                </c:pt>
                <c:pt idx="4668">
                  <c:v>182.09098334882299</c:v>
                </c:pt>
                <c:pt idx="4669">
                  <c:v>182.12355027901503</c:v>
                </c:pt>
                <c:pt idx="4670">
                  <c:v>182.15612303379501</c:v>
                </c:pt>
                <c:pt idx="4671">
                  <c:v>182.18870161420446</c:v>
                </c:pt>
                <c:pt idx="4672">
                  <c:v>182.22128602128564</c:v>
                </c:pt>
                <c:pt idx="4673">
                  <c:v>182.25387625608047</c:v>
                </c:pt>
                <c:pt idx="4674">
                  <c:v>182.28647231963123</c:v>
                </c:pt>
                <c:pt idx="4675">
                  <c:v>182.31907421298047</c:v>
                </c:pt>
                <c:pt idx="4676">
                  <c:v>182.3516819371707</c:v>
                </c:pt>
                <c:pt idx="4677">
                  <c:v>182.38429549324491</c:v>
                </c:pt>
                <c:pt idx="4678">
                  <c:v>182.41691488224603</c:v>
                </c:pt>
                <c:pt idx="4679">
                  <c:v>182.44954010521732</c:v>
                </c:pt>
                <c:pt idx="4680">
                  <c:v>182.48217116320237</c:v>
                </c:pt>
                <c:pt idx="4681">
                  <c:v>182.51480805724427</c:v>
                </c:pt>
                <c:pt idx="4682">
                  <c:v>182.54745078838724</c:v>
                </c:pt>
                <c:pt idx="4683">
                  <c:v>182.5800993576751</c:v>
                </c:pt>
                <c:pt idx="4684">
                  <c:v>182.61275376615205</c:v>
                </c:pt>
                <c:pt idx="4685">
                  <c:v>182.64541401486235</c:v>
                </c:pt>
                <c:pt idx="4686">
                  <c:v>182.67808010485061</c:v>
                </c:pt>
                <c:pt idx="4687">
                  <c:v>182.71075203716146</c:v>
                </c:pt>
                <c:pt idx="4688">
                  <c:v>182.74342981283985</c:v>
                </c:pt>
                <c:pt idx="4689">
                  <c:v>182.77611343293088</c:v>
                </c:pt>
                <c:pt idx="4690">
                  <c:v>182.8088028984796</c:v>
                </c:pt>
                <c:pt idx="4691">
                  <c:v>182.84149821053182</c:v>
                </c:pt>
                <c:pt idx="4692">
                  <c:v>182.87419937013303</c:v>
                </c:pt>
                <c:pt idx="4693">
                  <c:v>182.9069063783291</c:v>
                </c:pt>
                <c:pt idx="4694">
                  <c:v>182.93961923616598</c:v>
                </c:pt>
                <c:pt idx="4695">
                  <c:v>182.97233794468985</c:v>
                </c:pt>
                <c:pt idx="4696">
                  <c:v>183.00506250494723</c:v>
                </c:pt>
                <c:pt idx="4697">
                  <c:v>183.03779291798463</c:v>
                </c:pt>
                <c:pt idx="4698">
                  <c:v>183.07052918484879</c:v>
                </c:pt>
                <c:pt idx="4699">
                  <c:v>183.10327130658655</c:v>
                </c:pt>
                <c:pt idx="4700">
                  <c:v>183.13601928424538</c:v>
                </c:pt>
                <c:pt idx="4701">
                  <c:v>183.16877311887237</c:v>
                </c:pt>
                <c:pt idx="4702">
                  <c:v>183.20153281151516</c:v>
                </c:pt>
                <c:pt idx="4703">
                  <c:v>183.23429836322137</c:v>
                </c:pt>
                <c:pt idx="4704">
                  <c:v>183.26706977503889</c:v>
                </c:pt>
                <c:pt idx="4705">
                  <c:v>183.29984704801586</c:v>
                </c:pt>
                <c:pt idx="4706">
                  <c:v>183.33263018320045</c:v>
                </c:pt>
                <c:pt idx="4707">
                  <c:v>183.36541918164122</c:v>
                </c:pt>
                <c:pt idx="4708">
                  <c:v>183.39821404438661</c:v>
                </c:pt>
                <c:pt idx="4709">
                  <c:v>183.43101477248575</c:v>
                </c:pt>
                <c:pt idx="4710">
                  <c:v>183.4638213669875</c:v>
                </c:pt>
                <c:pt idx="4711">
                  <c:v>183.49663382894107</c:v>
                </c:pt>
                <c:pt idx="4712">
                  <c:v>183.52945215939593</c:v>
                </c:pt>
                <c:pt idx="4713">
                  <c:v>183.56227635940152</c:v>
                </c:pt>
                <c:pt idx="4714">
                  <c:v>183.59510643000772</c:v>
                </c:pt>
                <c:pt idx="4715">
                  <c:v>183.62794237226441</c:v>
                </c:pt>
                <c:pt idx="4716">
                  <c:v>183.66078418722176</c:v>
                </c:pt>
                <c:pt idx="4717">
                  <c:v>183.69363187592995</c:v>
                </c:pt>
                <c:pt idx="4718">
                  <c:v>183.72648543943987</c:v>
                </c:pt>
                <c:pt idx="4719">
                  <c:v>183.75934487880195</c:v>
                </c:pt>
                <c:pt idx="4720">
                  <c:v>183.79221019506716</c:v>
                </c:pt>
                <c:pt idx="4721">
                  <c:v>183.82508138928659</c:v>
                </c:pt>
                <c:pt idx="4722">
                  <c:v>183.8579584625115</c:v>
                </c:pt>
                <c:pt idx="4723">
                  <c:v>183.89084141579332</c:v>
                </c:pt>
                <c:pt idx="4724">
                  <c:v>183.92373025018372</c:v>
                </c:pt>
                <c:pt idx="4725">
                  <c:v>183.95662496673458</c:v>
                </c:pt>
                <c:pt idx="4726">
                  <c:v>183.98952556649766</c:v>
                </c:pt>
                <c:pt idx="4727">
                  <c:v>184.02243205052557</c:v>
                </c:pt>
                <c:pt idx="4728">
                  <c:v>184.05534441987049</c:v>
                </c:pt>
                <c:pt idx="4729">
                  <c:v>184.08826267558507</c:v>
                </c:pt>
                <c:pt idx="4730">
                  <c:v>184.12118681872204</c:v>
                </c:pt>
                <c:pt idx="4731">
                  <c:v>184.15411685033439</c:v>
                </c:pt>
                <c:pt idx="4732">
                  <c:v>184.18705277147529</c:v>
                </c:pt>
                <c:pt idx="4733">
                  <c:v>184.21999458319803</c:v>
                </c:pt>
                <c:pt idx="4734">
                  <c:v>184.25294228655619</c:v>
                </c:pt>
                <c:pt idx="4735">
                  <c:v>184.28589588260331</c:v>
                </c:pt>
                <c:pt idx="4736">
                  <c:v>184.31885537239359</c:v>
                </c:pt>
                <c:pt idx="4737">
                  <c:v>184.351820756981</c:v>
                </c:pt>
                <c:pt idx="4738">
                  <c:v>184.38479203741977</c:v>
                </c:pt>
                <c:pt idx="4739">
                  <c:v>184.41776921476446</c:v>
                </c:pt>
                <c:pt idx="4740">
                  <c:v>184.45075229006963</c:v>
                </c:pt>
                <c:pt idx="4741">
                  <c:v>184.4837412643902</c:v>
                </c:pt>
                <c:pt idx="4742">
                  <c:v>184.5167361387812</c:v>
                </c:pt>
                <c:pt idx="4743">
                  <c:v>184.54973691429782</c:v>
                </c:pt>
                <c:pt idx="4744">
                  <c:v>184.58274359199535</c:v>
                </c:pt>
                <c:pt idx="4745">
                  <c:v>184.61575617292971</c:v>
                </c:pt>
                <c:pt idx="4746">
                  <c:v>184.6487746581565</c:v>
                </c:pt>
                <c:pt idx="4747">
                  <c:v>184.6817990487317</c:v>
                </c:pt>
                <c:pt idx="4748">
                  <c:v>184.71482934571156</c:v>
                </c:pt>
                <c:pt idx="4749">
                  <c:v>184.74786555015234</c:v>
                </c:pt>
                <c:pt idx="4750">
                  <c:v>184.78090766311067</c:v>
                </c:pt>
                <c:pt idx="4751">
                  <c:v>184.81395568564324</c:v>
                </c:pt>
                <c:pt idx="4752">
                  <c:v>184.84700961880696</c:v>
                </c:pt>
                <c:pt idx="4753">
                  <c:v>184.8800694636588</c:v>
                </c:pt>
                <c:pt idx="4754">
                  <c:v>184.91313522125643</c:v>
                </c:pt>
                <c:pt idx="4755">
                  <c:v>184.94620689265716</c:v>
                </c:pt>
                <c:pt idx="4756">
                  <c:v>184.97928447891863</c:v>
                </c:pt>
                <c:pt idx="4757">
                  <c:v>185.01236798109872</c:v>
                </c:pt>
                <c:pt idx="4758">
                  <c:v>185.04545740025557</c:v>
                </c:pt>
                <c:pt idx="4759">
                  <c:v>185.07855273744732</c:v>
                </c:pt>
                <c:pt idx="4760">
                  <c:v>185.11165399373249</c:v>
                </c:pt>
                <c:pt idx="4761">
                  <c:v>185.14476117016966</c:v>
                </c:pt>
                <c:pt idx="4762">
                  <c:v>185.17787426781751</c:v>
                </c:pt>
                <c:pt idx="4763">
                  <c:v>185.21099328773536</c:v>
                </c:pt>
                <c:pt idx="4764">
                  <c:v>185.24411823098228</c:v>
                </c:pt>
                <c:pt idx="4765">
                  <c:v>185.2772490986176</c:v>
                </c:pt>
                <c:pt idx="4766">
                  <c:v>185.31038589170092</c:v>
                </c:pt>
                <c:pt idx="4767">
                  <c:v>185.34352861129202</c:v>
                </c:pt>
                <c:pt idx="4768">
                  <c:v>185.37667725845085</c:v>
                </c:pt>
                <c:pt idx="4769">
                  <c:v>185.40983183423754</c:v>
                </c:pt>
                <c:pt idx="4770">
                  <c:v>185.44299233971239</c:v>
                </c:pt>
                <c:pt idx="4771">
                  <c:v>185.47615877593586</c:v>
                </c:pt>
                <c:pt idx="4772">
                  <c:v>185.50933114396886</c:v>
                </c:pt>
                <c:pt idx="4773">
                  <c:v>185.54250944487228</c:v>
                </c:pt>
                <c:pt idx="4774">
                  <c:v>185.57569367970706</c:v>
                </c:pt>
                <c:pt idx="4775">
                  <c:v>185.60888384953458</c:v>
                </c:pt>
                <c:pt idx="4776">
                  <c:v>185.64207995541631</c:v>
                </c:pt>
                <c:pt idx="4777">
                  <c:v>185.67528199841385</c:v>
                </c:pt>
                <c:pt idx="4778">
                  <c:v>185.70848997958913</c:v>
                </c:pt>
                <c:pt idx="4779">
                  <c:v>185.74170390000413</c:v>
                </c:pt>
                <c:pt idx="4780">
                  <c:v>185.77492376072092</c:v>
                </c:pt>
                <c:pt idx="4781">
                  <c:v>185.80814956280227</c:v>
                </c:pt>
                <c:pt idx="4782">
                  <c:v>185.84138130731066</c:v>
                </c:pt>
                <c:pt idx="4783">
                  <c:v>185.87461899530882</c:v>
                </c:pt>
                <c:pt idx="4784">
                  <c:v>185.9078626278598</c:v>
                </c:pt>
                <c:pt idx="4785">
                  <c:v>185.94111220602676</c:v>
                </c:pt>
                <c:pt idx="4786">
                  <c:v>185.9743677308731</c:v>
                </c:pt>
                <c:pt idx="4787">
                  <c:v>186.0076292034623</c:v>
                </c:pt>
                <c:pt idx="4788">
                  <c:v>186.04089662485819</c:v>
                </c:pt>
                <c:pt idx="4789">
                  <c:v>186.07416999612454</c:v>
                </c:pt>
                <c:pt idx="4790">
                  <c:v>186.10744931832579</c:v>
                </c:pt>
                <c:pt idx="4791">
                  <c:v>186.14073459252609</c:v>
                </c:pt>
                <c:pt idx="4792">
                  <c:v>186.17402581978999</c:v>
                </c:pt>
                <c:pt idx="4793">
                  <c:v>186.20732300118217</c:v>
                </c:pt>
                <c:pt idx="4794">
                  <c:v>186.24062613776752</c:v>
                </c:pt>
                <c:pt idx="4795">
                  <c:v>186.27393523061116</c:v>
                </c:pt>
                <c:pt idx="4796">
                  <c:v>186.30725028077831</c:v>
                </c:pt>
                <c:pt idx="4797">
                  <c:v>186.34057128933446</c:v>
                </c:pt>
                <c:pt idx="4798">
                  <c:v>186.3738982573453</c:v>
                </c:pt>
                <c:pt idx="4799">
                  <c:v>186.40723118587647</c:v>
                </c:pt>
                <c:pt idx="4800">
                  <c:v>186.44057007599434</c:v>
                </c:pt>
                <c:pt idx="4801">
                  <c:v>186.473914928765</c:v>
                </c:pt>
                <c:pt idx="4802">
                  <c:v>186.50726574525487</c:v>
                </c:pt>
                <c:pt idx="4803">
                  <c:v>186.54062252653051</c:v>
                </c:pt>
                <c:pt idx="4804">
                  <c:v>186.57398527365879</c:v>
                </c:pt>
                <c:pt idx="4805">
                  <c:v>186.60735398770663</c:v>
                </c:pt>
                <c:pt idx="4806">
                  <c:v>186.64072866974126</c:v>
                </c:pt>
                <c:pt idx="4807">
                  <c:v>186.67410932083007</c:v>
                </c:pt>
                <c:pt idx="4808">
                  <c:v>186.70749594204037</c:v>
                </c:pt>
                <c:pt idx="4809">
                  <c:v>186.74088853444033</c:v>
                </c:pt>
                <c:pt idx="4810">
                  <c:v>186.77428709909776</c:v>
                </c:pt>
                <c:pt idx="4811">
                  <c:v>186.80769163708067</c:v>
                </c:pt>
                <c:pt idx="4812">
                  <c:v>186.8411021494575</c:v>
                </c:pt>
                <c:pt idx="4813">
                  <c:v>186.87451863729672</c:v>
                </c:pt>
                <c:pt idx="4814">
                  <c:v>186.90794110166703</c:v>
                </c:pt>
                <c:pt idx="4815">
                  <c:v>186.94136954363736</c:v>
                </c:pt>
                <c:pt idx="4816">
                  <c:v>186.97480396427682</c:v>
                </c:pt>
                <c:pt idx="4817">
                  <c:v>187.00824436465447</c:v>
                </c:pt>
                <c:pt idx="4818">
                  <c:v>187.04169074584019</c:v>
                </c:pt>
                <c:pt idx="4819">
                  <c:v>187.0751431089034</c:v>
                </c:pt>
                <c:pt idx="4820">
                  <c:v>187.10860145491398</c:v>
                </c:pt>
                <c:pt idx="4821">
                  <c:v>187.14206578494202</c:v>
                </c:pt>
                <c:pt idx="4822">
                  <c:v>187.17553610005771</c:v>
                </c:pt>
                <c:pt idx="4823">
                  <c:v>187.20901240133153</c:v>
                </c:pt>
                <c:pt idx="4824">
                  <c:v>187.2424946898341</c:v>
                </c:pt>
                <c:pt idx="4825">
                  <c:v>187.27598296663618</c:v>
                </c:pt>
                <c:pt idx="4826">
                  <c:v>187.30947723280863</c:v>
                </c:pt>
                <c:pt idx="4827">
                  <c:v>187.34297748942299</c:v>
                </c:pt>
                <c:pt idx="4828">
                  <c:v>187.37648373755053</c:v>
                </c:pt>
                <c:pt idx="4829">
                  <c:v>187.40999597826274</c:v>
                </c:pt>
                <c:pt idx="4830">
                  <c:v>187.44351421263147</c:v>
                </c:pt>
                <c:pt idx="4831">
                  <c:v>187.47703844172864</c:v>
                </c:pt>
                <c:pt idx="4832">
                  <c:v>187.51056866662643</c:v>
                </c:pt>
                <c:pt idx="4833">
                  <c:v>187.54410488839716</c:v>
                </c:pt>
                <c:pt idx="4834">
                  <c:v>187.57764710811338</c:v>
                </c:pt>
                <c:pt idx="4835">
                  <c:v>187.61119532684768</c:v>
                </c:pt>
                <c:pt idx="4836">
                  <c:v>187.64474954567328</c:v>
                </c:pt>
                <c:pt idx="4837">
                  <c:v>187.67830976566319</c:v>
                </c:pt>
                <c:pt idx="4838">
                  <c:v>187.71187598789061</c:v>
                </c:pt>
                <c:pt idx="4839">
                  <c:v>187.74544821342911</c:v>
                </c:pt>
                <c:pt idx="4840">
                  <c:v>187.77902644335256</c:v>
                </c:pt>
                <c:pt idx="4841">
                  <c:v>187.81261067873447</c:v>
                </c:pt>
                <c:pt idx="4842">
                  <c:v>187.84620092064912</c:v>
                </c:pt>
                <c:pt idx="4843">
                  <c:v>187.87979717017075</c:v>
                </c:pt>
                <c:pt idx="4844">
                  <c:v>187.91339942837365</c:v>
                </c:pt>
                <c:pt idx="4845">
                  <c:v>187.94700769633278</c:v>
                </c:pt>
                <c:pt idx="4846">
                  <c:v>187.98062197512292</c:v>
                </c:pt>
                <c:pt idx="4847">
                  <c:v>188.01424226581898</c:v>
                </c:pt>
                <c:pt idx="4848">
                  <c:v>188.04786856949625</c:v>
                </c:pt>
                <c:pt idx="4849">
                  <c:v>188.08150088723016</c:v>
                </c:pt>
                <c:pt idx="4850">
                  <c:v>188.1151392200963</c:v>
                </c:pt>
                <c:pt idx="4851">
                  <c:v>188.14878356917049</c:v>
                </c:pt>
                <c:pt idx="4852">
                  <c:v>188.18243393552868</c:v>
                </c:pt>
                <c:pt idx="4853">
                  <c:v>188.21609032024699</c:v>
                </c:pt>
                <c:pt idx="4854">
                  <c:v>188.24975272440204</c:v>
                </c:pt>
                <c:pt idx="4855">
                  <c:v>188.28342114907028</c:v>
                </c:pt>
                <c:pt idx="4856">
                  <c:v>188.31709559532845</c:v>
                </c:pt>
                <c:pt idx="4857">
                  <c:v>188.35077606425358</c:v>
                </c:pt>
                <c:pt idx="4858">
                  <c:v>188.38446255692276</c:v>
                </c:pt>
                <c:pt idx="4859">
                  <c:v>188.41815507441333</c:v>
                </c:pt>
                <c:pt idx="4860">
                  <c:v>188.45185361780287</c:v>
                </c:pt>
                <c:pt idx="4861">
                  <c:v>188.48555818816911</c:v>
                </c:pt>
                <c:pt idx="4862">
                  <c:v>188.51926878658975</c:v>
                </c:pt>
                <c:pt idx="4863">
                  <c:v>188.55298541414328</c:v>
                </c:pt>
                <c:pt idx="4864">
                  <c:v>188.58670807190785</c:v>
                </c:pt>
                <c:pt idx="4865">
                  <c:v>188.62043676096192</c:v>
                </c:pt>
                <c:pt idx="4866">
                  <c:v>188.65417148238424</c:v>
                </c:pt>
                <c:pt idx="4867">
                  <c:v>188.6879122372537</c:v>
                </c:pt>
                <c:pt idx="4868">
                  <c:v>188.72165902664929</c:v>
                </c:pt>
                <c:pt idx="4869">
                  <c:v>188.75541185165036</c:v>
                </c:pt>
                <c:pt idx="4870">
                  <c:v>188.7891707133364</c:v>
                </c:pt>
                <c:pt idx="4871">
                  <c:v>188.82293561278684</c:v>
                </c:pt>
                <c:pt idx="4872">
                  <c:v>188.85670655108191</c:v>
                </c:pt>
                <c:pt idx="4873">
                  <c:v>188.89048352930146</c:v>
                </c:pt>
                <c:pt idx="4874">
                  <c:v>188.92426654852574</c:v>
                </c:pt>
                <c:pt idx="4875">
                  <c:v>188.95805560983518</c:v>
                </c:pt>
                <c:pt idx="4876">
                  <c:v>188.9918507143104</c:v>
                </c:pt>
                <c:pt idx="4877">
                  <c:v>189.02565186303224</c:v>
                </c:pt>
                <c:pt idx="4878">
                  <c:v>189.05945905708168</c:v>
                </c:pt>
                <c:pt idx="4879">
                  <c:v>189.09327229753995</c:v>
                </c:pt>
                <c:pt idx="4880">
                  <c:v>189.1270915854885</c:v>
                </c:pt>
                <c:pt idx="4881">
                  <c:v>189.16091692200865</c:v>
                </c:pt>
                <c:pt idx="4882">
                  <c:v>189.19474830818254</c:v>
                </c:pt>
                <c:pt idx="4883">
                  <c:v>189.22858574509206</c:v>
                </c:pt>
                <c:pt idx="4884">
                  <c:v>189.26242923381932</c:v>
                </c:pt>
                <c:pt idx="4885">
                  <c:v>189.29627877544669</c:v>
                </c:pt>
                <c:pt idx="4886">
                  <c:v>189.33013437105672</c:v>
                </c:pt>
                <c:pt idx="4887">
                  <c:v>189.36399602173222</c:v>
                </c:pt>
                <c:pt idx="4888">
                  <c:v>189.39786372855608</c:v>
                </c:pt>
                <c:pt idx="4889">
                  <c:v>189.43173749261146</c:v>
                </c:pt>
                <c:pt idx="4890">
                  <c:v>189.46561731498156</c:v>
                </c:pt>
                <c:pt idx="4891">
                  <c:v>189.49950319675017</c:v>
                </c:pt>
                <c:pt idx="4892">
                  <c:v>189.5333951390009</c:v>
                </c:pt>
                <c:pt idx="4893">
                  <c:v>189.56729314281765</c:v>
                </c:pt>
                <c:pt idx="4894">
                  <c:v>189.60119720928455</c:v>
                </c:pt>
                <c:pt idx="4895">
                  <c:v>189.63510733948584</c:v>
                </c:pt>
                <c:pt idx="4896">
                  <c:v>189.6690235345061</c:v>
                </c:pt>
                <c:pt idx="4897">
                  <c:v>189.70294579542994</c:v>
                </c:pt>
                <c:pt idx="4898">
                  <c:v>189.73687412334232</c:v>
                </c:pt>
                <c:pt idx="4899">
                  <c:v>189.77080851932814</c:v>
                </c:pt>
                <c:pt idx="4900">
                  <c:v>189.80474898447295</c:v>
                </c:pt>
                <c:pt idx="4901">
                  <c:v>189.83869551986214</c:v>
                </c:pt>
                <c:pt idx="4902">
                  <c:v>189.87264812658128</c:v>
                </c:pt>
                <c:pt idx="4903">
                  <c:v>189.90660680571628</c:v>
                </c:pt>
                <c:pt idx="4904">
                  <c:v>189.94057155835316</c:v>
                </c:pt>
                <c:pt idx="4905">
                  <c:v>189.97454238557819</c:v>
                </c:pt>
                <c:pt idx="4906">
                  <c:v>190.00851928847777</c:v>
                </c:pt>
                <c:pt idx="4907">
                  <c:v>190.04250226813861</c:v>
                </c:pt>
                <c:pt idx="4908">
                  <c:v>190.07649132564731</c:v>
                </c:pt>
                <c:pt idx="4909">
                  <c:v>190.11048646209125</c:v>
                </c:pt>
                <c:pt idx="4910">
                  <c:v>190.14448767855743</c:v>
                </c:pt>
                <c:pt idx="4911">
                  <c:v>190.17849497613335</c:v>
                </c:pt>
                <c:pt idx="4912">
                  <c:v>190.21250835590649</c:v>
                </c:pt>
                <c:pt idx="4913">
                  <c:v>190.24652781896481</c:v>
                </c:pt>
                <c:pt idx="4914">
                  <c:v>190.28055336639616</c:v>
                </c:pt>
                <c:pt idx="4915">
                  <c:v>190.31458499928883</c:v>
                </c:pt>
                <c:pt idx="4916">
                  <c:v>190.34862271873112</c:v>
                </c:pt>
                <c:pt idx="4917">
                  <c:v>190.38266652581152</c:v>
                </c:pt>
                <c:pt idx="4918">
                  <c:v>190.41671642161904</c:v>
                </c:pt>
                <c:pt idx="4919">
                  <c:v>190.45077240724257</c:v>
                </c:pt>
                <c:pt idx="4920">
                  <c:v>190.48483448377127</c:v>
                </c:pt>
                <c:pt idx="4921">
                  <c:v>190.51890265229443</c:v>
                </c:pt>
                <c:pt idx="4922">
                  <c:v>190.55297691390163</c:v>
                </c:pt>
                <c:pt idx="4923">
                  <c:v>190.58705726968265</c:v>
                </c:pt>
                <c:pt idx="4924">
                  <c:v>190.62114372072742</c:v>
                </c:pt>
                <c:pt idx="4925">
                  <c:v>190.655236268126</c:v>
                </c:pt>
                <c:pt idx="4926">
                  <c:v>190.68933491296869</c:v>
                </c:pt>
                <c:pt idx="4927">
                  <c:v>190.72343965634624</c:v>
                </c:pt>
                <c:pt idx="4928">
                  <c:v>190.75755049934924</c:v>
                </c:pt>
                <c:pt idx="4929">
                  <c:v>190.79166744306866</c:v>
                </c:pt>
                <c:pt idx="4930">
                  <c:v>190.82579048859549</c:v>
                </c:pt>
                <c:pt idx="4931">
                  <c:v>190.85991963702114</c:v>
                </c:pt>
                <c:pt idx="4932">
                  <c:v>190.89405488943709</c:v>
                </c:pt>
                <c:pt idx="4933">
                  <c:v>190.92819624693504</c:v>
                </c:pt>
                <c:pt idx="4934">
                  <c:v>190.96234371060683</c:v>
                </c:pt>
                <c:pt idx="4935">
                  <c:v>190.99649728154444</c:v>
                </c:pt>
                <c:pt idx="4936">
                  <c:v>191.03065696084047</c:v>
                </c:pt>
                <c:pt idx="4937">
                  <c:v>191.06482274958722</c:v>
                </c:pt>
                <c:pt idx="4938">
                  <c:v>191.09899464887738</c:v>
                </c:pt>
                <c:pt idx="4939">
                  <c:v>191.13317265980382</c:v>
                </c:pt>
                <c:pt idx="4940">
                  <c:v>191.16735678345955</c:v>
                </c:pt>
                <c:pt idx="4941">
                  <c:v>191.20154702093794</c:v>
                </c:pt>
                <c:pt idx="4942">
                  <c:v>191.23574337333235</c:v>
                </c:pt>
                <c:pt idx="4943">
                  <c:v>191.2699458417365</c:v>
                </c:pt>
                <c:pt idx="4944">
                  <c:v>191.30415442724399</c:v>
                </c:pt>
                <c:pt idx="4945">
                  <c:v>191.33836913094927</c:v>
                </c:pt>
                <c:pt idx="4946">
                  <c:v>191.37258995394637</c:v>
                </c:pt>
                <c:pt idx="4947">
                  <c:v>191.40681689732975</c:v>
                </c:pt>
                <c:pt idx="4948">
                  <c:v>191.44104996219397</c:v>
                </c:pt>
                <c:pt idx="4949">
                  <c:v>191.47528914963399</c:v>
                </c:pt>
                <c:pt idx="4950">
                  <c:v>191.50953446074473</c:v>
                </c:pt>
                <c:pt idx="4951">
                  <c:v>191.54378589662142</c:v>
                </c:pt>
                <c:pt idx="4952">
                  <c:v>191.57804345835945</c:v>
                </c:pt>
                <c:pt idx="4953">
                  <c:v>191.61230714705434</c:v>
                </c:pt>
                <c:pt idx="4954">
                  <c:v>191.64657696380215</c:v>
                </c:pt>
                <c:pt idx="4955">
                  <c:v>191.68085290969876</c:v>
                </c:pt>
                <c:pt idx="4956">
                  <c:v>191.71513498584036</c:v>
                </c:pt>
                <c:pt idx="4957">
                  <c:v>191.74942319332337</c:v>
                </c:pt>
                <c:pt idx="4958">
                  <c:v>191.78371753324427</c:v>
                </c:pt>
                <c:pt idx="4959">
                  <c:v>191.81801800669996</c:v>
                </c:pt>
                <c:pt idx="4960">
                  <c:v>191.85232461478739</c:v>
                </c:pt>
                <c:pt idx="4961">
                  <c:v>191.88663735860371</c:v>
                </c:pt>
                <c:pt idx="4962">
                  <c:v>191.92095623924618</c:v>
                </c:pt>
                <c:pt idx="4963">
                  <c:v>191.95528125781266</c:v>
                </c:pt>
                <c:pt idx="4964">
                  <c:v>191.98961241540076</c:v>
                </c:pt>
                <c:pt idx="4965">
                  <c:v>192.02394971310841</c:v>
                </c:pt>
                <c:pt idx="4966">
                  <c:v>192.05829315203383</c:v>
                </c:pt>
                <c:pt idx="4967">
                  <c:v>192.09264273327531</c:v>
                </c:pt>
                <c:pt idx="4968">
                  <c:v>192.12699845793148</c:v>
                </c:pt>
                <c:pt idx="4969">
                  <c:v>192.16136032710102</c:v>
                </c:pt>
                <c:pt idx="4970">
                  <c:v>192.19572834188293</c:v>
                </c:pt>
                <c:pt idx="4971">
                  <c:v>192.23010250337612</c:v>
                </c:pt>
                <c:pt idx="4972">
                  <c:v>192.26448281268031</c:v>
                </c:pt>
                <c:pt idx="4973">
                  <c:v>192.2988692708949</c:v>
                </c:pt>
                <c:pt idx="4974">
                  <c:v>192.33326187911953</c:v>
                </c:pt>
                <c:pt idx="4975">
                  <c:v>192.36766063845417</c:v>
                </c:pt>
                <c:pt idx="4976">
                  <c:v>192.40206554999898</c:v>
                </c:pt>
                <c:pt idx="4977">
                  <c:v>192.4364766148542</c:v>
                </c:pt>
                <c:pt idx="4978">
                  <c:v>192.47089383412043</c:v>
                </c:pt>
                <c:pt idx="4979">
                  <c:v>192.50531720889839</c:v>
                </c:pt>
                <c:pt idx="4980">
                  <c:v>192.53974674028871</c:v>
                </c:pt>
                <c:pt idx="4981">
                  <c:v>192.57418242939298</c:v>
                </c:pt>
                <c:pt idx="4982">
                  <c:v>192.60862427731223</c:v>
                </c:pt>
                <c:pt idx="4983">
                  <c:v>192.64307228514801</c:v>
                </c:pt>
                <c:pt idx="4984">
                  <c:v>192.67752645400202</c:v>
                </c:pt>
                <c:pt idx="4985">
                  <c:v>192.71198678497615</c:v>
                </c:pt>
                <c:pt idx="4986">
                  <c:v>192.7464532791725</c:v>
                </c:pt>
                <c:pt idx="4987">
                  <c:v>192.78092593769333</c:v>
                </c:pt>
                <c:pt idx="4988">
                  <c:v>192.81540476164113</c:v>
                </c:pt>
                <c:pt idx="4989">
                  <c:v>192.84988975211851</c:v>
                </c:pt>
                <c:pt idx="4990">
                  <c:v>192.88438091022857</c:v>
                </c:pt>
                <c:pt idx="4991">
                  <c:v>192.91887823707427</c:v>
                </c:pt>
                <c:pt idx="4992">
                  <c:v>192.9533817337589</c:v>
                </c:pt>
                <c:pt idx="4993">
                  <c:v>192.98789140138589</c:v>
                </c:pt>
                <c:pt idx="4994">
                  <c:v>193.02240724105897</c:v>
                </c:pt>
                <c:pt idx="4995">
                  <c:v>193.05692925388198</c:v>
                </c:pt>
                <c:pt idx="4996">
                  <c:v>193.09145744095898</c:v>
                </c:pt>
                <c:pt idx="4997">
                  <c:v>193.12599180339421</c:v>
                </c:pt>
                <c:pt idx="4998">
                  <c:v>193.16053234229202</c:v>
                </c:pt>
                <c:pt idx="4999">
                  <c:v>193.19507905875739</c:v>
                </c:pt>
                <c:pt idx="5000">
                  <c:v>193.22963195389516</c:v>
                </c:pt>
                <c:pt idx="5001">
                  <c:v>193.26419102881005</c:v>
                </c:pt>
                <c:pt idx="5002">
                  <c:v>193.29875628460749</c:v>
                </c:pt>
                <c:pt idx="5003">
                  <c:v>193.33332772239291</c:v>
                </c:pt>
                <c:pt idx="5004">
                  <c:v>193.36790534327201</c:v>
                </c:pt>
                <c:pt idx="5005">
                  <c:v>193.40248914835055</c:v>
                </c:pt>
                <c:pt idx="5006">
                  <c:v>193.43707913873462</c:v>
                </c:pt>
                <c:pt idx="5007">
                  <c:v>193.47167531553046</c:v>
                </c:pt>
                <c:pt idx="5008">
                  <c:v>193.50627767984435</c:v>
                </c:pt>
                <c:pt idx="5009">
                  <c:v>193.54088623278324</c:v>
                </c:pt>
                <c:pt idx="5010">
                  <c:v>193.57550097545382</c:v>
                </c:pt>
                <c:pt idx="5011">
                  <c:v>193.61012190896309</c:v>
                </c:pt>
                <c:pt idx="5012">
                  <c:v>193.64474903441828</c:v>
                </c:pt>
                <c:pt idx="5013">
                  <c:v>193.67938235292686</c:v>
                </c:pt>
                <c:pt idx="5014">
                  <c:v>193.71402186559644</c:v>
                </c:pt>
                <c:pt idx="5015">
                  <c:v>193.74866757353482</c:v>
                </c:pt>
                <c:pt idx="5016">
                  <c:v>193.78331947785006</c:v>
                </c:pt>
                <c:pt idx="5017">
                  <c:v>193.81797757965018</c:v>
                </c:pt>
                <c:pt idx="5018">
                  <c:v>193.85264188004396</c:v>
                </c:pt>
                <c:pt idx="5019">
                  <c:v>193.88731238013983</c:v>
                </c:pt>
                <c:pt idx="5020">
                  <c:v>193.92198908104663</c:v>
                </c:pt>
                <c:pt idx="5021">
                  <c:v>193.95667198387329</c:v>
                </c:pt>
                <c:pt idx="5022">
                  <c:v>193.99136108972914</c:v>
                </c:pt>
                <c:pt idx="5023">
                  <c:v>194.02605639972356</c:v>
                </c:pt>
                <c:pt idx="5024">
                  <c:v>194.06075791496608</c:v>
                </c:pt>
                <c:pt idx="5025">
                  <c:v>194.09546563656659</c:v>
                </c:pt>
                <c:pt idx="5026">
                  <c:v>194.13017956563488</c:v>
                </c:pt>
                <c:pt idx="5027">
                  <c:v>194.16489970328152</c:v>
                </c:pt>
                <c:pt idx="5028">
                  <c:v>194.19962605061676</c:v>
                </c:pt>
                <c:pt idx="5029">
                  <c:v>194.23435860875114</c:v>
                </c:pt>
                <c:pt idx="5030">
                  <c:v>194.26909737879555</c:v>
                </c:pt>
                <c:pt idx="5031">
                  <c:v>194.30384236186089</c:v>
                </c:pt>
                <c:pt idx="5032">
                  <c:v>194.33859355905841</c:v>
                </c:pt>
                <c:pt idx="5033">
                  <c:v>194.37335097149949</c:v>
                </c:pt>
                <c:pt idx="5034">
                  <c:v>194.40811460029573</c:v>
                </c:pt>
                <c:pt idx="5035">
                  <c:v>194.44288444655879</c:v>
                </c:pt>
                <c:pt idx="5036">
                  <c:v>194.47766051140096</c:v>
                </c:pt>
                <c:pt idx="5037">
                  <c:v>194.51244279593425</c:v>
                </c:pt>
                <c:pt idx="5038">
                  <c:v>194.5472313012711</c:v>
                </c:pt>
                <c:pt idx="5039">
                  <c:v>194.58202602852404</c:v>
                </c:pt>
                <c:pt idx="5040">
                  <c:v>194.6168269788059</c:v>
                </c:pt>
                <c:pt idx="5041">
                  <c:v>194.65163415322965</c:v>
                </c:pt>
                <c:pt idx="5042">
                  <c:v>194.6864475529085</c:v>
                </c:pt>
                <c:pt idx="5043">
                  <c:v>194.72126717895583</c:v>
                </c:pt>
                <c:pt idx="5044">
                  <c:v>194.75609303248501</c:v>
                </c:pt>
                <c:pt idx="5045">
                  <c:v>194.79092511461022</c:v>
                </c:pt>
                <c:pt idx="5046">
                  <c:v>194.82576342644526</c:v>
                </c:pt>
                <c:pt idx="5047">
                  <c:v>194.86060796910428</c:v>
                </c:pt>
                <c:pt idx="5048">
                  <c:v>194.89545874370165</c:v>
                </c:pt>
                <c:pt idx="5049">
                  <c:v>194.93031575135205</c:v>
                </c:pt>
                <c:pt idx="5050">
                  <c:v>194.96517899317016</c:v>
                </c:pt>
                <c:pt idx="5051">
                  <c:v>195.00004847027103</c:v>
                </c:pt>
                <c:pt idx="5052">
                  <c:v>195.03492418376976</c:v>
                </c:pt>
                <c:pt idx="5053">
                  <c:v>195.06980613478157</c:v>
                </c:pt>
                <c:pt idx="5054">
                  <c:v>195.1046943244225</c:v>
                </c:pt>
                <c:pt idx="5055">
                  <c:v>195.139588753808</c:v>
                </c:pt>
                <c:pt idx="5056">
                  <c:v>195.17448942405414</c:v>
                </c:pt>
                <c:pt idx="5057">
                  <c:v>195.20939633627702</c:v>
                </c:pt>
                <c:pt idx="5058">
                  <c:v>195.24430949159313</c:v>
                </c:pt>
                <c:pt idx="5059">
                  <c:v>195.27922889111892</c:v>
                </c:pt>
                <c:pt idx="5060">
                  <c:v>195.31415453597128</c:v>
                </c:pt>
                <c:pt idx="5061">
                  <c:v>195.34908642726711</c:v>
                </c:pt>
                <c:pt idx="5062">
                  <c:v>195.38402456612346</c:v>
                </c:pt>
                <c:pt idx="5063">
                  <c:v>195.41896895365798</c:v>
                </c:pt>
                <c:pt idx="5064">
                  <c:v>195.45391959098814</c:v>
                </c:pt>
                <c:pt idx="5065">
                  <c:v>195.48887647923169</c:v>
                </c:pt>
                <c:pt idx="5066">
                  <c:v>195.52383961950662</c:v>
                </c:pt>
                <c:pt idx="5067">
                  <c:v>195.55880901293105</c:v>
                </c:pt>
                <c:pt idx="5068">
                  <c:v>195.59378466062341</c:v>
                </c:pt>
                <c:pt idx="5069">
                  <c:v>195.62876656370227</c:v>
                </c:pt>
                <c:pt idx="5070">
                  <c:v>195.66375472328639</c:v>
                </c:pt>
                <c:pt idx="5071">
                  <c:v>195.69874914049456</c:v>
                </c:pt>
                <c:pt idx="5072">
                  <c:v>195.73374981644633</c:v>
                </c:pt>
                <c:pt idx="5073">
                  <c:v>195.76875675226086</c:v>
                </c:pt>
                <c:pt idx="5074">
                  <c:v>195.80376994905777</c:v>
                </c:pt>
                <c:pt idx="5075">
                  <c:v>195.83878940795682</c:v>
                </c:pt>
                <c:pt idx="5076">
                  <c:v>195.87381513007799</c:v>
                </c:pt>
                <c:pt idx="5077">
                  <c:v>195.90884711654141</c:v>
                </c:pt>
                <c:pt idx="5078">
                  <c:v>195.94388536846753</c:v>
                </c:pt>
                <c:pt idx="5079">
                  <c:v>195.97892988697689</c:v>
                </c:pt>
                <c:pt idx="5080">
                  <c:v>196.01398067319008</c:v>
                </c:pt>
                <c:pt idx="5081">
                  <c:v>196.04903772822846</c:v>
                </c:pt>
                <c:pt idx="5082">
                  <c:v>196.08410105321298</c:v>
                </c:pt>
                <c:pt idx="5083">
                  <c:v>196.11917064926507</c:v>
                </c:pt>
                <c:pt idx="5084">
                  <c:v>196.15424651750629</c:v>
                </c:pt>
                <c:pt idx="5085">
                  <c:v>196.18932865905842</c:v>
                </c:pt>
                <c:pt idx="5086">
                  <c:v>196.22441707504345</c:v>
                </c:pt>
                <c:pt idx="5087">
                  <c:v>196.25951176658356</c:v>
                </c:pt>
                <c:pt idx="5088">
                  <c:v>196.29461273480109</c:v>
                </c:pt>
                <c:pt idx="5089">
                  <c:v>196.32971998081848</c:v>
                </c:pt>
                <c:pt idx="5090">
                  <c:v>196.36483350575887</c:v>
                </c:pt>
                <c:pt idx="5091">
                  <c:v>196.39995331074505</c:v>
                </c:pt>
                <c:pt idx="5092">
                  <c:v>196.43507939690025</c:v>
                </c:pt>
                <c:pt idx="5093">
                  <c:v>196.47021176534781</c:v>
                </c:pt>
                <c:pt idx="5094">
                  <c:v>196.50535041721133</c:v>
                </c:pt>
                <c:pt idx="5095">
                  <c:v>196.54049535361457</c:v>
                </c:pt>
                <c:pt idx="5096">
                  <c:v>196.57564657568159</c:v>
                </c:pt>
                <c:pt idx="5097">
                  <c:v>196.61080408453651</c:v>
                </c:pt>
                <c:pt idx="5098">
                  <c:v>196.64596788130373</c:v>
                </c:pt>
                <c:pt idx="5099">
                  <c:v>196.6811379671077</c:v>
                </c:pt>
                <c:pt idx="5100">
                  <c:v>196.71631434307355</c:v>
                </c:pt>
                <c:pt idx="5101">
                  <c:v>196.75149701032606</c:v>
                </c:pt>
                <c:pt idx="5102">
                  <c:v>196.78668596999049</c:v>
                </c:pt>
                <c:pt idx="5103">
                  <c:v>196.82188122319221</c:v>
                </c:pt>
                <c:pt idx="5104">
                  <c:v>196.85708277105681</c:v>
                </c:pt>
                <c:pt idx="5105">
                  <c:v>196.89229061471008</c:v>
                </c:pt>
                <c:pt idx="5106">
                  <c:v>196.92750475527802</c:v>
                </c:pt>
                <c:pt idx="5107">
                  <c:v>196.96272519388685</c:v>
                </c:pt>
                <c:pt idx="5108">
                  <c:v>196.99795193166278</c:v>
                </c:pt>
                <c:pt idx="5109">
                  <c:v>197.03318496973279</c:v>
                </c:pt>
                <c:pt idx="5110">
                  <c:v>197.0684243092235</c:v>
                </c:pt>
                <c:pt idx="5111">
                  <c:v>197.10366995126194</c:v>
                </c:pt>
                <c:pt idx="5112">
                  <c:v>197.13892189697529</c:v>
                </c:pt>
                <c:pt idx="5113">
                  <c:v>197.17418014749092</c:v>
                </c:pt>
                <c:pt idx="5114">
                  <c:v>197.20944470393653</c:v>
                </c:pt>
                <c:pt idx="5115">
                  <c:v>197.24471556743984</c:v>
                </c:pt>
                <c:pt idx="5116">
                  <c:v>197.27999273912897</c:v>
                </c:pt>
                <c:pt idx="5117">
                  <c:v>197.31527622013189</c:v>
                </c:pt>
                <c:pt idx="5118">
                  <c:v>197.3505660115774</c:v>
                </c:pt>
                <c:pt idx="5119">
                  <c:v>197.38586211459392</c:v>
                </c:pt>
                <c:pt idx="5120">
                  <c:v>197.42116453031028</c:v>
                </c:pt>
                <c:pt idx="5121">
                  <c:v>197.45647325985556</c:v>
                </c:pt>
                <c:pt idx="5122">
                  <c:v>197.49178830435889</c:v>
                </c:pt>
                <c:pt idx="5123">
                  <c:v>197.52710966494979</c:v>
                </c:pt>
                <c:pt idx="5124">
                  <c:v>197.56243734275779</c:v>
                </c:pt>
                <c:pt idx="5125">
                  <c:v>197.59777133891285</c:v>
                </c:pt>
                <c:pt idx="5126">
                  <c:v>197.63311165454471</c:v>
                </c:pt>
                <c:pt idx="5127">
                  <c:v>197.66845829078403</c:v>
                </c:pt>
                <c:pt idx="5128">
                  <c:v>197.70381124876104</c:v>
                </c:pt>
                <c:pt idx="5129">
                  <c:v>197.73917052960644</c:v>
                </c:pt>
                <c:pt idx="5130">
                  <c:v>197.77453613445095</c:v>
                </c:pt>
                <c:pt idx="5131">
                  <c:v>197.80990806442577</c:v>
                </c:pt>
                <c:pt idx="5132">
                  <c:v>197.84528632066207</c:v>
                </c:pt>
                <c:pt idx="5133">
                  <c:v>197.88067090429124</c:v>
                </c:pt>
                <c:pt idx="5134">
                  <c:v>197.91606181644508</c:v>
                </c:pt>
                <c:pt idx="5135">
                  <c:v>197.9514590582551</c:v>
                </c:pt>
                <c:pt idx="5136">
                  <c:v>197.98686263085384</c:v>
                </c:pt>
                <c:pt idx="5137">
                  <c:v>198.02227253537333</c:v>
                </c:pt>
                <c:pt idx="5138">
                  <c:v>198.05768877294605</c:v>
                </c:pt>
                <c:pt idx="5139">
                  <c:v>198.09311134470465</c:v>
                </c:pt>
                <c:pt idx="5140">
                  <c:v>198.128540251782</c:v>
                </c:pt>
                <c:pt idx="5141">
                  <c:v>198.16397549531118</c:v>
                </c:pt>
                <c:pt idx="5142">
                  <c:v>198.19941707642545</c:v>
                </c:pt>
                <c:pt idx="5143">
                  <c:v>198.2348649962583</c:v>
                </c:pt>
                <c:pt idx="5144">
                  <c:v>198.27031925594321</c:v>
                </c:pt>
                <c:pt idx="5145">
                  <c:v>198.30577985661441</c:v>
                </c:pt>
                <c:pt idx="5146">
                  <c:v>198.34124679940587</c:v>
                </c:pt>
                <c:pt idx="5147">
                  <c:v>198.37672008545181</c:v>
                </c:pt>
                <c:pt idx="5148">
                  <c:v>198.41219971588677</c:v>
                </c:pt>
                <c:pt idx="5149">
                  <c:v>198.44768569184541</c:v>
                </c:pt>
                <c:pt idx="5150">
                  <c:v>198.48317801446257</c:v>
                </c:pt>
                <c:pt idx="5151">
                  <c:v>198.51867668487347</c:v>
                </c:pt>
                <c:pt idx="5152">
                  <c:v>198.55418170421333</c:v>
                </c:pt>
                <c:pt idx="5153">
                  <c:v>198.5896930736175</c:v>
                </c:pt>
                <c:pt idx="5154">
                  <c:v>198.62521079422203</c:v>
                </c:pt>
                <c:pt idx="5155">
                  <c:v>198.66073486716269</c:v>
                </c:pt>
                <c:pt idx="5156">
                  <c:v>198.69626529357552</c:v>
                </c:pt>
                <c:pt idx="5157">
                  <c:v>198.73180207459691</c:v>
                </c:pt>
                <c:pt idx="5158">
                  <c:v>198.76734521136336</c:v>
                </c:pt>
                <c:pt idx="5159">
                  <c:v>198.80289470501177</c:v>
                </c:pt>
                <c:pt idx="5160">
                  <c:v>198.83845055667868</c:v>
                </c:pt>
                <c:pt idx="5161">
                  <c:v>198.87401276750145</c:v>
                </c:pt>
                <c:pt idx="5162">
                  <c:v>198.90958133861719</c:v>
                </c:pt>
                <c:pt idx="5163">
                  <c:v>198.94515627116385</c:v>
                </c:pt>
                <c:pt idx="5164">
                  <c:v>198.98073756627892</c:v>
                </c:pt>
                <c:pt idx="5165">
                  <c:v>199.01632522510039</c:v>
                </c:pt>
                <c:pt idx="5166">
                  <c:v>199.05191924876641</c:v>
                </c:pt>
                <c:pt idx="5167">
                  <c:v>199.0875196384153</c:v>
                </c:pt>
                <c:pt idx="5168">
                  <c:v>199.12312639518561</c:v>
                </c:pt>
                <c:pt idx="5169">
                  <c:v>199.15873952021616</c:v>
                </c:pt>
                <c:pt idx="5170">
                  <c:v>199.19435901464584</c:v>
                </c:pt>
                <c:pt idx="5171">
                  <c:v>199.22998487961388</c:v>
                </c:pt>
                <c:pt idx="5172">
                  <c:v>199.26561711625942</c:v>
                </c:pt>
                <c:pt idx="5173">
                  <c:v>199.3012557257224</c:v>
                </c:pt>
                <c:pt idx="5174">
                  <c:v>199.33690070914247</c:v>
                </c:pt>
                <c:pt idx="5175">
                  <c:v>199.37255206765951</c:v>
                </c:pt>
                <c:pt idx="5176">
                  <c:v>199.40820980241378</c:v>
                </c:pt>
                <c:pt idx="5177">
                  <c:v>199.44387391454566</c:v>
                </c:pt>
                <c:pt idx="5178">
                  <c:v>199.47954440519578</c:v>
                </c:pt>
                <c:pt idx="5179">
                  <c:v>199.51522127550481</c:v>
                </c:pt>
                <c:pt idx="5180">
                  <c:v>199.55090452661386</c:v>
                </c:pt>
                <c:pt idx="5181">
                  <c:v>199.58659415966392</c:v>
                </c:pt>
                <c:pt idx="5182">
                  <c:v>199.62229017579679</c:v>
                </c:pt>
                <c:pt idx="5183">
                  <c:v>199.65799257615387</c:v>
                </c:pt>
                <c:pt idx="5184">
                  <c:v>199.693701361877</c:v>
                </c:pt>
                <c:pt idx="5185">
                  <c:v>199.72941653410814</c:v>
                </c:pt>
                <c:pt idx="5186">
                  <c:v>199.76513809398958</c:v>
                </c:pt>
                <c:pt idx="5187">
                  <c:v>199.80086604266373</c:v>
                </c:pt>
                <c:pt idx="5188">
                  <c:v>199.8366003812732</c:v>
                </c:pt>
                <c:pt idx="5189">
                  <c:v>199.87234111096089</c:v>
                </c:pt>
                <c:pt idx="5190">
                  <c:v>199.90808823286963</c:v>
                </c:pt>
                <c:pt idx="5191">
                  <c:v>199.94384174814297</c:v>
                </c:pt>
                <c:pt idx="5192">
                  <c:v>199.97960165792429</c:v>
                </c:pt>
                <c:pt idx="5193">
                  <c:v>200.01536796335719</c:v>
                </c:pt>
                <c:pt idx="5194">
                  <c:v>200.05114066558551</c:v>
                </c:pt>
                <c:pt idx="5195">
                  <c:v>200.08691976575332</c:v>
                </c:pt>
                <c:pt idx="5196">
                  <c:v>200.12270526500492</c:v>
                </c:pt>
                <c:pt idx="5197">
                  <c:v>200.15849716448477</c:v>
                </c:pt>
                <c:pt idx="5198">
                  <c:v>200.19429546533758</c:v>
                </c:pt>
                <c:pt idx="5199">
                  <c:v>200.23010016870799</c:v>
                </c:pt>
                <c:pt idx="5200">
                  <c:v>200.2659112757415</c:v>
                </c:pt>
                <c:pt idx="5201">
                  <c:v>200.30172878758322</c:v>
                </c:pt>
                <c:pt idx="5202">
                  <c:v>200.33755270537858</c:v>
                </c:pt>
                <c:pt idx="5203">
                  <c:v>200.37338303027343</c:v>
                </c:pt>
                <c:pt idx="5204">
                  <c:v>200.40921976341355</c:v>
                </c:pt>
                <c:pt idx="5205">
                  <c:v>200.44506290594506</c:v>
                </c:pt>
                <c:pt idx="5206">
                  <c:v>200.48091245901432</c:v>
                </c:pt>
                <c:pt idx="5207">
                  <c:v>200.51676842376784</c:v>
                </c:pt>
                <c:pt idx="5208">
                  <c:v>200.55263080135219</c:v>
                </c:pt>
                <c:pt idx="5209">
                  <c:v>200.58849959291462</c:v>
                </c:pt>
                <c:pt idx="5210">
                  <c:v>200.62437479960215</c:v>
                </c:pt>
                <c:pt idx="5211">
                  <c:v>200.66025642256207</c:v>
                </c:pt>
                <c:pt idx="5212">
                  <c:v>200.69614446294193</c:v>
                </c:pt>
                <c:pt idx="5213">
                  <c:v>200.73203892188951</c:v>
                </c:pt>
                <c:pt idx="5214">
                  <c:v>200.76793980055274</c:v>
                </c:pt>
                <c:pt idx="5215">
                  <c:v>200.80384710007985</c:v>
                </c:pt>
                <c:pt idx="5216">
                  <c:v>200.83976082161911</c:v>
                </c:pt>
                <c:pt idx="5217">
                  <c:v>200.87568096631898</c:v>
                </c:pt>
                <c:pt idx="5218">
                  <c:v>200.91160753532861</c:v>
                </c:pt>
                <c:pt idx="5219">
                  <c:v>200.94754052979675</c:v>
                </c:pt>
                <c:pt idx="5220">
                  <c:v>200.98347995087269</c:v>
                </c:pt>
                <c:pt idx="5221">
                  <c:v>201.01942579970572</c:v>
                </c:pt>
                <c:pt idx="5222">
                  <c:v>201.05537807744548</c:v>
                </c:pt>
                <c:pt idx="5223">
                  <c:v>201.09133678524179</c:v>
                </c:pt>
                <c:pt idx="5224">
                  <c:v>201.12730192424465</c:v>
                </c:pt>
                <c:pt idx="5225">
                  <c:v>201.16327349560433</c:v>
                </c:pt>
                <c:pt idx="5226">
                  <c:v>201.19925150047101</c:v>
                </c:pt>
                <c:pt idx="5227">
                  <c:v>201.23523593999573</c:v>
                </c:pt>
                <c:pt idx="5228">
                  <c:v>201.27122681532907</c:v>
                </c:pt>
                <c:pt idx="5229">
                  <c:v>201.30722412762216</c:v>
                </c:pt>
                <c:pt idx="5230">
                  <c:v>201.3432278780262</c:v>
                </c:pt>
                <c:pt idx="5231">
                  <c:v>201.37923806769271</c:v>
                </c:pt>
                <c:pt idx="5232">
                  <c:v>201.41525469777324</c:v>
                </c:pt>
                <c:pt idx="5233">
                  <c:v>201.45127776941973</c:v>
                </c:pt>
                <c:pt idx="5234">
                  <c:v>201.48730728378425</c:v>
                </c:pt>
                <c:pt idx="5235">
                  <c:v>201.52334324201888</c:v>
                </c:pt>
                <c:pt idx="5236">
                  <c:v>201.55938564527651</c:v>
                </c:pt>
                <c:pt idx="5237">
                  <c:v>201.59543449470959</c:v>
                </c:pt>
                <c:pt idx="5238">
                  <c:v>201.63148979147101</c:v>
                </c:pt>
                <c:pt idx="5239">
                  <c:v>201.66755153671392</c:v>
                </c:pt>
                <c:pt idx="5240">
                  <c:v>201.70361973159163</c:v>
                </c:pt>
                <c:pt idx="5241">
                  <c:v>201.73969437725762</c:v>
                </c:pt>
                <c:pt idx="5242">
                  <c:v>201.77577547486567</c:v>
                </c:pt>
                <c:pt idx="5243">
                  <c:v>201.81186302556964</c:v>
                </c:pt>
                <c:pt idx="5244">
                  <c:v>201.8479570305235</c:v>
                </c:pt>
                <c:pt idx="5245">
                  <c:v>201.88405749088199</c:v>
                </c:pt>
                <c:pt idx="5246">
                  <c:v>201.92016440779946</c:v>
                </c:pt>
                <c:pt idx="5247">
                  <c:v>201.95627778243062</c:v>
                </c:pt>
                <c:pt idx="5248">
                  <c:v>201.99239761593051</c:v>
                </c:pt>
                <c:pt idx="5249">
                  <c:v>202.02852390945421</c:v>
                </c:pt>
                <c:pt idx="5250">
                  <c:v>202.06465666415716</c:v>
                </c:pt>
                <c:pt idx="5251">
                  <c:v>202.10079588119493</c:v>
                </c:pt>
                <c:pt idx="5252">
                  <c:v>202.13694156172326</c:v>
                </c:pt>
                <c:pt idx="5253">
                  <c:v>202.17309370689804</c:v>
                </c:pt>
                <c:pt idx="5254">
                  <c:v>202.20925231787578</c:v>
                </c:pt>
                <c:pt idx="5255">
                  <c:v>202.24541739581272</c:v>
                </c:pt>
                <c:pt idx="5256">
                  <c:v>202.28158894186544</c:v>
                </c:pt>
                <c:pt idx="5257">
                  <c:v>202.31776695719083</c:v>
                </c:pt>
                <c:pt idx="5258">
                  <c:v>202.35395144294586</c:v>
                </c:pt>
                <c:pt idx="5259">
                  <c:v>202.39014240028777</c:v>
                </c:pt>
                <c:pt idx="5260">
                  <c:v>202.42633983037408</c:v>
                </c:pt>
                <c:pt idx="5261">
                  <c:v>202.46254373436233</c:v>
                </c:pt>
                <c:pt idx="5262">
                  <c:v>202.49875411341026</c:v>
                </c:pt>
                <c:pt idx="5263">
                  <c:v>202.53497096867625</c:v>
                </c:pt>
                <c:pt idx="5264">
                  <c:v>202.57119430131846</c:v>
                </c:pt>
                <c:pt idx="5265">
                  <c:v>202.60742411249527</c:v>
                </c:pt>
                <c:pt idx="5266">
                  <c:v>202.64366040336543</c:v>
                </c:pt>
                <c:pt idx="5267">
                  <c:v>202.67990317508782</c:v>
                </c:pt>
                <c:pt idx="5268">
                  <c:v>202.71615242882154</c:v>
                </c:pt>
                <c:pt idx="5269">
                  <c:v>202.75240816572588</c:v>
                </c:pt>
                <c:pt idx="5270">
                  <c:v>202.7886703869604</c:v>
                </c:pt>
                <c:pt idx="5271">
                  <c:v>202.82493909368461</c:v>
                </c:pt>
                <c:pt idx="5272">
                  <c:v>202.86121428705877</c:v>
                </c:pt>
                <c:pt idx="5273">
                  <c:v>202.89749596824288</c:v>
                </c:pt>
                <c:pt idx="5274">
                  <c:v>202.93378413839724</c:v>
                </c:pt>
                <c:pt idx="5275">
                  <c:v>202.97007879868241</c:v>
                </c:pt>
                <c:pt idx="5276">
                  <c:v>203.00637995025923</c:v>
                </c:pt>
                <c:pt idx="5277">
                  <c:v>203.04268759428854</c:v>
                </c:pt>
                <c:pt idx="5278">
                  <c:v>203.07900173193161</c:v>
                </c:pt>
                <c:pt idx="5279">
                  <c:v>203.11532236434977</c:v>
                </c:pt>
                <c:pt idx="5280">
                  <c:v>203.15164949270448</c:v>
                </c:pt>
                <c:pt idx="5281">
                  <c:v>203.18798311815783</c:v>
                </c:pt>
                <c:pt idx="5282">
                  <c:v>203.22432324187167</c:v>
                </c:pt>
                <c:pt idx="5283">
                  <c:v>203.26066986500823</c:v>
                </c:pt>
                <c:pt idx="5284">
                  <c:v>203.29702298872991</c:v>
                </c:pt>
                <c:pt idx="5285">
                  <c:v>203.33338261419934</c:v>
                </c:pt>
                <c:pt idx="5286">
                  <c:v>203.36974874257939</c:v>
                </c:pt>
                <c:pt idx="5287">
                  <c:v>203.40612137503305</c:v>
                </c:pt>
                <c:pt idx="5288">
                  <c:v>203.4425005127236</c:v>
                </c:pt>
                <c:pt idx="5289">
                  <c:v>203.47888615681435</c:v>
                </c:pt>
                <c:pt idx="5290">
                  <c:v>203.51527830846928</c:v>
                </c:pt>
                <c:pt idx="5291">
                  <c:v>203.55167696885209</c:v>
                </c:pt>
                <c:pt idx="5292">
                  <c:v>203.5880821391269</c:v>
                </c:pt>
                <c:pt idx="5293">
                  <c:v>203.62449382045793</c:v>
                </c:pt>
                <c:pt idx="5294">
                  <c:v>203.6609120140098</c:v>
                </c:pt>
                <c:pt idx="5295">
                  <c:v>203.69733672094708</c:v>
                </c:pt>
                <c:pt idx="5296">
                  <c:v>203.73376794243484</c:v>
                </c:pt>
                <c:pt idx="5297">
                  <c:v>203.77020567963808</c:v>
                </c:pt>
                <c:pt idx="5298">
                  <c:v>203.80664993372199</c:v>
                </c:pt>
                <c:pt idx="5299">
                  <c:v>203.84310070585249</c:v>
                </c:pt>
                <c:pt idx="5300">
                  <c:v>203.87955799719515</c:v>
                </c:pt>
                <c:pt idx="5301">
                  <c:v>203.91602180891593</c:v>
                </c:pt>
                <c:pt idx="5302">
                  <c:v>203.95249214218094</c:v>
                </c:pt>
                <c:pt idx="5303">
                  <c:v>203.98896899815665</c:v>
                </c:pt>
                <c:pt idx="5304">
                  <c:v>204.02545237800962</c:v>
                </c:pt>
                <c:pt idx="5305">
                  <c:v>204.06194228290659</c:v>
                </c:pt>
                <c:pt idx="5306">
                  <c:v>204.09843871401461</c:v>
                </c:pt>
                <c:pt idx="5307">
                  <c:v>204.13494167250087</c:v>
                </c:pt>
                <c:pt idx="5308">
                  <c:v>204.17145115953264</c:v>
                </c:pt>
                <c:pt idx="5309">
                  <c:v>204.20796717627786</c:v>
                </c:pt>
                <c:pt idx="5310">
                  <c:v>204.24448972390422</c:v>
                </c:pt>
                <c:pt idx="5311">
                  <c:v>204.28101880357977</c:v>
                </c:pt>
                <c:pt idx="5312">
                  <c:v>204.3175544164728</c:v>
                </c:pt>
                <c:pt idx="5313">
                  <c:v>204.35409656375168</c:v>
                </c:pt>
                <c:pt idx="5314">
                  <c:v>204.39064524658514</c:v>
                </c:pt>
                <c:pt idx="5315">
                  <c:v>204.4272004661421</c:v>
                </c:pt>
                <c:pt idx="5316">
                  <c:v>204.46376222359154</c:v>
                </c:pt>
                <c:pt idx="5317">
                  <c:v>204.50033052010269</c:v>
                </c:pt>
                <c:pt idx="5318">
                  <c:v>204.53690535684538</c:v>
                </c:pt>
                <c:pt idx="5319">
                  <c:v>204.57348673498933</c:v>
                </c:pt>
                <c:pt idx="5320">
                  <c:v>204.61007465570415</c:v>
                </c:pt>
                <c:pt idx="5321">
                  <c:v>204.64666912016003</c:v>
                </c:pt>
                <c:pt idx="5322">
                  <c:v>204.68327012952747</c:v>
                </c:pt>
                <c:pt idx="5323">
                  <c:v>204.71987768497692</c:v>
                </c:pt>
                <c:pt idx="5324">
                  <c:v>204.75649178767918</c:v>
                </c:pt>
                <c:pt idx="5325">
                  <c:v>204.79311243880525</c:v>
                </c:pt>
                <c:pt idx="5326">
                  <c:v>204.82973963952611</c:v>
                </c:pt>
                <c:pt idx="5327">
                  <c:v>204.86637339101347</c:v>
                </c:pt>
                <c:pt idx="5328">
                  <c:v>204.90301369443884</c:v>
                </c:pt>
                <c:pt idx="5329">
                  <c:v>204.939660550974</c:v>
                </c:pt>
                <c:pt idx="5330">
                  <c:v>204.97631396179094</c:v>
                </c:pt>
                <c:pt idx="5331">
                  <c:v>205.01297392806191</c:v>
                </c:pt>
                <c:pt idx="5332">
                  <c:v>205.0496404509594</c:v>
                </c:pt>
                <c:pt idx="5333">
                  <c:v>205.08631353165595</c:v>
                </c:pt>
                <c:pt idx="5334">
                  <c:v>205.12299317132451</c:v>
                </c:pt>
                <c:pt idx="5335">
                  <c:v>205.15967937113797</c:v>
                </c:pt>
                <c:pt idx="5336">
                  <c:v>205.19637213226994</c:v>
                </c:pt>
                <c:pt idx="5337">
                  <c:v>205.23307145589374</c:v>
                </c:pt>
                <c:pt idx="5338">
                  <c:v>205.26977734318305</c:v>
                </c:pt>
                <c:pt idx="5339">
                  <c:v>205.30648979531182</c:v>
                </c:pt>
                <c:pt idx="5340">
                  <c:v>205.34320881345414</c:v>
                </c:pt>
                <c:pt idx="5341">
                  <c:v>205.37993439878434</c:v>
                </c:pt>
                <c:pt idx="5342">
                  <c:v>205.41666655247698</c:v>
                </c:pt>
                <c:pt idx="5343">
                  <c:v>205.45340527570684</c:v>
                </c:pt>
                <c:pt idx="5344">
                  <c:v>205.49015056964862</c:v>
                </c:pt>
                <c:pt idx="5345">
                  <c:v>205.52690243547784</c:v>
                </c:pt>
                <c:pt idx="5346">
                  <c:v>205.56366087436984</c:v>
                </c:pt>
                <c:pt idx="5347">
                  <c:v>205.60042588750008</c:v>
                </c:pt>
                <c:pt idx="5348">
                  <c:v>205.63719747604438</c:v>
                </c:pt>
                <c:pt idx="5349">
                  <c:v>205.6739756411788</c:v>
                </c:pt>
                <c:pt idx="5350">
                  <c:v>205.71076038407952</c:v>
                </c:pt>
                <c:pt idx="5351">
                  <c:v>205.747551705923</c:v>
                </c:pt>
                <c:pt idx="5352">
                  <c:v>205.7843496078859</c:v>
                </c:pt>
                <c:pt idx="5353">
                  <c:v>205.82115409114482</c:v>
                </c:pt>
                <c:pt idx="5354">
                  <c:v>205.85796515687721</c:v>
                </c:pt>
                <c:pt idx="5355">
                  <c:v>205.8947828062602</c:v>
                </c:pt>
                <c:pt idx="5356">
                  <c:v>205.93160704047125</c:v>
                </c:pt>
                <c:pt idx="5357">
                  <c:v>205.96843786068806</c:v>
                </c:pt>
                <c:pt idx="5358">
                  <c:v>206.00527526808855</c:v>
                </c:pt>
                <c:pt idx="5359">
                  <c:v>206.04211926385082</c:v>
                </c:pt>
                <c:pt idx="5360">
                  <c:v>206.0789698491532</c:v>
                </c:pt>
                <c:pt idx="5361">
                  <c:v>206.11582702517421</c:v>
                </c:pt>
                <c:pt idx="5362">
                  <c:v>206.15269079309243</c:v>
                </c:pt>
                <c:pt idx="5363">
                  <c:v>206.18956115408719</c:v>
                </c:pt>
                <c:pt idx="5364">
                  <c:v>206.22643810933749</c:v>
                </c:pt>
                <c:pt idx="5365">
                  <c:v>206.26332166002265</c:v>
                </c:pt>
                <c:pt idx="5366">
                  <c:v>206.30021180732234</c:v>
                </c:pt>
                <c:pt idx="5367">
                  <c:v>206.33710855241631</c:v>
                </c:pt>
                <c:pt idx="5368">
                  <c:v>206.37401189648463</c:v>
                </c:pt>
                <c:pt idx="5369">
                  <c:v>206.41092184070746</c:v>
                </c:pt>
                <c:pt idx="5370">
                  <c:v>206.44783838626529</c:v>
                </c:pt>
                <c:pt idx="5371">
                  <c:v>206.4847615343385</c:v>
                </c:pt>
                <c:pt idx="5372">
                  <c:v>206.52169128610839</c:v>
                </c:pt>
                <c:pt idx="5373">
                  <c:v>206.55862764275588</c:v>
                </c:pt>
                <c:pt idx="5374">
                  <c:v>206.59557060546217</c:v>
                </c:pt>
                <c:pt idx="5375">
                  <c:v>206.63252017540876</c:v>
                </c:pt>
                <c:pt idx="5376">
                  <c:v>206.66947635377741</c:v>
                </c:pt>
                <c:pt idx="5377">
                  <c:v>206.70643914175</c:v>
                </c:pt>
                <c:pt idx="5378">
                  <c:v>206.74340854050865</c:v>
                </c:pt>
                <c:pt idx="5379">
                  <c:v>206.7803845512357</c:v>
                </c:pt>
                <c:pt idx="5380">
                  <c:v>206.8173671751135</c:v>
                </c:pt>
                <c:pt idx="5381">
                  <c:v>206.85435641332523</c:v>
                </c:pt>
                <c:pt idx="5382">
                  <c:v>206.89135226705363</c:v>
                </c:pt>
                <c:pt idx="5383">
                  <c:v>206.92835473748192</c:v>
                </c:pt>
                <c:pt idx="5384">
                  <c:v>206.96536382579342</c:v>
                </c:pt>
                <c:pt idx="5385">
                  <c:v>207.00237953317185</c:v>
                </c:pt>
                <c:pt idx="5386">
                  <c:v>207.03940186080095</c:v>
                </c:pt>
                <c:pt idx="5387">
                  <c:v>207.07643080986477</c:v>
                </c:pt>
                <c:pt idx="5388">
                  <c:v>207.11346638154754</c:v>
                </c:pt>
                <c:pt idx="5389">
                  <c:v>207.15050857703375</c:v>
                </c:pt>
                <c:pt idx="5390">
                  <c:v>207.18755739750785</c:v>
                </c:pt>
                <c:pt idx="5391">
                  <c:v>207.2246128441551</c:v>
                </c:pt>
                <c:pt idx="5392">
                  <c:v>207.2616749181604</c:v>
                </c:pt>
                <c:pt idx="5393">
                  <c:v>207.29874362070902</c:v>
                </c:pt>
                <c:pt idx="5394">
                  <c:v>207.3358189529865</c:v>
                </c:pt>
                <c:pt idx="5395">
                  <c:v>207.37290091617862</c:v>
                </c:pt>
                <c:pt idx="5396">
                  <c:v>207.40998951147122</c:v>
                </c:pt>
                <c:pt idx="5397">
                  <c:v>207.44708474005051</c:v>
                </c:pt>
                <c:pt idx="5398">
                  <c:v>207.48418660310287</c:v>
                </c:pt>
                <c:pt idx="5399">
                  <c:v>207.52129510181464</c:v>
                </c:pt>
                <c:pt idx="5400">
                  <c:v>207.55841023737298</c:v>
                </c:pt>
                <c:pt idx="5401">
                  <c:v>207.59553201096475</c:v>
                </c:pt>
                <c:pt idx="5402">
                  <c:v>207.63266042377711</c:v>
                </c:pt>
                <c:pt idx="5403">
                  <c:v>207.66979547699745</c:v>
                </c:pt>
                <c:pt idx="5404">
                  <c:v>207.70693717181351</c:v>
                </c:pt>
                <c:pt idx="5405">
                  <c:v>207.74408550941308</c:v>
                </c:pt>
                <c:pt idx="5406">
                  <c:v>207.78124049098423</c:v>
                </c:pt>
                <c:pt idx="5407">
                  <c:v>207.81840211771521</c:v>
                </c:pt>
                <c:pt idx="5408">
                  <c:v>207.85557039079436</c:v>
                </c:pt>
                <c:pt idx="5409">
                  <c:v>207.89274531141072</c:v>
                </c:pt>
                <c:pt idx="5410">
                  <c:v>207.92992688075299</c:v>
                </c:pt>
                <c:pt idx="5411">
                  <c:v>207.96711510001035</c:v>
                </c:pt>
                <c:pt idx="5412">
                  <c:v>208.00430997037213</c:v>
                </c:pt>
                <c:pt idx="5413">
                  <c:v>208.0415114930278</c:v>
                </c:pt>
                <c:pt idx="5414">
                  <c:v>208.07871966916721</c:v>
                </c:pt>
                <c:pt idx="5415">
                  <c:v>208.11593449998034</c:v>
                </c:pt>
                <c:pt idx="5416">
                  <c:v>208.15315598665731</c:v>
                </c:pt>
                <c:pt idx="5417">
                  <c:v>208.19038413038834</c:v>
                </c:pt>
                <c:pt idx="5418">
                  <c:v>208.22761893236446</c:v>
                </c:pt>
                <c:pt idx="5419">
                  <c:v>208.26486039377627</c:v>
                </c:pt>
                <c:pt idx="5420">
                  <c:v>208.30210851581487</c:v>
                </c:pt>
                <c:pt idx="5421">
                  <c:v>208.33936329967145</c:v>
                </c:pt>
                <c:pt idx="5422">
                  <c:v>208.37662474653749</c:v>
                </c:pt>
                <c:pt idx="5423">
                  <c:v>208.41389285760465</c:v>
                </c:pt>
                <c:pt idx="5424">
                  <c:v>208.45116763406486</c:v>
                </c:pt>
                <c:pt idx="5425">
                  <c:v>208.48844907711023</c:v>
                </c:pt>
                <c:pt idx="5426">
                  <c:v>208.5257371879328</c:v>
                </c:pt>
                <c:pt idx="5427">
                  <c:v>208.56303196772561</c:v>
                </c:pt>
                <c:pt idx="5428">
                  <c:v>208.6003334176811</c:v>
                </c:pt>
                <c:pt idx="5429">
                  <c:v>208.63764153899231</c:v>
                </c:pt>
                <c:pt idx="5430">
                  <c:v>208.67495633285236</c:v>
                </c:pt>
                <c:pt idx="5431">
                  <c:v>208.71227780045461</c:v>
                </c:pt>
                <c:pt idx="5432">
                  <c:v>208.74960594299273</c:v>
                </c:pt>
                <c:pt idx="5433">
                  <c:v>208.7869407616605</c:v>
                </c:pt>
                <c:pt idx="5434">
                  <c:v>208.82428225765196</c:v>
                </c:pt>
                <c:pt idx="5435">
                  <c:v>208.86163043216109</c:v>
                </c:pt>
                <c:pt idx="5436">
                  <c:v>208.89898528638281</c:v>
                </c:pt>
                <c:pt idx="5437">
                  <c:v>208.93634682151151</c:v>
                </c:pt>
                <c:pt idx="5438">
                  <c:v>208.97371503874217</c:v>
                </c:pt>
                <c:pt idx="5439">
                  <c:v>209.01108993926979</c:v>
                </c:pt>
                <c:pt idx="5440">
                  <c:v>209.04847152428971</c:v>
                </c:pt>
                <c:pt idx="5441">
                  <c:v>209.08585979499748</c:v>
                </c:pt>
                <c:pt idx="5442">
                  <c:v>209.12325475258879</c:v>
                </c:pt>
                <c:pt idx="5443">
                  <c:v>209.16065639825956</c:v>
                </c:pt>
                <c:pt idx="5444">
                  <c:v>209.19806473320585</c:v>
                </c:pt>
                <c:pt idx="5445">
                  <c:v>209.23547975862439</c:v>
                </c:pt>
                <c:pt idx="5446">
                  <c:v>209.27290147571154</c:v>
                </c:pt>
                <c:pt idx="5447">
                  <c:v>209.31032988566409</c:v>
                </c:pt>
                <c:pt idx="5448">
                  <c:v>209.34776498967912</c:v>
                </c:pt>
                <c:pt idx="5449">
                  <c:v>209.38520678895384</c:v>
                </c:pt>
                <c:pt idx="5450">
                  <c:v>209.42265528468565</c:v>
                </c:pt>
                <c:pt idx="5451">
                  <c:v>209.46011047807229</c:v>
                </c:pt>
                <c:pt idx="5452">
                  <c:v>209.49757237031159</c:v>
                </c:pt>
                <c:pt idx="5453">
                  <c:v>209.53504096260141</c:v>
                </c:pt>
                <c:pt idx="5454">
                  <c:v>209.57251625614049</c:v>
                </c:pt>
                <c:pt idx="5455">
                  <c:v>209.60999825212713</c:v>
                </c:pt>
                <c:pt idx="5456">
                  <c:v>209.64748695176007</c:v>
                </c:pt>
                <c:pt idx="5457">
                  <c:v>209.68498235623829</c:v>
                </c:pt>
                <c:pt idx="5458">
                  <c:v>209.72248446676087</c:v>
                </c:pt>
                <c:pt idx="5459">
                  <c:v>209.75999328452724</c:v>
                </c:pt>
                <c:pt idx="5460">
                  <c:v>209.79750881073701</c:v>
                </c:pt>
                <c:pt idx="5461">
                  <c:v>209.83503104658993</c:v>
                </c:pt>
                <c:pt idx="5462">
                  <c:v>209.87255999328588</c:v>
                </c:pt>
                <c:pt idx="5463">
                  <c:v>209.9100956520254</c:v>
                </c:pt>
                <c:pt idx="5464">
                  <c:v>209.94763802400882</c:v>
                </c:pt>
                <c:pt idx="5465">
                  <c:v>209.98518711043675</c:v>
                </c:pt>
                <c:pt idx="5466">
                  <c:v>210.0227429125101</c:v>
                </c:pt>
                <c:pt idx="5467">
                  <c:v>210.06030543142998</c:v>
                </c:pt>
                <c:pt idx="5468">
                  <c:v>210.09787466839762</c:v>
                </c:pt>
                <c:pt idx="5469">
                  <c:v>210.13545062461461</c:v>
                </c:pt>
                <c:pt idx="5470">
                  <c:v>210.17303330128266</c:v>
                </c:pt>
                <c:pt idx="5471">
                  <c:v>210.21062269960356</c:v>
                </c:pt>
                <c:pt idx="5472">
                  <c:v>210.24821882077978</c:v>
                </c:pt>
                <c:pt idx="5473">
                  <c:v>210.28582166601362</c:v>
                </c:pt>
                <c:pt idx="5474">
                  <c:v>210.32343123650759</c:v>
                </c:pt>
                <c:pt idx="5475">
                  <c:v>210.36104753346453</c:v>
                </c:pt>
                <c:pt idx="5476">
                  <c:v>210.39867055808747</c:v>
                </c:pt>
                <c:pt idx="5477">
                  <c:v>210.43630031157966</c:v>
                </c:pt>
                <c:pt idx="5478">
                  <c:v>210.47393679514454</c:v>
                </c:pt>
                <c:pt idx="5479">
                  <c:v>210.51158000998598</c:v>
                </c:pt>
                <c:pt idx="5480">
                  <c:v>210.54922995730746</c:v>
                </c:pt>
                <c:pt idx="5481">
                  <c:v>210.58688663831313</c:v>
                </c:pt>
                <c:pt idx="5482">
                  <c:v>210.62455005420765</c:v>
                </c:pt>
                <c:pt idx="5483">
                  <c:v>210.66222020619543</c:v>
                </c:pt>
                <c:pt idx="5484">
                  <c:v>210.69989709548111</c:v>
                </c:pt>
                <c:pt idx="5485">
                  <c:v>210.73758072326973</c:v>
                </c:pt>
                <c:pt idx="5486">
                  <c:v>210.77527109076644</c:v>
                </c:pt>
                <c:pt idx="5487">
                  <c:v>210.81296819917668</c:v>
                </c:pt>
                <c:pt idx="5488">
                  <c:v>210.85067204970596</c:v>
                </c:pt>
                <c:pt idx="5489">
                  <c:v>210.88838264356025</c:v>
                </c:pt>
                <c:pt idx="5490">
                  <c:v>210.92609998194527</c:v>
                </c:pt>
                <c:pt idx="5491">
                  <c:v>210.96382406606776</c:v>
                </c:pt>
                <c:pt idx="5492">
                  <c:v>211.00155489713393</c:v>
                </c:pt>
                <c:pt idx="5493">
                  <c:v>211.03929247635048</c:v>
                </c:pt>
                <c:pt idx="5494">
                  <c:v>211.07703680492435</c:v>
                </c:pt>
                <c:pt idx="5495">
                  <c:v>211.11478788406265</c:v>
                </c:pt>
                <c:pt idx="5496">
                  <c:v>211.15254571497272</c:v>
                </c:pt>
                <c:pt idx="5497">
                  <c:v>211.19031029886207</c:v>
                </c:pt>
                <c:pt idx="5498">
                  <c:v>211.2280816369385</c:v>
                </c:pt>
                <c:pt idx="5499">
                  <c:v>211.2658597304098</c:v>
                </c:pt>
                <c:pt idx="5500">
                  <c:v>211.30364458048462</c:v>
                </c:pt>
                <c:pt idx="5501">
                  <c:v>211.34143618837106</c:v>
                </c:pt>
                <c:pt idx="5502">
                  <c:v>211.37923455527783</c:v>
                </c:pt>
                <c:pt idx="5503">
                  <c:v>211.41703968241376</c:v>
                </c:pt>
                <c:pt idx="5504">
                  <c:v>211.45485157098796</c:v>
                </c:pt>
                <c:pt idx="5505">
                  <c:v>211.49267022220963</c:v>
                </c:pt>
                <c:pt idx="5506">
                  <c:v>211.53049563728831</c:v>
                </c:pt>
                <c:pt idx="5507">
                  <c:v>211.56832781743373</c:v>
                </c:pt>
                <c:pt idx="5508">
                  <c:v>211.60616676385564</c:v>
                </c:pt>
                <c:pt idx="5509">
                  <c:v>211.64401247776453</c:v>
                </c:pt>
                <c:pt idx="5510">
                  <c:v>211.68186496037058</c:v>
                </c:pt>
                <c:pt idx="5511">
                  <c:v>211.71972421288433</c:v>
                </c:pt>
                <c:pt idx="5512">
                  <c:v>211.75759023651668</c:v>
                </c:pt>
                <c:pt idx="5513">
                  <c:v>211.79546303247858</c:v>
                </c:pt>
                <c:pt idx="5514">
                  <c:v>211.83334260198123</c:v>
                </c:pt>
                <c:pt idx="5515">
                  <c:v>211.87122894623613</c:v>
                </c:pt>
                <c:pt idx="5516">
                  <c:v>211.90912206645493</c:v>
                </c:pt>
                <c:pt idx="5517">
                  <c:v>211.94702196384932</c:v>
                </c:pt>
                <c:pt idx="5518">
                  <c:v>211.98492863963176</c:v>
                </c:pt>
                <c:pt idx="5519">
                  <c:v>212.0228420950144</c:v>
                </c:pt>
                <c:pt idx="5520">
                  <c:v>212.0607623312097</c:v>
                </c:pt>
                <c:pt idx="5521">
                  <c:v>212.09868934943049</c:v>
                </c:pt>
                <c:pt idx="5522">
                  <c:v>212.1366231508897</c:v>
                </c:pt>
                <c:pt idx="5523">
                  <c:v>212.17456373680054</c:v>
                </c:pt>
                <c:pt idx="5524">
                  <c:v>212.21251110837636</c:v>
                </c:pt>
                <c:pt idx="5525">
                  <c:v>212.25046526683082</c:v>
                </c:pt>
                <c:pt idx="5526">
                  <c:v>212.28842621337753</c:v>
                </c:pt>
                <c:pt idx="5527">
                  <c:v>212.32639394923092</c:v>
                </c:pt>
                <c:pt idx="5528">
                  <c:v>212.36436847560503</c:v>
                </c:pt>
                <c:pt idx="5529">
                  <c:v>212.40234979371445</c:v>
                </c:pt>
                <c:pt idx="5530">
                  <c:v>212.44033790477377</c:v>
                </c:pt>
                <c:pt idx="5531">
                  <c:v>212.47833280999797</c:v>
                </c:pt>
                <c:pt idx="5532">
                  <c:v>212.51633451060218</c:v>
                </c:pt>
                <c:pt idx="5533">
                  <c:v>212.55434300780172</c:v>
                </c:pt>
                <c:pt idx="5534">
                  <c:v>212.59235830281219</c:v>
                </c:pt>
                <c:pt idx="5535">
                  <c:v>212.63038039684918</c:v>
                </c:pt>
                <c:pt idx="5536">
                  <c:v>212.66840929112908</c:v>
                </c:pt>
                <c:pt idx="5537">
                  <c:v>212.70644498686789</c:v>
                </c:pt>
                <c:pt idx="5538">
                  <c:v>212.74448748528209</c:v>
                </c:pt>
                <c:pt idx="5539">
                  <c:v>212.7825367875883</c:v>
                </c:pt>
                <c:pt idx="5540">
                  <c:v>212.82059289500344</c:v>
                </c:pt>
                <c:pt idx="5541">
                  <c:v>212.85865580874457</c:v>
                </c:pt>
                <c:pt idx="5542">
                  <c:v>212.89672553002899</c:v>
                </c:pt>
                <c:pt idx="5543">
                  <c:v>212.93480206007425</c:v>
                </c:pt>
                <c:pt idx="5544">
                  <c:v>212.97288540009791</c:v>
                </c:pt>
                <c:pt idx="5545">
                  <c:v>213.01097555131827</c:v>
                </c:pt>
                <c:pt idx="5546">
                  <c:v>213.04907251495337</c:v>
                </c:pt>
                <c:pt idx="5547">
                  <c:v>213.08717629222159</c:v>
                </c:pt>
                <c:pt idx="5548">
                  <c:v>213.12528688434156</c:v>
                </c:pt>
                <c:pt idx="5549">
                  <c:v>213.16340429253211</c:v>
                </c:pt>
                <c:pt idx="5550">
                  <c:v>213.20152851801225</c:v>
                </c:pt>
                <c:pt idx="5551">
                  <c:v>213.23965956200129</c:v>
                </c:pt>
                <c:pt idx="5552">
                  <c:v>213.27779742571875</c:v>
                </c:pt>
                <c:pt idx="5553">
                  <c:v>213.3159421103841</c:v>
                </c:pt>
                <c:pt idx="5554">
                  <c:v>213.35409361721764</c:v>
                </c:pt>
                <c:pt idx="5555">
                  <c:v>213.39225194743935</c:v>
                </c:pt>
                <c:pt idx="5556">
                  <c:v>213.43041710226959</c:v>
                </c:pt>
                <c:pt idx="5557">
                  <c:v>213.46858908292893</c:v>
                </c:pt>
                <c:pt idx="5558">
                  <c:v>213.50676789063814</c:v>
                </c:pt>
                <c:pt idx="5559">
                  <c:v>213.54495352661829</c:v>
                </c:pt>
                <c:pt idx="5560">
                  <c:v>213.58314599209058</c:v>
                </c:pt>
                <c:pt idx="5561">
                  <c:v>213.62134528827647</c:v>
                </c:pt>
                <c:pt idx="5562">
                  <c:v>213.65955141639748</c:v>
                </c:pt>
                <c:pt idx="5563">
                  <c:v>213.69776437767578</c:v>
                </c:pt>
                <c:pt idx="5564">
                  <c:v>213.73598417333341</c:v>
                </c:pt>
                <c:pt idx="5565">
                  <c:v>213.7742108045926</c:v>
                </c:pt>
                <c:pt idx="5566">
                  <c:v>213.81244427267598</c:v>
                </c:pt>
                <c:pt idx="5567">
                  <c:v>213.85068457880621</c:v>
                </c:pt>
                <c:pt idx="5568">
                  <c:v>213.88893172420637</c:v>
                </c:pt>
                <c:pt idx="5569">
                  <c:v>213.92718571009962</c:v>
                </c:pt>
                <c:pt idx="5570">
                  <c:v>213.9654465377094</c:v>
                </c:pt>
                <c:pt idx="5571">
                  <c:v>214.00371420825914</c:v>
                </c:pt>
                <c:pt idx="5572">
                  <c:v>214.04198872297306</c:v>
                </c:pt>
                <c:pt idx="5573">
                  <c:v>214.08027008307511</c:v>
                </c:pt>
                <c:pt idx="5574">
                  <c:v>214.11855828978952</c:v>
                </c:pt>
                <c:pt idx="5575">
                  <c:v>214.15685334434082</c:v>
                </c:pt>
                <c:pt idx="5576">
                  <c:v>214.19515524795378</c:v>
                </c:pt>
                <c:pt idx="5577">
                  <c:v>214.23346400185332</c:v>
                </c:pt>
                <c:pt idx="5578">
                  <c:v>214.27177960726462</c:v>
                </c:pt>
                <c:pt idx="5579">
                  <c:v>214.31010206541305</c:v>
                </c:pt>
                <c:pt idx="5580">
                  <c:v>214.34843137752412</c:v>
                </c:pt>
                <c:pt idx="5581">
                  <c:v>214.38676754482393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4-4F50-B6D1-FA1A690B2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610525"/>
        <c:axId val="1537219606"/>
      </c:lineChart>
      <c:dateAx>
        <c:axId val="1356610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\-mmm\-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K"/>
          </a:p>
        </c:txPr>
        <c:crossAx val="1537219606"/>
        <c:crosses val="autoZero"/>
        <c:auto val="1"/>
        <c:lblOffset val="100"/>
        <c:baseTimeUnit val="days"/>
      </c:dateAx>
      <c:valAx>
        <c:axId val="1537219606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K"/>
          </a:p>
        </c:txPr>
        <c:crossAx val="1356610525"/>
        <c:crosses val="autoZero"/>
        <c:crossBetween val="between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PK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PKR/USD Compared to 6.75% Growth (Since 2010)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PKR/USD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Data!$A$462:$A$6305</c:f>
              <c:numCache>
                <c:formatCode>d\-mmm\-yy</c:formatCode>
                <c:ptCount val="5844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  <c:pt idx="4383">
                  <c:v>44562</c:v>
                </c:pt>
                <c:pt idx="4384">
                  <c:v>44563</c:v>
                </c:pt>
                <c:pt idx="4385">
                  <c:v>44564</c:v>
                </c:pt>
                <c:pt idx="4386">
                  <c:v>44565</c:v>
                </c:pt>
                <c:pt idx="4387">
                  <c:v>44566</c:v>
                </c:pt>
                <c:pt idx="4388">
                  <c:v>44567</c:v>
                </c:pt>
                <c:pt idx="4389">
                  <c:v>44568</c:v>
                </c:pt>
                <c:pt idx="4390">
                  <c:v>44569</c:v>
                </c:pt>
                <c:pt idx="4391">
                  <c:v>44570</c:v>
                </c:pt>
                <c:pt idx="4392">
                  <c:v>44571</c:v>
                </c:pt>
                <c:pt idx="4393">
                  <c:v>44572</c:v>
                </c:pt>
                <c:pt idx="4394">
                  <c:v>44573</c:v>
                </c:pt>
                <c:pt idx="4395">
                  <c:v>44574</c:v>
                </c:pt>
                <c:pt idx="4396">
                  <c:v>44575</c:v>
                </c:pt>
                <c:pt idx="4397">
                  <c:v>44576</c:v>
                </c:pt>
                <c:pt idx="4398">
                  <c:v>44577</c:v>
                </c:pt>
                <c:pt idx="4399">
                  <c:v>44578</c:v>
                </c:pt>
                <c:pt idx="4400">
                  <c:v>44579</c:v>
                </c:pt>
                <c:pt idx="4401">
                  <c:v>44580</c:v>
                </c:pt>
                <c:pt idx="4402">
                  <c:v>44581</c:v>
                </c:pt>
                <c:pt idx="4403">
                  <c:v>44582</c:v>
                </c:pt>
                <c:pt idx="4404">
                  <c:v>44583</c:v>
                </c:pt>
                <c:pt idx="4405">
                  <c:v>44584</c:v>
                </c:pt>
                <c:pt idx="4406">
                  <c:v>44585</c:v>
                </c:pt>
                <c:pt idx="4407">
                  <c:v>44586</c:v>
                </c:pt>
                <c:pt idx="4408">
                  <c:v>44587</c:v>
                </c:pt>
                <c:pt idx="4409">
                  <c:v>44588</c:v>
                </c:pt>
                <c:pt idx="4410">
                  <c:v>44589</c:v>
                </c:pt>
                <c:pt idx="4411">
                  <c:v>44590</c:v>
                </c:pt>
                <c:pt idx="4412">
                  <c:v>44591</c:v>
                </c:pt>
                <c:pt idx="4413">
                  <c:v>44592</c:v>
                </c:pt>
                <c:pt idx="4414">
                  <c:v>44593</c:v>
                </c:pt>
                <c:pt idx="4415">
                  <c:v>44594</c:v>
                </c:pt>
                <c:pt idx="4416">
                  <c:v>44595</c:v>
                </c:pt>
                <c:pt idx="4417">
                  <c:v>44596</c:v>
                </c:pt>
                <c:pt idx="4418">
                  <c:v>44597</c:v>
                </c:pt>
                <c:pt idx="4419">
                  <c:v>44598</c:v>
                </c:pt>
                <c:pt idx="4420">
                  <c:v>44599</c:v>
                </c:pt>
                <c:pt idx="4421">
                  <c:v>44600</c:v>
                </c:pt>
                <c:pt idx="4422">
                  <c:v>44601</c:v>
                </c:pt>
                <c:pt idx="4423">
                  <c:v>44602</c:v>
                </c:pt>
                <c:pt idx="4424">
                  <c:v>44603</c:v>
                </c:pt>
                <c:pt idx="4425">
                  <c:v>44604</c:v>
                </c:pt>
                <c:pt idx="4426">
                  <c:v>44605</c:v>
                </c:pt>
                <c:pt idx="4427">
                  <c:v>44606</c:v>
                </c:pt>
                <c:pt idx="4428">
                  <c:v>44607</c:v>
                </c:pt>
                <c:pt idx="4429">
                  <c:v>44608</c:v>
                </c:pt>
                <c:pt idx="4430">
                  <c:v>44609</c:v>
                </c:pt>
                <c:pt idx="4431">
                  <c:v>44610</c:v>
                </c:pt>
                <c:pt idx="4432">
                  <c:v>44611</c:v>
                </c:pt>
                <c:pt idx="4433">
                  <c:v>44612</c:v>
                </c:pt>
                <c:pt idx="4434">
                  <c:v>44613</c:v>
                </c:pt>
                <c:pt idx="4435">
                  <c:v>44614</c:v>
                </c:pt>
                <c:pt idx="4436">
                  <c:v>44615</c:v>
                </c:pt>
                <c:pt idx="4437">
                  <c:v>44616</c:v>
                </c:pt>
                <c:pt idx="4438">
                  <c:v>44617</c:v>
                </c:pt>
                <c:pt idx="4439">
                  <c:v>44618</c:v>
                </c:pt>
                <c:pt idx="4440">
                  <c:v>44619</c:v>
                </c:pt>
                <c:pt idx="4441">
                  <c:v>44620</c:v>
                </c:pt>
                <c:pt idx="4442">
                  <c:v>44621</c:v>
                </c:pt>
                <c:pt idx="4443">
                  <c:v>44622</c:v>
                </c:pt>
                <c:pt idx="4444">
                  <c:v>44623</c:v>
                </c:pt>
                <c:pt idx="4445">
                  <c:v>44624</c:v>
                </c:pt>
                <c:pt idx="4446">
                  <c:v>44625</c:v>
                </c:pt>
                <c:pt idx="4447">
                  <c:v>44626</c:v>
                </c:pt>
                <c:pt idx="4448">
                  <c:v>44627</c:v>
                </c:pt>
                <c:pt idx="4449">
                  <c:v>44628</c:v>
                </c:pt>
                <c:pt idx="4450">
                  <c:v>44629</c:v>
                </c:pt>
                <c:pt idx="4451">
                  <c:v>44630</c:v>
                </c:pt>
                <c:pt idx="4452">
                  <c:v>44631</c:v>
                </c:pt>
                <c:pt idx="4453">
                  <c:v>44632</c:v>
                </c:pt>
                <c:pt idx="4454">
                  <c:v>44633</c:v>
                </c:pt>
                <c:pt idx="4455">
                  <c:v>44634</c:v>
                </c:pt>
                <c:pt idx="4456">
                  <c:v>44635</c:v>
                </c:pt>
                <c:pt idx="4457">
                  <c:v>44636</c:v>
                </c:pt>
                <c:pt idx="4458">
                  <c:v>44637</c:v>
                </c:pt>
                <c:pt idx="4459">
                  <c:v>44638</c:v>
                </c:pt>
                <c:pt idx="4460">
                  <c:v>44639</c:v>
                </c:pt>
                <c:pt idx="4461">
                  <c:v>44640</c:v>
                </c:pt>
                <c:pt idx="4462">
                  <c:v>44641</c:v>
                </c:pt>
                <c:pt idx="4463">
                  <c:v>44642</c:v>
                </c:pt>
                <c:pt idx="4464">
                  <c:v>44643</c:v>
                </c:pt>
                <c:pt idx="4465">
                  <c:v>44644</c:v>
                </c:pt>
                <c:pt idx="4466">
                  <c:v>44645</c:v>
                </c:pt>
                <c:pt idx="4467">
                  <c:v>44646</c:v>
                </c:pt>
                <c:pt idx="4468">
                  <c:v>44647</c:v>
                </c:pt>
                <c:pt idx="4469">
                  <c:v>44648</c:v>
                </c:pt>
                <c:pt idx="4470">
                  <c:v>44649</c:v>
                </c:pt>
                <c:pt idx="4471">
                  <c:v>44650</c:v>
                </c:pt>
                <c:pt idx="4472">
                  <c:v>44651</c:v>
                </c:pt>
                <c:pt idx="4473">
                  <c:v>44652</c:v>
                </c:pt>
                <c:pt idx="4474">
                  <c:v>44653</c:v>
                </c:pt>
                <c:pt idx="4475">
                  <c:v>44654</c:v>
                </c:pt>
                <c:pt idx="4476">
                  <c:v>44655</c:v>
                </c:pt>
                <c:pt idx="4477">
                  <c:v>44656</c:v>
                </c:pt>
                <c:pt idx="4478">
                  <c:v>44657</c:v>
                </c:pt>
                <c:pt idx="4479">
                  <c:v>44658</c:v>
                </c:pt>
                <c:pt idx="4480">
                  <c:v>44659</c:v>
                </c:pt>
                <c:pt idx="4481">
                  <c:v>44660</c:v>
                </c:pt>
                <c:pt idx="4482">
                  <c:v>44661</c:v>
                </c:pt>
                <c:pt idx="4483">
                  <c:v>44662</c:v>
                </c:pt>
                <c:pt idx="4484">
                  <c:v>44663</c:v>
                </c:pt>
                <c:pt idx="4485">
                  <c:v>44664</c:v>
                </c:pt>
                <c:pt idx="4486">
                  <c:v>44665</c:v>
                </c:pt>
                <c:pt idx="4487">
                  <c:v>44666</c:v>
                </c:pt>
                <c:pt idx="4488">
                  <c:v>44667</c:v>
                </c:pt>
                <c:pt idx="4489">
                  <c:v>44668</c:v>
                </c:pt>
                <c:pt idx="4490">
                  <c:v>44669</c:v>
                </c:pt>
                <c:pt idx="4491">
                  <c:v>44670</c:v>
                </c:pt>
                <c:pt idx="4492">
                  <c:v>44671</c:v>
                </c:pt>
                <c:pt idx="4493">
                  <c:v>44672</c:v>
                </c:pt>
                <c:pt idx="4494">
                  <c:v>44673</c:v>
                </c:pt>
                <c:pt idx="4495">
                  <c:v>44674</c:v>
                </c:pt>
                <c:pt idx="4496">
                  <c:v>44675</c:v>
                </c:pt>
                <c:pt idx="4497">
                  <c:v>44676</c:v>
                </c:pt>
                <c:pt idx="4498">
                  <c:v>44677</c:v>
                </c:pt>
                <c:pt idx="4499">
                  <c:v>44678</c:v>
                </c:pt>
                <c:pt idx="4500">
                  <c:v>44679</c:v>
                </c:pt>
                <c:pt idx="4501">
                  <c:v>44680</c:v>
                </c:pt>
                <c:pt idx="4502">
                  <c:v>44681</c:v>
                </c:pt>
                <c:pt idx="4503">
                  <c:v>44682</c:v>
                </c:pt>
                <c:pt idx="4504">
                  <c:v>44683</c:v>
                </c:pt>
                <c:pt idx="4505">
                  <c:v>44684</c:v>
                </c:pt>
                <c:pt idx="4506">
                  <c:v>44685</c:v>
                </c:pt>
                <c:pt idx="4507">
                  <c:v>44686</c:v>
                </c:pt>
                <c:pt idx="4508">
                  <c:v>44687</c:v>
                </c:pt>
                <c:pt idx="4509">
                  <c:v>44688</c:v>
                </c:pt>
                <c:pt idx="4510">
                  <c:v>44689</c:v>
                </c:pt>
                <c:pt idx="4511">
                  <c:v>44690</c:v>
                </c:pt>
                <c:pt idx="4512">
                  <c:v>44691</c:v>
                </c:pt>
                <c:pt idx="4513">
                  <c:v>44692</c:v>
                </c:pt>
                <c:pt idx="4514">
                  <c:v>44693</c:v>
                </c:pt>
                <c:pt idx="4515">
                  <c:v>44694</c:v>
                </c:pt>
                <c:pt idx="4516">
                  <c:v>44695</c:v>
                </c:pt>
                <c:pt idx="4517">
                  <c:v>44696</c:v>
                </c:pt>
                <c:pt idx="4518">
                  <c:v>44697</c:v>
                </c:pt>
                <c:pt idx="4519">
                  <c:v>44698</c:v>
                </c:pt>
                <c:pt idx="4520">
                  <c:v>44699</c:v>
                </c:pt>
                <c:pt idx="4521">
                  <c:v>44700</c:v>
                </c:pt>
                <c:pt idx="4522">
                  <c:v>44701</c:v>
                </c:pt>
                <c:pt idx="4523">
                  <c:v>44702</c:v>
                </c:pt>
                <c:pt idx="4524">
                  <c:v>44703</c:v>
                </c:pt>
                <c:pt idx="4525">
                  <c:v>44704</c:v>
                </c:pt>
                <c:pt idx="4526">
                  <c:v>44705</c:v>
                </c:pt>
                <c:pt idx="4527">
                  <c:v>44706</c:v>
                </c:pt>
                <c:pt idx="4528">
                  <c:v>44707</c:v>
                </c:pt>
                <c:pt idx="4529">
                  <c:v>44708</c:v>
                </c:pt>
                <c:pt idx="4530">
                  <c:v>44709</c:v>
                </c:pt>
                <c:pt idx="4531">
                  <c:v>44710</c:v>
                </c:pt>
                <c:pt idx="4532">
                  <c:v>44711</c:v>
                </c:pt>
                <c:pt idx="4533">
                  <c:v>44712</c:v>
                </c:pt>
                <c:pt idx="4534">
                  <c:v>44713</c:v>
                </c:pt>
                <c:pt idx="4535">
                  <c:v>44714</c:v>
                </c:pt>
                <c:pt idx="4536">
                  <c:v>44715</c:v>
                </c:pt>
                <c:pt idx="4537">
                  <c:v>44716</c:v>
                </c:pt>
                <c:pt idx="4538">
                  <c:v>44717</c:v>
                </c:pt>
                <c:pt idx="4539">
                  <c:v>44718</c:v>
                </c:pt>
                <c:pt idx="4540">
                  <c:v>44719</c:v>
                </c:pt>
                <c:pt idx="4541">
                  <c:v>44720</c:v>
                </c:pt>
                <c:pt idx="4542">
                  <c:v>44721</c:v>
                </c:pt>
                <c:pt idx="4543">
                  <c:v>44722</c:v>
                </c:pt>
                <c:pt idx="4544">
                  <c:v>44723</c:v>
                </c:pt>
                <c:pt idx="4545">
                  <c:v>44724</c:v>
                </c:pt>
                <c:pt idx="4546">
                  <c:v>44725</c:v>
                </c:pt>
                <c:pt idx="4547">
                  <c:v>44726</c:v>
                </c:pt>
                <c:pt idx="4548">
                  <c:v>44727</c:v>
                </c:pt>
                <c:pt idx="4549">
                  <c:v>44728</c:v>
                </c:pt>
                <c:pt idx="4550">
                  <c:v>44729</c:v>
                </c:pt>
                <c:pt idx="4551">
                  <c:v>44730</c:v>
                </c:pt>
                <c:pt idx="4552">
                  <c:v>44731</c:v>
                </c:pt>
                <c:pt idx="4553">
                  <c:v>44732</c:v>
                </c:pt>
                <c:pt idx="4554">
                  <c:v>44733</c:v>
                </c:pt>
                <c:pt idx="4555">
                  <c:v>44734</c:v>
                </c:pt>
                <c:pt idx="4556">
                  <c:v>44735</c:v>
                </c:pt>
                <c:pt idx="4557">
                  <c:v>44736</c:v>
                </c:pt>
                <c:pt idx="4558">
                  <c:v>44737</c:v>
                </c:pt>
                <c:pt idx="4559">
                  <c:v>44738</c:v>
                </c:pt>
                <c:pt idx="4560">
                  <c:v>44739</c:v>
                </c:pt>
                <c:pt idx="4561">
                  <c:v>44740</c:v>
                </c:pt>
                <c:pt idx="4562">
                  <c:v>44741</c:v>
                </c:pt>
                <c:pt idx="4563">
                  <c:v>44742</c:v>
                </c:pt>
                <c:pt idx="4564">
                  <c:v>44743</c:v>
                </c:pt>
                <c:pt idx="4565">
                  <c:v>44744</c:v>
                </c:pt>
                <c:pt idx="4566">
                  <c:v>44745</c:v>
                </c:pt>
                <c:pt idx="4567">
                  <c:v>44746</c:v>
                </c:pt>
                <c:pt idx="4568">
                  <c:v>44747</c:v>
                </c:pt>
                <c:pt idx="4569">
                  <c:v>44748</c:v>
                </c:pt>
                <c:pt idx="4570">
                  <c:v>44749</c:v>
                </c:pt>
                <c:pt idx="4571">
                  <c:v>44750</c:v>
                </c:pt>
                <c:pt idx="4572">
                  <c:v>44751</c:v>
                </c:pt>
                <c:pt idx="4573">
                  <c:v>44752</c:v>
                </c:pt>
                <c:pt idx="4574">
                  <c:v>44753</c:v>
                </c:pt>
                <c:pt idx="4575">
                  <c:v>44754</c:v>
                </c:pt>
                <c:pt idx="4576">
                  <c:v>44755</c:v>
                </c:pt>
                <c:pt idx="4577">
                  <c:v>44756</c:v>
                </c:pt>
                <c:pt idx="4578">
                  <c:v>44757</c:v>
                </c:pt>
                <c:pt idx="4579">
                  <c:v>44758</c:v>
                </c:pt>
                <c:pt idx="4580">
                  <c:v>44759</c:v>
                </c:pt>
                <c:pt idx="4581">
                  <c:v>44760</c:v>
                </c:pt>
                <c:pt idx="4582">
                  <c:v>44761</c:v>
                </c:pt>
                <c:pt idx="4583">
                  <c:v>44762</c:v>
                </c:pt>
                <c:pt idx="4584">
                  <c:v>44763</c:v>
                </c:pt>
                <c:pt idx="4585">
                  <c:v>44764</c:v>
                </c:pt>
                <c:pt idx="4586">
                  <c:v>44765</c:v>
                </c:pt>
                <c:pt idx="4587">
                  <c:v>44766</c:v>
                </c:pt>
                <c:pt idx="4588">
                  <c:v>44767</c:v>
                </c:pt>
                <c:pt idx="4589">
                  <c:v>44768</c:v>
                </c:pt>
                <c:pt idx="4590">
                  <c:v>44769</c:v>
                </c:pt>
                <c:pt idx="4591">
                  <c:v>44770</c:v>
                </c:pt>
                <c:pt idx="4592">
                  <c:v>44771</c:v>
                </c:pt>
                <c:pt idx="4593">
                  <c:v>44772</c:v>
                </c:pt>
                <c:pt idx="4594">
                  <c:v>44773</c:v>
                </c:pt>
                <c:pt idx="4595">
                  <c:v>44774</c:v>
                </c:pt>
                <c:pt idx="4596">
                  <c:v>44775</c:v>
                </c:pt>
                <c:pt idx="4597">
                  <c:v>44776</c:v>
                </c:pt>
                <c:pt idx="4598">
                  <c:v>44777</c:v>
                </c:pt>
                <c:pt idx="4599">
                  <c:v>44778</c:v>
                </c:pt>
                <c:pt idx="4600">
                  <c:v>44779</c:v>
                </c:pt>
                <c:pt idx="4601">
                  <c:v>44780</c:v>
                </c:pt>
                <c:pt idx="4602">
                  <c:v>44781</c:v>
                </c:pt>
                <c:pt idx="4603">
                  <c:v>44782</c:v>
                </c:pt>
                <c:pt idx="4604">
                  <c:v>44783</c:v>
                </c:pt>
                <c:pt idx="4605">
                  <c:v>44784</c:v>
                </c:pt>
                <c:pt idx="4606">
                  <c:v>44785</c:v>
                </c:pt>
                <c:pt idx="4607">
                  <c:v>44786</c:v>
                </c:pt>
                <c:pt idx="4608">
                  <c:v>44787</c:v>
                </c:pt>
                <c:pt idx="4609">
                  <c:v>44788</c:v>
                </c:pt>
                <c:pt idx="4610">
                  <c:v>44789</c:v>
                </c:pt>
                <c:pt idx="4611">
                  <c:v>44790</c:v>
                </c:pt>
                <c:pt idx="4612">
                  <c:v>44791</c:v>
                </c:pt>
                <c:pt idx="4613">
                  <c:v>44792</c:v>
                </c:pt>
                <c:pt idx="4614">
                  <c:v>44793</c:v>
                </c:pt>
                <c:pt idx="4615">
                  <c:v>44794</c:v>
                </c:pt>
                <c:pt idx="4616">
                  <c:v>44795</c:v>
                </c:pt>
                <c:pt idx="4617">
                  <c:v>44796</c:v>
                </c:pt>
                <c:pt idx="4618">
                  <c:v>44797</c:v>
                </c:pt>
                <c:pt idx="4619">
                  <c:v>44798</c:v>
                </c:pt>
                <c:pt idx="4620">
                  <c:v>44799</c:v>
                </c:pt>
                <c:pt idx="4621">
                  <c:v>44800</c:v>
                </c:pt>
                <c:pt idx="4622">
                  <c:v>44801</c:v>
                </c:pt>
                <c:pt idx="4623">
                  <c:v>44802</c:v>
                </c:pt>
                <c:pt idx="4624">
                  <c:v>44803</c:v>
                </c:pt>
                <c:pt idx="4625">
                  <c:v>44804</c:v>
                </c:pt>
                <c:pt idx="4626">
                  <c:v>44805</c:v>
                </c:pt>
                <c:pt idx="4627">
                  <c:v>44806</c:v>
                </c:pt>
                <c:pt idx="4628">
                  <c:v>44807</c:v>
                </c:pt>
                <c:pt idx="4629">
                  <c:v>44808</c:v>
                </c:pt>
                <c:pt idx="4630">
                  <c:v>44809</c:v>
                </c:pt>
                <c:pt idx="4631">
                  <c:v>44810</c:v>
                </c:pt>
                <c:pt idx="4632">
                  <c:v>44811</c:v>
                </c:pt>
                <c:pt idx="4633">
                  <c:v>44812</c:v>
                </c:pt>
                <c:pt idx="4634">
                  <c:v>44813</c:v>
                </c:pt>
                <c:pt idx="4635">
                  <c:v>44814</c:v>
                </c:pt>
                <c:pt idx="4636">
                  <c:v>44815</c:v>
                </c:pt>
                <c:pt idx="4637">
                  <c:v>44816</c:v>
                </c:pt>
                <c:pt idx="4638">
                  <c:v>44817</c:v>
                </c:pt>
                <c:pt idx="4639">
                  <c:v>44818</c:v>
                </c:pt>
                <c:pt idx="4640">
                  <c:v>44819</c:v>
                </c:pt>
                <c:pt idx="4641">
                  <c:v>44820</c:v>
                </c:pt>
                <c:pt idx="4642">
                  <c:v>44821</c:v>
                </c:pt>
                <c:pt idx="4643">
                  <c:v>44822</c:v>
                </c:pt>
                <c:pt idx="4644">
                  <c:v>44823</c:v>
                </c:pt>
                <c:pt idx="4645">
                  <c:v>44824</c:v>
                </c:pt>
                <c:pt idx="4646">
                  <c:v>44825</c:v>
                </c:pt>
                <c:pt idx="4647">
                  <c:v>44826</c:v>
                </c:pt>
                <c:pt idx="4648">
                  <c:v>44827</c:v>
                </c:pt>
                <c:pt idx="4649">
                  <c:v>44828</c:v>
                </c:pt>
                <c:pt idx="4650">
                  <c:v>44829</c:v>
                </c:pt>
                <c:pt idx="4651">
                  <c:v>44830</c:v>
                </c:pt>
                <c:pt idx="4652">
                  <c:v>44831</c:v>
                </c:pt>
                <c:pt idx="4653">
                  <c:v>44832</c:v>
                </c:pt>
                <c:pt idx="4654">
                  <c:v>44833</c:v>
                </c:pt>
                <c:pt idx="4655">
                  <c:v>44834</c:v>
                </c:pt>
                <c:pt idx="4656">
                  <c:v>44835</c:v>
                </c:pt>
                <c:pt idx="4657">
                  <c:v>44836</c:v>
                </c:pt>
                <c:pt idx="4658">
                  <c:v>44837</c:v>
                </c:pt>
                <c:pt idx="4659">
                  <c:v>44838</c:v>
                </c:pt>
                <c:pt idx="4660">
                  <c:v>44839</c:v>
                </c:pt>
                <c:pt idx="4661">
                  <c:v>44840</c:v>
                </c:pt>
                <c:pt idx="4662">
                  <c:v>44841</c:v>
                </c:pt>
                <c:pt idx="4663">
                  <c:v>44842</c:v>
                </c:pt>
                <c:pt idx="4664">
                  <c:v>44843</c:v>
                </c:pt>
                <c:pt idx="4665">
                  <c:v>44844</c:v>
                </c:pt>
                <c:pt idx="4666">
                  <c:v>44845</c:v>
                </c:pt>
                <c:pt idx="4667">
                  <c:v>44846</c:v>
                </c:pt>
                <c:pt idx="4668">
                  <c:v>44847</c:v>
                </c:pt>
                <c:pt idx="4669">
                  <c:v>44848</c:v>
                </c:pt>
                <c:pt idx="4670">
                  <c:v>44849</c:v>
                </c:pt>
                <c:pt idx="4671">
                  <c:v>44850</c:v>
                </c:pt>
                <c:pt idx="4672">
                  <c:v>44851</c:v>
                </c:pt>
                <c:pt idx="4673">
                  <c:v>44852</c:v>
                </c:pt>
                <c:pt idx="4674">
                  <c:v>44853</c:v>
                </c:pt>
                <c:pt idx="4675">
                  <c:v>44854</c:v>
                </c:pt>
                <c:pt idx="4676">
                  <c:v>44855</c:v>
                </c:pt>
                <c:pt idx="4677">
                  <c:v>44856</c:v>
                </c:pt>
                <c:pt idx="4678">
                  <c:v>44857</c:v>
                </c:pt>
                <c:pt idx="4679">
                  <c:v>44858</c:v>
                </c:pt>
                <c:pt idx="4680">
                  <c:v>44859</c:v>
                </c:pt>
                <c:pt idx="4681">
                  <c:v>44860</c:v>
                </c:pt>
                <c:pt idx="4682">
                  <c:v>44861</c:v>
                </c:pt>
                <c:pt idx="4683">
                  <c:v>44862</c:v>
                </c:pt>
                <c:pt idx="4684">
                  <c:v>44863</c:v>
                </c:pt>
                <c:pt idx="4685">
                  <c:v>44864</c:v>
                </c:pt>
                <c:pt idx="4686">
                  <c:v>44865</c:v>
                </c:pt>
                <c:pt idx="4687">
                  <c:v>44866</c:v>
                </c:pt>
                <c:pt idx="4688">
                  <c:v>44867</c:v>
                </c:pt>
                <c:pt idx="4689">
                  <c:v>44868</c:v>
                </c:pt>
                <c:pt idx="4690">
                  <c:v>44869</c:v>
                </c:pt>
                <c:pt idx="4691">
                  <c:v>44870</c:v>
                </c:pt>
                <c:pt idx="4692">
                  <c:v>44871</c:v>
                </c:pt>
                <c:pt idx="4693">
                  <c:v>44872</c:v>
                </c:pt>
                <c:pt idx="4694">
                  <c:v>44873</c:v>
                </c:pt>
                <c:pt idx="4695">
                  <c:v>44874</c:v>
                </c:pt>
                <c:pt idx="4696">
                  <c:v>44875</c:v>
                </c:pt>
                <c:pt idx="4697">
                  <c:v>44876</c:v>
                </c:pt>
                <c:pt idx="4698">
                  <c:v>44877</c:v>
                </c:pt>
                <c:pt idx="4699">
                  <c:v>44878</c:v>
                </c:pt>
                <c:pt idx="4700">
                  <c:v>44879</c:v>
                </c:pt>
                <c:pt idx="4701">
                  <c:v>44880</c:v>
                </c:pt>
                <c:pt idx="4702">
                  <c:v>44881</c:v>
                </c:pt>
                <c:pt idx="4703">
                  <c:v>44882</c:v>
                </c:pt>
                <c:pt idx="4704">
                  <c:v>44883</c:v>
                </c:pt>
                <c:pt idx="4705">
                  <c:v>44884</c:v>
                </c:pt>
                <c:pt idx="4706">
                  <c:v>44885</c:v>
                </c:pt>
                <c:pt idx="4707">
                  <c:v>44886</c:v>
                </c:pt>
                <c:pt idx="4708">
                  <c:v>44887</c:v>
                </c:pt>
                <c:pt idx="4709">
                  <c:v>44888</c:v>
                </c:pt>
                <c:pt idx="4710">
                  <c:v>44889</c:v>
                </c:pt>
                <c:pt idx="4711">
                  <c:v>44890</c:v>
                </c:pt>
                <c:pt idx="4712">
                  <c:v>44891</c:v>
                </c:pt>
                <c:pt idx="4713">
                  <c:v>44892</c:v>
                </c:pt>
                <c:pt idx="4714">
                  <c:v>44893</c:v>
                </c:pt>
                <c:pt idx="4715">
                  <c:v>44894</c:v>
                </c:pt>
                <c:pt idx="4716">
                  <c:v>44895</c:v>
                </c:pt>
                <c:pt idx="4717">
                  <c:v>44896</c:v>
                </c:pt>
                <c:pt idx="4718">
                  <c:v>44897</c:v>
                </c:pt>
                <c:pt idx="4719">
                  <c:v>44898</c:v>
                </c:pt>
                <c:pt idx="4720">
                  <c:v>44899</c:v>
                </c:pt>
                <c:pt idx="4721">
                  <c:v>44900</c:v>
                </c:pt>
                <c:pt idx="4722">
                  <c:v>44901</c:v>
                </c:pt>
                <c:pt idx="4723">
                  <c:v>44902</c:v>
                </c:pt>
                <c:pt idx="4724">
                  <c:v>44903</c:v>
                </c:pt>
                <c:pt idx="4725">
                  <c:v>44904</c:v>
                </c:pt>
                <c:pt idx="4726">
                  <c:v>44905</c:v>
                </c:pt>
                <c:pt idx="4727">
                  <c:v>44906</c:v>
                </c:pt>
                <c:pt idx="4728">
                  <c:v>44907</c:v>
                </c:pt>
                <c:pt idx="4729">
                  <c:v>44908</c:v>
                </c:pt>
                <c:pt idx="4730">
                  <c:v>44909</c:v>
                </c:pt>
                <c:pt idx="4731">
                  <c:v>44910</c:v>
                </c:pt>
                <c:pt idx="4732">
                  <c:v>44911</c:v>
                </c:pt>
                <c:pt idx="4733">
                  <c:v>44912</c:v>
                </c:pt>
                <c:pt idx="4734">
                  <c:v>44913</c:v>
                </c:pt>
                <c:pt idx="4735">
                  <c:v>44914</c:v>
                </c:pt>
                <c:pt idx="4736">
                  <c:v>44915</c:v>
                </c:pt>
                <c:pt idx="4737">
                  <c:v>44916</c:v>
                </c:pt>
                <c:pt idx="4738">
                  <c:v>44917</c:v>
                </c:pt>
                <c:pt idx="4739">
                  <c:v>44918</c:v>
                </c:pt>
                <c:pt idx="4740">
                  <c:v>44919</c:v>
                </c:pt>
                <c:pt idx="4741">
                  <c:v>44920</c:v>
                </c:pt>
                <c:pt idx="4742">
                  <c:v>44921</c:v>
                </c:pt>
                <c:pt idx="4743">
                  <c:v>44922</c:v>
                </c:pt>
                <c:pt idx="4744">
                  <c:v>44923</c:v>
                </c:pt>
                <c:pt idx="4745">
                  <c:v>44924</c:v>
                </c:pt>
                <c:pt idx="4746">
                  <c:v>44925</c:v>
                </c:pt>
                <c:pt idx="4747">
                  <c:v>44926</c:v>
                </c:pt>
                <c:pt idx="4748">
                  <c:v>44927</c:v>
                </c:pt>
                <c:pt idx="4749">
                  <c:v>44928</c:v>
                </c:pt>
                <c:pt idx="4750">
                  <c:v>44929</c:v>
                </c:pt>
                <c:pt idx="4751">
                  <c:v>44930</c:v>
                </c:pt>
                <c:pt idx="4752">
                  <c:v>44931</c:v>
                </c:pt>
                <c:pt idx="4753">
                  <c:v>44932</c:v>
                </c:pt>
                <c:pt idx="4754">
                  <c:v>44933</c:v>
                </c:pt>
                <c:pt idx="4755">
                  <c:v>44934</c:v>
                </c:pt>
                <c:pt idx="4756">
                  <c:v>44935</c:v>
                </c:pt>
                <c:pt idx="4757">
                  <c:v>44936</c:v>
                </c:pt>
                <c:pt idx="4758">
                  <c:v>44937</c:v>
                </c:pt>
                <c:pt idx="4759">
                  <c:v>44938</c:v>
                </c:pt>
                <c:pt idx="4760">
                  <c:v>44939</c:v>
                </c:pt>
                <c:pt idx="4761">
                  <c:v>44940</c:v>
                </c:pt>
                <c:pt idx="4762">
                  <c:v>44941</c:v>
                </c:pt>
                <c:pt idx="4763">
                  <c:v>44942</c:v>
                </c:pt>
                <c:pt idx="4764">
                  <c:v>44943</c:v>
                </c:pt>
                <c:pt idx="4765">
                  <c:v>44944</c:v>
                </c:pt>
                <c:pt idx="4766">
                  <c:v>44945</c:v>
                </c:pt>
                <c:pt idx="4767">
                  <c:v>44946</c:v>
                </c:pt>
                <c:pt idx="4768">
                  <c:v>44947</c:v>
                </c:pt>
                <c:pt idx="4769">
                  <c:v>44948</c:v>
                </c:pt>
                <c:pt idx="4770">
                  <c:v>44949</c:v>
                </c:pt>
                <c:pt idx="4771">
                  <c:v>44950</c:v>
                </c:pt>
                <c:pt idx="4772">
                  <c:v>44951</c:v>
                </c:pt>
                <c:pt idx="4773">
                  <c:v>44952</c:v>
                </c:pt>
                <c:pt idx="4774">
                  <c:v>44953</c:v>
                </c:pt>
                <c:pt idx="4775">
                  <c:v>44954</c:v>
                </c:pt>
                <c:pt idx="4776">
                  <c:v>44955</c:v>
                </c:pt>
                <c:pt idx="4777">
                  <c:v>44956</c:v>
                </c:pt>
                <c:pt idx="4778">
                  <c:v>44957</c:v>
                </c:pt>
                <c:pt idx="4779">
                  <c:v>44958</c:v>
                </c:pt>
                <c:pt idx="4780">
                  <c:v>44959</c:v>
                </c:pt>
                <c:pt idx="4781">
                  <c:v>44960</c:v>
                </c:pt>
                <c:pt idx="4782">
                  <c:v>44961</c:v>
                </c:pt>
                <c:pt idx="4783">
                  <c:v>44962</c:v>
                </c:pt>
                <c:pt idx="4784">
                  <c:v>44963</c:v>
                </c:pt>
                <c:pt idx="4785">
                  <c:v>44964</c:v>
                </c:pt>
                <c:pt idx="4786">
                  <c:v>44965</c:v>
                </c:pt>
                <c:pt idx="4787">
                  <c:v>44966</c:v>
                </c:pt>
                <c:pt idx="4788">
                  <c:v>44967</c:v>
                </c:pt>
                <c:pt idx="4789">
                  <c:v>44968</c:v>
                </c:pt>
                <c:pt idx="4790">
                  <c:v>44969</c:v>
                </c:pt>
                <c:pt idx="4791">
                  <c:v>44970</c:v>
                </c:pt>
                <c:pt idx="4792">
                  <c:v>44971</c:v>
                </c:pt>
                <c:pt idx="4793">
                  <c:v>44972</c:v>
                </c:pt>
                <c:pt idx="4794">
                  <c:v>44973</c:v>
                </c:pt>
                <c:pt idx="4795">
                  <c:v>44974</c:v>
                </c:pt>
                <c:pt idx="4796">
                  <c:v>44975</c:v>
                </c:pt>
                <c:pt idx="4797">
                  <c:v>44976</c:v>
                </c:pt>
                <c:pt idx="4798">
                  <c:v>44977</c:v>
                </c:pt>
                <c:pt idx="4799">
                  <c:v>44978</c:v>
                </c:pt>
                <c:pt idx="4800">
                  <c:v>44979</c:v>
                </c:pt>
                <c:pt idx="4801">
                  <c:v>44980</c:v>
                </c:pt>
                <c:pt idx="4802">
                  <c:v>44981</c:v>
                </c:pt>
                <c:pt idx="4803">
                  <c:v>44982</c:v>
                </c:pt>
                <c:pt idx="4804">
                  <c:v>44983</c:v>
                </c:pt>
                <c:pt idx="4805">
                  <c:v>44984</c:v>
                </c:pt>
                <c:pt idx="4806">
                  <c:v>44985</c:v>
                </c:pt>
                <c:pt idx="4807">
                  <c:v>44986</c:v>
                </c:pt>
                <c:pt idx="4808">
                  <c:v>44987</c:v>
                </c:pt>
                <c:pt idx="4809">
                  <c:v>44988</c:v>
                </c:pt>
                <c:pt idx="4810">
                  <c:v>44989</c:v>
                </c:pt>
                <c:pt idx="4811">
                  <c:v>44990</c:v>
                </c:pt>
                <c:pt idx="4812">
                  <c:v>44991</c:v>
                </c:pt>
                <c:pt idx="4813">
                  <c:v>44992</c:v>
                </c:pt>
                <c:pt idx="4814">
                  <c:v>44993</c:v>
                </c:pt>
                <c:pt idx="4815">
                  <c:v>44994</c:v>
                </c:pt>
                <c:pt idx="4816">
                  <c:v>44995</c:v>
                </c:pt>
                <c:pt idx="4817">
                  <c:v>44996</c:v>
                </c:pt>
                <c:pt idx="4818">
                  <c:v>44997</c:v>
                </c:pt>
                <c:pt idx="4819">
                  <c:v>44998</c:v>
                </c:pt>
                <c:pt idx="4820">
                  <c:v>44999</c:v>
                </c:pt>
                <c:pt idx="4821">
                  <c:v>45000</c:v>
                </c:pt>
                <c:pt idx="4822">
                  <c:v>45001</c:v>
                </c:pt>
                <c:pt idx="4823">
                  <c:v>45002</c:v>
                </c:pt>
                <c:pt idx="4824">
                  <c:v>45003</c:v>
                </c:pt>
                <c:pt idx="4825">
                  <c:v>45004</c:v>
                </c:pt>
                <c:pt idx="4826">
                  <c:v>45005</c:v>
                </c:pt>
                <c:pt idx="4827">
                  <c:v>45006</c:v>
                </c:pt>
                <c:pt idx="4828">
                  <c:v>45007</c:v>
                </c:pt>
                <c:pt idx="4829">
                  <c:v>45008</c:v>
                </c:pt>
                <c:pt idx="4830">
                  <c:v>45009</c:v>
                </c:pt>
                <c:pt idx="4831">
                  <c:v>45010</c:v>
                </c:pt>
                <c:pt idx="4832">
                  <c:v>45011</c:v>
                </c:pt>
                <c:pt idx="4833">
                  <c:v>45012</c:v>
                </c:pt>
                <c:pt idx="4834">
                  <c:v>45013</c:v>
                </c:pt>
                <c:pt idx="4835">
                  <c:v>45014</c:v>
                </c:pt>
                <c:pt idx="4836">
                  <c:v>45015</c:v>
                </c:pt>
                <c:pt idx="4837">
                  <c:v>45016</c:v>
                </c:pt>
                <c:pt idx="4838">
                  <c:v>45017</c:v>
                </c:pt>
                <c:pt idx="4839">
                  <c:v>45018</c:v>
                </c:pt>
                <c:pt idx="4840">
                  <c:v>45019</c:v>
                </c:pt>
                <c:pt idx="4841">
                  <c:v>45020</c:v>
                </c:pt>
                <c:pt idx="4842">
                  <c:v>45021</c:v>
                </c:pt>
                <c:pt idx="4843">
                  <c:v>45022</c:v>
                </c:pt>
                <c:pt idx="4844">
                  <c:v>45023</c:v>
                </c:pt>
                <c:pt idx="4845">
                  <c:v>45024</c:v>
                </c:pt>
                <c:pt idx="4846">
                  <c:v>45025</c:v>
                </c:pt>
                <c:pt idx="4847">
                  <c:v>45026</c:v>
                </c:pt>
                <c:pt idx="4848">
                  <c:v>45027</c:v>
                </c:pt>
                <c:pt idx="4849">
                  <c:v>45028</c:v>
                </c:pt>
                <c:pt idx="4850">
                  <c:v>45029</c:v>
                </c:pt>
                <c:pt idx="4851">
                  <c:v>45030</c:v>
                </c:pt>
                <c:pt idx="4852">
                  <c:v>45031</c:v>
                </c:pt>
                <c:pt idx="4853">
                  <c:v>45032</c:v>
                </c:pt>
                <c:pt idx="4854">
                  <c:v>45033</c:v>
                </c:pt>
                <c:pt idx="4855">
                  <c:v>45034</c:v>
                </c:pt>
                <c:pt idx="4856">
                  <c:v>45035</c:v>
                </c:pt>
                <c:pt idx="4857">
                  <c:v>45036</c:v>
                </c:pt>
                <c:pt idx="4858">
                  <c:v>45037</c:v>
                </c:pt>
                <c:pt idx="4859">
                  <c:v>45038</c:v>
                </c:pt>
                <c:pt idx="4860">
                  <c:v>45039</c:v>
                </c:pt>
                <c:pt idx="4861">
                  <c:v>45040</c:v>
                </c:pt>
                <c:pt idx="4862">
                  <c:v>45041</c:v>
                </c:pt>
                <c:pt idx="4863">
                  <c:v>45042</c:v>
                </c:pt>
                <c:pt idx="4864">
                  <c:v>45043</c:v>
                </c:pt>
                <c:pt idx="4865">
                  <c:v>45044</c:v>
                </c:pt>
                <c:pt idx="4866">
                  <c:v>45045</c:v>
                </c:pt>
                <c:pt idx="4867">
                  <c:v>45046</c:v>
                </c:pt>
                <c:pt idx="4868">
                  <c:v>45047</c:v>
                </c:pt>
                <c:pt idx="4869">
                  <c:v>45048</c:v>
                </c:pt>
                <c:pt idx="4870">
                  <c:v>45049</c:v>
                </c:pt>
                <c:pt idx="4871">
                  <c:v>45050</c:v>
                </c:pt>
                <c:pt idx="4872">
                  <c:v>45051</c:v>
                </c:pt>
                <c:pt idx="4873">
                  <c:v>45052</c:v>
                </c:pt>
                <c:pt idx="4874">
                  <c:v>45053</c:v>
                </c:pt>
                <c:pt idx="4875">
                  <c:v>45054</c:v>
                </c:pt>
                <c:pt idx="4876">
                  <c:v>45055</c:v>
                </c:pt>
                <c:pt idx="4877">
                  <c:v>45056</c:v>
                </c:pt>
                <c:pt idx="4878">
                  <c:v>45057</c:v>
                </c:pt>
                <c:pt idx="4879">
                  <c:v>45058</c:v>
                </c:pt>
                <c:pt idx="4880">
                  <c:v>45059</c:v>
                </c:pt>
                <c:pt idx="4881">
                  <c:v>45060</c:v>
                </c:pt>
                <c:pt idx="4882">
                  <c:v>45061</c:v>
                </c:pt>
                <c:pt idx="4883">
                  <c:v>45062</c:v>
                </c:pt>
                <c:pt idx="4884">
                  <c:v>45063</c:v>
                </c:pt>
                <c:pt idx="4885">
                  <c:v>45064</c:v>
                </c:pt>
                <c:pt idx="4886">
                  <c:v>45065</c:v>
                </c:pt>
                <c:pt idx="4887">
                  <c:v>45066</c:v>
                </c:pt>
                <c:pt idx="4888">
                  <c:v>45067</c:v>
                </c:pt>
                <c:pt idx="4889">
                  <c:v>45068</c:v>
                </c:pt>
                <c:pt idx="4890">
                  <c:v>45069</c:v>
                </c:pt>
                <c:pt idx="4891">
                  <c:v>45070</c:v>
                </c:pt>
                <c:pt idx="4892">
                  <c:v>45071</c:v>
                </c:pt>
                <c:pt idx="4893">
                  <c:v>45072</c:v>
                </c:pt>
                <c:pt idx="4894">
                  <c:v>45073</c:v>
                </c:pt>
                <c:pt idx="4895">
                  <c:v>45074</c:v>
                </c:pt>
                <c:pt idx="4896">
                  <c:v>45075</c:v>
                </c:pt>
                <c:pt idx="4897">
                  <c:v>45076</c:v>
                </c:pt>
                <c:pt idx="4898">
                  <c:v>45077</c:v>
                </c:pt>
                <c:pt idx="4899">
                  <c:v>45078</c:v>
                </c:pt>
                <c:pt idx="4900">
                  <c:v>45079</c:v>
                </c:pt>
                <c:pt idx="4901">
                  <c:v>45080</c:v>
                </c:pt>
                <c:pt idx="4902">
                  <c:v>45081</c:v>
                </c:pt>
                <c:pt idx="4903">
                  <c:v>45082</c:v>
                </c:pt>
                <c:pt idx="4904">
                  <c:v>45083</c:v>
                </c:pt>
                <c:pt idx="4905">
                  <c:v>45084</c:v>
                </c:pt>
                <c:pt idx="4906">
                  <c:v>45085</c:v>
                </c:pt>
                <c:pt idx="4907">
                  <c:v>45086</c:v>
                </c:pt>
                <c:pt idx="4908">
                  <c:v>45087</c:v>
                </c:pt>
                <c:pt idx="4909">
                  <c:v>45088</c:v>
                </c:pt>
                <c:pt idx="4910">
                  <c:v>45089</c:v>
                </c:pt>
                <c:pt idx="4911">
                  <c:v>45090</c:v>
                </c:pt>
                <c:pt idx="4912">
                  <c:v>45091</c:v>
                </c:pt>
                <c:pt idx="4913">
                  <c:v>45092</c:v>
                </c:pt>
                <c:pt idx="4914">
                  <c:v>45093</c:v>
                </c:pt>
                <c:pt idx="4915">
                  <c:v>45094</c:v>
                </c:pt>
                <c:pt idx="4916">
                  <c:v>45095</c:v>
                </c:pt>
                <c:pt idx="4917">
                  <c:v>45096</c:v>
                </c:pt>
                <c:pt idx="4918">
                  <c:v>45097</c:v>
                </c:pt>
                <c:pt idx="4919">
                  <c:v>45098</c:v>
                </c:pt>
                <c:pt idx="4920">
                  <c:v>45099</c:v>
                </c:pt>
                <c:pt idx="4921">
                  <c:v>45100</c:v>
                </c:pt>
                <c:pt idx="4922">
                  <c:v>45101</c:v>
                </c:pt>
                <c:pt idx="4923">
                  <c:v>45102</c:v>
                </c:pt>
                <c:pt idx="4924">
                  <c:v>45103</c:v>
                </c:pt>
                <c:pt idx="4925">
                  <c:v>45104</c:v>
                </c:pt>
                <c:pt idx="4926">
                  <c:v>45105</c:v>
                </c:pt>
                <c:pt idx="4927">
                  <c:v>45106</c:v>
                </c:pt>
                <c:pt idx="4928">
                  <c:v>45107</c:v>
                </c:pt>
                <c:pt idx="4929">
                  <c:v>45108</c:v>
                </c:pt>
                <c:pt idx="4930">
                  <c:v>45109</c:v>
                </c:pt>
                <c:pt idx="4931">
                  <c:v>45110</c:v>
                </c:pt>
                <c:pt idx="4932">
                  <c:v>45111</c:v>
                </c:pt>
                <c:pt idx="4933">
                  <c:v>45112</c:v>
                </c:pt>
                <c:pt idx="4934">
                  <c:v>45113</c:v>
                </c:pt>
                <c:pt idx="4935">
                  <c:v>45114</c:v>
                </c:pt>
                <c:pt idx="4936">
                  <c:v>45115</c:v>
                </c:pt>
                <c:pt idx="4937">
                  <c:v>45116</c:v>
                </c:pt>
                <c:pt idx="4938">
                  <c:v>45117</c:v>
                </c:pt>
                <c:pt idx="4939">
                  <c:v>45118</c:v>
                </c:pt>
                <c:pt idx="4940">
                  <c:v>45119</c:v>
                </c:pt>
                <c:pt idx="4941">
                  <c:v>45120</c:v>
                </c:pt>
                <c:pt idx="4942">
                  <c:v>45121</c:v>
                </c:pt>
                <c:pt idx="4943">
                  <c:v>45122</c:v>
                </c:pt>
                <c:pt idx="4944">
                  <c:v>45123</c:v>
                </c:pt>
                <c:pt idx="4945">
                  <c:v>45124</c:v>
                </c:pt>
                <c:pt idx="4946">
                  <c:v>45125</c:v>
                </c:pt>
                <c:pt idx="4947">
                  <c:v>45126</c:v>
                </c:pt>
                <c:pt idx="4948">
                  <c:v>45127</c:v>
                </c:pt>
                <c:pt idx="4949">
                  <c:v>45128</c:v>
                </c:pt>
                <c:pt idx="4950">
                  <c:v>45129</c:v>
                </c:pt>
                <c:pt idx="4951">
                  <c:v>45130</c:v>
                </c:pt>
                <c:pt idx="4952">
                  <c:v>45131</c:v>
                </c:pt>
                <c:pt idx="4953">
                  <c:v>45132</c:v>
                </c:pt>
                <c:pt idx="4954">
                  <c:v>45133</c:v>
                </c:pt>
                <c:pt idx="4955">
                  <c:v>45134</c:v>
                </c:pt>
                <c:pt idx="4956">
                  <c:v>45135</c:v>
                </c:pt>
                <c:pt idx="4957">
                  <c:v>45136</c:v>
                </c:pt>
                <c:pt idx="4958">
                  <c:v>45137</c:v>
                </c:pt>
                <c:pt idx="4959">
                  <c:v>45138</c:v>
                </c:pt>
                <c:pt idx="4960">
                  <c:v>45139</c:v>
                </c:pt>
                <c:pt idx="4961">
                  <c:v>45140</c:v>
                </c:pt>
                <c:pt idx="4962">
                  <c:v>45141</c:v>
                </c:pt>
                <c:pt idx="4963">
                  <c:v>45142</c:v>
                </c:pt>
                <c:pt idx="4964">
                  <c:v>45143</c:v>
                </c:pt>
                <c:pt idx="4965">
                  <c:v>45144</c:v>
                </c:pt>
                <c:pt idx="4966">
                  <c:v>45145</c:v>
                </c:pt>
                <c:pt idx="4967">
                  <c:v>45146</c:v>
                </c:pt>
                <c:pt idx="4968">
                  <c:v>45147</c:v>
                </c:pt>
                <c:pt idx="4969">
                  <c:v>45148</c:v>
                </c:pt>
                <c:pt idx="4970">
                  <c:v>45149</c:v>
                </c:pt>
                <c:pt idx="4971">
                  <c:v>45150</c:v>
                </c:pt>
                <c:pt idx="4972">
                  <c:v>45151</c:v>
                </c:pt>
                <c:pt idx="4973">
                  <c:v>45152</c:v>
                </c:pt>
                <c:pt idx="4974">
                  <c:v>45153</c:v>
                </c:pt>
                <c:pt idx="4975">
                  <c:v>45154</c:v>
                </c:pt>
                <c:pt idx="4976">
                  <c:v>45155</c:v>
                </c:pt>
                <c:pt idx="4977">
                  <c:v>45156</c:v>
                </c:pt>
                <c:pt idx="4978">
                  <c:v>45157</c:v>
                </c:pt>
                <c:pt idx="4979">
                  <c:v>45158</c:v>
                </c:pt>
                <c:pt idx="4980">
                  <c:v>45159</c:v>
                </c:pt>
                <c:pt idx="4981">
                  <c:v>45160</c:v>
                </c:pt>
                <c:pt idx="4982">
                  <c:v>45161</c:v>
                </c:pt>
                <c:pt idx="4983">
                  <c:v>45162</c:v>
                </c:pt>
                <c:pt idx="4984">
                  <c:v>45163</c:v>
                </c:pt>
                <c:pt idx="4985">
                  <c:v>45164</c:v>
                </c:pt>
                <c:pt idx="4986">
                  <c:v>45165</c:v>
                </c:pt>
                <c:pt idx="4987">
                  <c:v>45166</c:v>
                </c:pt>
                <c:pt idx="4988">
                  <c:v>45167</c:v>
                </c:pt>
                <c:pt idx="4989">
                  <c:v>45168</c:v>
                </c:pt>
                <c:pt idx="4990">
                  <c:v>45169</c:v>
                </c:pt>
                <c:pt idx="4991">
                  <c:v>45170</c:v>
                </c:pt>
                <c:pt idx="4992">
                  <c:v>45171</c:v>
                </c:pt>
                <c:pt idx="4993">
                  <c:v>45172</c:v>
                </c:pt>
                <c:pt idx="4994">
                  <c:v>45173</c:v>
                </c:pt>
                <c:pt idx="4995">
                  <c:v>45174</c:v>
                </c:pt>
                <c:pt idx="4996">
                  <c:v>45175</c:v>
                </c:pt>
                <c:pt idx="4997">
                  <c:v>45176</c:v>
                </c:pt>
                <c:pt idx="4998">
                  <c:v>45177</c:v>
                </c:pt>
                <c:pt idx="4999">
                  <c:v>45178</c:v>
                </c:pt>
                <c:pt idx="5000">
                  <c:v>45179</c:v>
                </c:pt>
                <c:pt idx="5001">
                  <c:v>45180</c:v>
                </c:pt>
                <c:pt idx="5002">
                  <c:v>45181</c:v>
                </c:pt>
                <c:pt idx="5003">
                  <c:v>45182</c:v>
                </c:pt>
                <c:pt idx="5004">
                  <c:v>45183</c:v>
                </c:pt>
                <c:pt idx="5005">
                  <c:v>45184</c:v>
                </c:pt>
                <c:pt idx="5006">
                  <c:v>45185</c:v>
                </c:pt>
                <c:pt idx="5007">
                  <c:v>45186</c:v>
                </c:pt>
                <c:pt idx="5008">
                  <c:v>45187</c:v>
                </c:pt>
                <c:pt idx="5009">
                  <c:v>45188</c:v>
                </c:pt>
                <c:pt idx="5010">
                  <c:v>45189</c:v>
                </c:pt>
                <c:pt idx="5011">
                  <c:v>45190</c:v>
                </c:pt>
                <c:pt idx="5012">
                  <c:v>45191</c:v>
                </c:pt>
                <c:pt idx="5013">
                  <c:v>45192</c:v>
                </c:pt>
                <c:pt idx="5014">
                  <c:v>45193</c:v>
                </c:pt>
                <c:pt idx="5015">
                  <c:v>45194</c:v>
                </c:pt>
                <c:pt idx="5016">
                  <c:v>45195</c:v>
                </c:pt>
                <c:pt idx="5017">
                  <c:v>45196</c:v>
                </c:pt>
                <c:pt idx="5018">
                  <c:v>45197</c:v>
                </c:pt>
                <c:pt idx="5019">
                  <c:v>45198</c:v>
                </c:pt>
                <c:pt idx="5020">
                  <c:v>45199</c:v>
                </c:pt>
                <c:pt idx="5021">
                  <c:v>45200</c:v>
                </c:pt>
                <c:pt idx="5022">
                  <c:v>45201</c:v>
                </c:pt>
                <c:pt idx="5023">
                  <c:v>45202</c:v>
                </c:pt>
                <c:pt idx="5024">
                  <c:v>45203</c:v>
                </c:pt>
                <c:pt idx="5025">
                  <c:v>45204</c:v>
                </c:pt>
                <c:pt idx="5026">
                  <c:v>45205</c:v>
                </c:pt>
                <c:pt idx="5027">
                  <c:v>45206</c:v>
                </c:pt>
                <c:pt idx="5028">
                  <c:v>45207</c:v>
                </c:pt>
                <c:pt idx="5029">
                  <c:v>45208</c:v>
                </c:pt>
                <c:pt idx="5030">
                  <c:v>45209</c:v>
                </c:pt>
                <c:pt idx="5031">
                  <c:v>45210</c:v>
                </c:pt>
                <c:pt idx="5032">
                  <c:v>45211</c:v>
                </c:pt>
                <c:pt idx="5033">
                  <c:v>45212</c:v>
                </c:pt>
                <c:pt idx="5034">
                  <c:v>45213</c:v>
                </c:pt>
                <c:pt idx="5035">
                  <c:v>45214</c:v>
                </c:pt>
                <c:pt idx="5036">
                  <c:v>45215</c:v>
                </c:pt>
                <c:pt idx="5037">
                  <c:v>45216</c:v>
                </c:pt>
                <c:pt idx="5038">
                  <c:v>45217</c:v>
                </c:pt>
                <c:pt idx="5039">
                  <c:v>45218</c:v>
                </c:pt>
                <c:pt idx="5040">
                  <c:v>45219</c:v>
                </c:pt>
                <c:pt idx="5041">
                  <c:v>45220</c:v>
                </c:pt>
                <c:pt idx="5042">
                  <c:v>45221</c:v>
                </c:pt>
                <c:pt idx="5043">
                  <c:v>45222</c:v>
                </c:pt>
                <c:pt idx="5044">
                  <c:v>45223</c:v>
                </c:pt>
                <c:pt idx="5045">
                  <c:v>45224</c:v>
                </c:pt>
                <c:pt idx="5046">
                  <c:v>45225</c:v>
                </c:pt>
                <c:pt idx="5047">
                  <c:v>45226</c:v>
                </c:pt>
                <c:pt idx="5048">
                  <c:v>45227</c:v>
                </c:pt>
                <c:pt idx="5049">
                  <c:v>45228</c:v>
                </c:pt>
                <c:pt idx="5050">
                  <c:v>45229</c:v>
                </c:pt>
                <c:pt idx="5051">
                  <c:v>45230</c:v>
                </c:pt>
                <c:pt idx="5052">
                  <c:v>45231</c:v>
                </c:pt>
                <c:pt idx="5053">
                  <c:v>45232</c:v>
                </c:pt>
                <c:pt idx="5054">
                  <c:v>45233</c:v>
                </c:pt>
                <c:pt idx="5055">
                  <c:v>45234</c:v>
                </c:pt>
                <c:pt idx="5056">
                  <c:v>45235</c:v>
                </c:pt>
                <c:pt idx="5057">
                  <c:v>45236</c:v>
                </c:pt>
                <c:pt idx="5058">
                  <c:v>45237</c:v>
                </c:pt>
                <c:pt idx="5059">
                  <c:v>45238</c:v>
                </c:pt>
                <c:pt idx="5060">
                  <c:v>45239</c:v>
                </c:pt>
                <c:pt idx="5061">
                  <c:v>45240</c:v>
                </c:pt>
                <c:pt idx="5062">
                  <c:v>45241</c:v>
                </c:pt>
                <c:pt idx="5063">
                  <c:v>45242</c:v>
                </c:pt>
                <c:pt idx="5064">
                  <c:v>45243</c:v>
                </c:pt>
                <c:pt idx="5065">
                  <c:v>45244</c:v>
                </c:pt>
                <c:pt idx="5066">
                  <c:v>45245</c:v>
                </c:pt>
                <c:pt idx="5067">
                  <c:v>45246</c:v>
                </c:pt>
                <c:pt idx="5068">
                  <c:v>45247</c:v>
                </c:pt>
                <c:pt idx="5069">
                  <c:v>45248</c:v>
                </c:pt>
                <c:pt idx="5070">
                  <c:v>45249</c:v>
                </c:pt>
                <c:pt idx="5071">
                  <c:v>45250</c:v>
                </c:pt>
                <c:pt idx="5072">
                  <c:v>45251</c:v>
                </c:pt>
                <c:pt idx="5073">
                  <c:v>45252</c:v>
                </c:pt>
                <c:pt idx="5074">
                  <c:v>45253</c:v>
                </c:pt>
                <c:pt idx="5075">
                  <c:v>45254</c:v>
                </c:pt>
                <c:pt idx="5076">
                  <c:v>45255</c:v>
                </c:pt>
                <c:pt idx="5077">
                  <c:v>45256</c:v>
                </c:pt>
                <c:pt idx="5078">
                  <c:v>45257</c:v>
                </c:pt>
                <c:pt idx="5079">
                  <c:v>45258</c:v>
                </c:pt>
                <c:pt idx="5080">
                  <c:v>45259</c:v>
                </c:pt>
                <c:pt idx="5081">
                  <c:v>45260</c:v>
                </c:pt>
                <c:pt idx="5082">
                  <c:v>45261</c:v>
                </c:pt>
                <c:pt idx="5083">
                  <c:v>45262</c:v>
                </c:pt>
                <c:pt idx="5084">
                  <c:v>45263</c:v>
                </c:pt>
                <c:pt idx="5085">
                  <c:v>45264</c:v>
                </c:pt>
                <c:pt idx="5086">
                  <c:v>45265</c:v>
                </c:pt>
                <c:pt idx="5087">
                  <c:v>45266</c:v>
                </c:pt>
                <c:pt idx="5088">
                  <c:v>45267</c:v>
                </c:pt>
                <c:pt idx="5089">
                  <c:v>45268</c:v>
                </c:pt>
                <c:pt idx="5090">
                  <c:v>45269</c:v>
                </c:pt>
                <c:pt idx="5091">
                  <c:v>45270</c:v>
                </c:pt>
                <c:pt idx="5092">
                  <c:v>45271</c:v>
                </c:pt>
                <c:pt idx="5093">
                  <c:v>45272</c:v>
                </c:pt>
                <c:pt idx="5094">
                  <c:v>45273</c:v>
                </c:pt>
                <c:pt idx="5095">
                  <c:v>45274</c:v>
                </c:pt>
                <c:pt idx="5096">
                  <c:v>45275</c:v>
                </c:pt>
                <c:pt idx="5097">
                  <c:v>45276</c:v>
                </c:pt>
                <c:pt idx="5098">
                  <c:v>45277</c:v>
                </c:pt>
                <c:pt idx="5099">
                  <c:v>45278</c:v>
                </c:pt>
                <c:pt idx="5100">
                  <c:v>45279</c:v>
                </c:pt>
                <c:pt idx="5101">
                  <c:v>45280</c:v>
                </c:pt>
                <c:pt idx="5102">
                  <c:v>45281</c:v>
                </c:pt>
                <c:pt idx="5103">
                  <c:v>45282</c:v>
                </c:pt>
                <c:pt idx="5104">
                  <c:v>45283</c:v>
                </c:pt>
                <c:pt idx="5105">
                  <c:v>45284</c:v>
                </c:pt>
                <c:pt idx="5106">
                  <c:v>45285</c:v>
                </c:pt>
                <c:pt idx="5107">
                  <c:v>45286</c:v>
                </c:pt>
                <c:pt idx="5108">
                  <c:v>45287</c:v>
                </c:pt>
                <c:pt idx="5109">
                  <c:v>45288</c:v>
                </c:pt>
                <c:pt idx="5110">
                  <c:v>45289</c:v>
                </c:pt>
                <c:pt idx="5111">
                  <c:v>45290</c:v>
                </c:pt>
                <c:pt idx="5112">
                  <c:v>45291</c:v>
                </c:pt>
                <c:pt idx="5113">
                  <c:v>45292</c:v>
                </c:pt>
                <c:pt idx="5114">
                  <c:v>45293</c:v>
                </c:pt>
                <c:pt idx="5115">
                  <c:v>45294</c:v>
                </c:pt>
                <c:pt idx="5116">
                  <c:v>45295</c:v>
                </c:pt>
                <c:pt idx="5117">
                  <c:v>45296</c:v>
                </c:pt>
                <c:pt idx="5118">
                  <c:v>45297</c:v>
                </c:pt>
                <c:pt idx="5119">
                  <c:v>45298</c:v>
                </c:pt>
                <c:pt idx="5120">
                  <c:v>45299</c:v>
                </c:pt>
                <c:pt idx="5121">
                  <c:v>45300</c:v>
                </c:pt>
                <c:pt idx="5122">
                  <c:v>45301</c:v>
                </c:pt>
                <c:pt idx="5123">
                  <c:v>45302</c:v>
                </c:pt>
              </c:numCache>
            </c:numRef>
          </c:cat>
          <c:val>
            <c:numRef>
              <c:f>Data!$B$462:$B$6305</c:f>
              <c:numCache>
                <c:formatCode>0.000</c:formatCode>
                <c:ptCount val="5844"/>
                <c:pt idx="0">
                  <c:v>84.389399999999995</c:v>
                </c:pt>
                <c:pt idx="1">
                  <c:v>84.405100000000004</c:v>
                </c:pt>
                <c:pt idx="2">
                  <c:v>84.4208</c:v>
                </c:pt>
                <c:pt idx="3">
                  <c:v>84.436300000000003</c:v>
                </c:pt>
                <c:pt idx="4">
                  <c:v>84.682199999999995</c:v>
                </c:pt>
                <c:pt idx="5">
                  <c:v>84.729100000000003</c:v>
                </c:pt>
                <c:pt idx="6">
                  <c:v>84.7453</c:v>
                </c:pt>
                <c:pt idx="7">
                  <c:v>84.795699999999997</c:v>
                </c:pt>
                <c:pt idx="8">
                  <c:v>84.746499999999997</c:v>
                </c:pt>
                <c:pt idx="9">
                  <c:v>84.714800000000011</c:v>
                </c:pt>
                <c:pt idx="10">
                  <c:v>84.793300000000002</c:v>
                </c:pt>
                <c:pt idx="11">
                  <c:v>85.094300000000004</c:v>
                </c:pt>
                <c:pt idx="12">
                  <c:v>84.952800000000011</c:v>
                </c:pt>
                <c:pt idx="13">
                  <c:v>84.792000000000002</c:v>
                </c:pt>
                <c:pt idx="14">
                  <c:v>84.699100000000001</c:v>
                </c:pt>
                <c:pt idx="15">
                  <c:v>84.5762</c:v>
                </c:pt>
                <c:pt idx="16">
                  <c:v>84.617800000000003</c:v>
                </c:pt>
                <c:pt idx="17">
                  <c:v>84.339100000000002</c:v>
                </c:pt>
                <c:pt idx="18">
                  <c:v>84.453900000000004</c:v>
                </c:pt>
                <c:pt idx="19">
                  <c:v>84.633300000000006</c:v>
                </c:pt>
                <c:pt idx="20">
                  <c:v>84.570499999999996</c:v>
                </c:pt>
                <c:pt idx="21">
                  <c:v>84.603300000000004</c:v>
                </c:pt>
                <c:pt idx="22">
                  <c:v>84.637799999999999</c:v>
                </c:pt>
                <c:pt idx="23">
                  <c:v>84.590900000000005</c:v>
                </c:pt>
                <c:pt idx="24">
                  <c:v>84.631699999999995</c:v>
                </c:pt>
                <c:pt idx="25">
                  <c:v>84.585000000000008</c:v>
                </c:pt>
                <c:pt idx="26">
                  <c:v>84.478999999999999</c:v>
                </c:pt>
                <c:pt idx="27">
                  <c:v>84.623800000000003</c:v>
                </c:pt>
                <c:pt idx="28">
                  <c:v>84.702100000000002</c:v>
                </c:pt>
                <c:pt idx="29">
                  <c:v>84.6875</c:v>
                </c:pt>
                <c:pt idx="30">
                  <c:v>84.677199999999999</c:v>
                </c:pt>
                <c:pt idx="31">
                  <c:v>84.590199999999996</c:v>
                </c:pt>
                <c:pt idx="32">
                  <c:v>84.94080000000001</c:v>
                </c:pt>
                <c:pt idx="33">
                  <c:v>85.094800000000006</c:v>
                </c:pt>
                <c:pt idx="34">
                  <c:v>85.018500000000003</c:v>
                </c:pt>
                <c:pt idx="35">
                  <c:v>85.156999999999996</c:v>
                </c:pt>
                <c:pt idx="36">
                  <c:v>85.011200000000002</c:v>
                </c:pt>
                <c:pt idx="37">
                  <c:v>84.962400000000017</c:v>
                </c:pt>
                <c:pt idx="38">
                  <c:v>84.978700000000003</c:v>
                </c:pt>
                <c:pt idx="39">
                  <c:v>84.907499999999999</c:v>
                </c:pt>
                <c:pt idx="40">
                  <c:v>84.8857</c:v>
                </c:pt>
                <c:pt idx="41">
                  <c:v>84.862899999999996</c:v>
                </c:pt>
                <c:pt idx="42">
                  <c:v>84.916399999999996</c:v>
                </c:pt>
                <c:pt idx="43">
                  <c:v>84.943100000000001</c:v>
                </c:pt>
                <c:pt idx="44">
                  <c:v>84.97020000000002</c:v>
                </c:pt>
                <c:pt idx="45">
                  <c:v>84.947000000000003</c:v>
                </c:pt>
                <c:pt idx="46">
                  <c:v>84.861699999999999</c:v>
                </c:pt>
                <c:pt idx="47">
                  <c:v>84.847700000000003</c:v>
                </c:pt>
                <c:pt idx="48">
                  <c:v>84.830800000000011</c:v>
                </c:pt>
                <c:pt idx="49">
                  <c:v>84.788399999999996</c:v>
                </c:pt>
                <c:pt idx="50">
                  <c:v>84.691100000000006</c:v>
                </c:pt>
                <c:pt idx="51">
                  <c:v>84.691100000000006</c:v>
                </c:pt>
                <c:pt idx="52">
                  <c:v>85.124899999999997</c:v>
                </c:pt>
                <c:pt idx="53">
                  <c:v>84.97</c:v>
                </c:pt>
                <c:pt idx="54">
                  <c:v>84.871099999999998</c:v>
                </c:pt>
                <c:pt idx="55">
                  <c:v>84.858900000000006</c:v>
                </c:pt>
                <c:pt idx="56">
                  <c:v>84.866799999999998</c:v>
                </c:pt>
                <c:pt idx="57">
                  <c:v>84.896699999999996</c:v>
                </c:pt>
                <c:pt idx="58">
                  <c:v>84.868499999999997</c:v>
                </c:pt>
                <c:pt idx="59">
                  <c:v>85.048599999999993</c:v>
                </c:pt>
                <c:pt idx="60">
                  <c:v>85.145899999999997</c:v>
                </c:pt>
                <c:pt idx="61">
                  <c:v>84.952500000000001</c:v>
                </c:pt>
                <c:pt idx="62">
                  <c:v>85.066100000000006</c:v>
                </c:pt>
                <c:pt idx="63">
                  <c:v>84.907100000000014</c:v>
                </c:pt>
                <c:pt idx="64">
                  <c:v>84.798000000000002</c:v>
                </c:pt>
                <c:pt idx="65">
                  <c:v>84.802499999999995</c:v>
                </c:pt>
                <c:pt idx="66">
                  <c:v>84.868200000000002</c:v>
                </c:pt>
                <c:pt idx="67">
                  <c:v>84.525500000000008</c:v>
                </c:pt>
                <c:pt idx="68">
                  <c:v>84.626099999999994</c:v>
                </c:pt>
                <c:pt idx="69">
                  <c:v>84.239599999999996</c:v>
                </c:pt>
                <c:pt idx="70">
                  <c:v>84.261799999999994</c:v>
                </c:pt>
                <c:pt idx="71">
                  <c:v>84.465599999999995</c:v>
                </c:pt>
                <c:pt idx="72">
                  <c:v>84.465800000000002</c:v>
                </c:pt>
                <c:pt idx="73">
                  <c:v>84.002899999999997</c:v>
                </c:pt>
                <c:pt idx="74">
                  <c:v>84.229500000000002</c:v>
                </c:pt>
                <c:pt idx="75">
                  <c:v>84.380799999999994</c:v>
                </c:pt>
                <c:pt idx="76">
                  <c:v>84.399500000000003</c:v>
                </c:pt>
                <c:pt idx="77">
                  <c:v>85.023799999999994</c:v>
                </c:pt>
                <c:pt idx="78">
                  <c:v>83.943100000000001</c:v>
                </c:pt>
                <c:pt idx="79">
                  <c:v>83.959699999999998</c:v>
                </c:pt>
                <c:pt idx="80">
                  <c:v>84.007099999999994</c:v>
                </c:pt>
                <c:pt idx="81">
                  <c:v>84.021199999999993</c:v>
                </c:pt>
                <c:pt idx="82">
                  <c:v>84.254500000000007</c:v>
                </c:pt>
                <c:pt idx="83">
                  <c:v>84.003100000000003</c:v>
                </c:pt>
                <c:pt idx="84">
                  <c:v>83.685299999999998</c:v>
                </c:pt>
                <c:pt idx="85">
                  <c:v>83.784500000000008</c:v>
                </c:pt>
                <c:pt idx="86">
                  <c:v>83.785300000000007</c:v>
                </c:pt>
                <c:pt idx="87">
                  <c:v>83.839699999999993</c:v>
                </c:pt>
                <c:pt idx="88">
                  <c:v>84.070000000000007</c:v>
                </c:pt>
                <c:pt idx="89">
                  <c:v>84.132099999999994</c:v>
                </c:pt>
                <c:pt idx="90">
                  <c:v>84.026100000000014</c:v>
                </c:pt>
                <c:pt idx="91">
                  <c:v>83.917000000000002</c:v>
                </c:pt>
                <c:pt idx="92">
                  <c:v>84.152100000000004</c:v>
                </c:pt>
                <c:pt idx="93">
                  <c:v>84.1477</c:v>
                </c:pt>
                <c:pt idx="94">
                  <c:v>84.216899999999995</c:v>
                </c:pt>
                <c:pt idx="95">
                  <c:v>84.1357</c:v>
                </c:pt>
                <c:pt idx="96">
                  <c:v>84.070600000000013</c:v>
                </c:pt>
                <c:pt idx="97">
                  <c:v>83.512500000000003</c:v>
                </c:pt>
                <c:pt idx="98">
                  <c:v>83.645100000000014</c:v>
                </c:pt>
                <c:pt idx="99">
                  <c:v>83.268799999999999</c:v>
                </c:pt>
                <c:pt idx="100">
                  <c:v>83.249600000000001</c:v>
                </c:pt>
                <c:pt idx="101">
                  <c:v>83.342600000000004</c:v>
                </c:pt>
                <c:pt idx="102">
                  <c:v>83.636899999999997</c:v>
                </c:pt>
                <c:pt idx="103">
                  <c:v>83.870199999999997</c:v>
                </c:pt>
                <c:pt idx="104">
                  <c:v>84.111099999999993</c:v>
                </c:pt>
                <c:pt idx="105">
                  <c:v>84.040300000000002</c:v>
                </c:pt>
                <c:pt idx="106">
                  <c:v>84.168000000000006</c:v>
                </c:pt>
                <c:pt idx="107">
                  <c:v>84.171599999999998</c:v>
                </c:pt>
                <c:pt idx="108">
                  <c:v>84.156500000000008</c:v>
                </c:pt>
                <c:pt idx="109">
                  <c:v>84.155300000000011</c:v>
                </c:pt>
                <c:pt idx="110">
                  <c:v>84.134500000000003</c:v>
                </c:pt>
                <c:pt idx="111">
                  <c:v>83.918899999999994</c:v>
                </c:pt>
                <c:pt idx="112">
                  <c:v>83.992800000000003</c:v>
                </c:pt>
                <c:pt idx="113">
                  <c:v>84.001199999999997</c:v>
                </c:pt>
                <c:pt idx="114">
                  <c:v>83.992000000000004</c:v>
                </c:pt>
                <c:pt idx="115">
                  <c:v>84.153700000000001</c:v>
                </c:pt>
                <c:pt idx="116">
                  <c:v>84.133100000000013</c:v>
                </c:pt>
                <c:pt idx="117">
                  <c:v>84.1447</c:v>
                </c:pt>
                <c:pt idx="118">
                  <c:v>83.973100000000002</c:v>
                </c:pt>
                <c:pt idx="119">
                  <c:v>84.119900000000001</c:v>
                </c:pt>
                <c:pt idx="120">
                  <c:v>84.513099999999994</c:v>
                </c:pt>
                <c:pt idx="121">
                  <c:v>84.518699999999995</c:v>
                </c:pt>
                <c:pt idx="122">
                  <c:v>84.126900000000006</c:v>
                </c:pt>
                <c:pt idx="123">
                  <c:v>84.163799999999995</c:v>
                </c:pt>
                <c:pt idx="124">
                  <c:v>84.053899999999999</c:v>
                </c:pt>
                <c:pt idx="125">
                  <c:v>84.147099999999995</c:v>
                </c:pt>
                <c:pt idx="126">
                  <c:v>84.393199999999993</c:v>
                </c:pt>
                <c:pt idx="127">
                  <c:v>84.245199999999997</c:v>
                </c:pt>
                <c:pt idx="128">
                  <c:v>84.289400000000001</c:v>
                </c:pt>
                <c:pt idx="129">
                  <c:v>84.365200000000002</c:v>
                </c:pt>
                <c:pt idx="130">
                  <c:v>84.024699999999996</c:v>
                </c:pt>
                <c:pt idx="131">
                  <c:v>84.061600000000013</c:v>
                </c:pt>
                <c:pt idx="132">
                  <c:v>84.290500000000009</c:v>
                </c:pt>
                <c:pt idx="133">
                  <c:v>84.056600000000003</c:v>
                </c:pt>
                <c:pt idx="134">
                  <c:v>84.281700000000001</c:v>
                </c:pt>
                <c:pt idx="135">
                  <c:v>84.293599999999998</c:v>
                </c:pt>
                <c:pt idx="136">
                  <c:v>84.200500000000005</c:v>
                </c:pt>
                <c:pt idx="137">
                  <c:v>84.344899999999996</c:v>
                </c:pt>
                <c:pt idx="138">
                  <c:v>84.451899999999995</c:v>
                </c:pt>
                <c:pt idx="139">
                  <c:v>84.240899999999996</c:v>
                </c:pt>
                <c:pt idx="140">
                  <c:v>84.366900000000001</c:v>
                </c:pt>
                <c:pt idx="141">
                  <c:v>84.622500000000002</c:v>
                </c:pt>
                <c:pt idx="142">
                  <c:v>84.575400000000016</c:v>
                </c:pt>
                <c:pt idx="143">
                  <c:v>84.326999999999998</c:v>
                </c:pt>
                <c:pt idx="144">
                  <c:v>84.396000000000001</c:v>
                </c:pt>
                <c:pt idx="145">
                  <c:v>84.914100000000005</c:v>
                </c:pt>
                <c:pt idx="146">
                  <c:v>84.869799999999998</c:v>
                </c:pt>
                <c:pt idx="147">
                  <c:v>85.19380000000001</c:v>
                </c:pt>
                <c:pt idx="148">
                  <c:v>84.760300000000001</c:v>
                </c:pt>
                <c:pt idx="149">
                  <c:v>84.823700000000002</c:v>
                </c:pt>
                <c:pt idx="150">
                  <c:v>84.641300000000001</c:v>
                </c:pt>
                <c:pt idx="151">
                  <c:v>84.692800000000005</c:v>
                </c:pt>
                <c:pt idx="152">
                  <c:v>84.873099999999994</c:v>
                </c:pt>
                <c:pt idx="153">
                  <c:v>85.195899999999995</c:v>
                </c:pt>
                <c:pt idx="154">
                  <c:v>85.575000000000003</c:v>
                </c:pt>
                <c:pt idx="155">
                  <c:v>85.089800000000011</c:v>
                </c:pt>
                <c:pt idx="156">
                  <c:v>85.185599999999994</c:v>
                </c:pt>
                <c:pt idx="157">
                  <c:v>85.570800000000006</c:v>
                </c:pt>
                <c:pt idx="158">
                  <c:v>85.528400000000005</c:v>
                </c:pt>
                <c:pt idx="159">
                  <c:v>85.429000000000002</c:v>
                </c:pt>
                <c:pt idx="160">
                  <c:v>85.034700000000001</c:v>
                </c:pt>
                <c:pt idx="161">
                  <c:v>85.212299999999999</c:v>
                </c:pt>
                <c:pt idx="162">
                  <c:v>85.194500000000005</c:v>
                </c:pt>
                <c:pt idx="163">
                  <c:v>85.194500000000005</c:v>
                </c:pt>
                <c:pt idx="164">
                  <c:v>85.049499999999995</c:v>
                </c:pt>
                <c:pt idx="165">
                  <c:v>85.379000000000005</c:v>
                </c:pt>
                <c:pt idx="166">
                  <c:v>85.534800000000004</c:v>
                </c:pt>
                <c:pt idx="167">
                  <c:v>85.311999999999998</c:v>
                </c:pt>
                <c:pt idx="168">
                  <c:v>85.720699999999994</c:v>
                </c:pt>
                <c:pt idx="169">
                  <c:v>85.859800000000007</c:v>
                </c:pt>
                <c:pt idx="170">
                  <c:v>85.859800000000007</c:v>
                </c:pt>
                <c:pt idx="171">
                  <c:v>85.716800000000006</c:v>
                </c:pt>
                <c:pt idx="172">
                  <c:v>85.636200000000002</c:v>
                </c:pt>
                <c:pt idx="173">
                  <c:v>85.555099999999996</c:v>
                </c:pt>
                <c:pt idx="174">
                  <c:v>85.325000000000003</c:v>
                </c:pt>
                <c:pt idx="175">
                  <c:v>85.350800000000007</c:v>
                </c:pt>
                <c:pt idx="176">
                  <c:v>85.018500000000003</c:v>
                </c:pt>
                <c:pt idx="177">
                  <c:v>84.981999999999999</c:v>
                </c:pt>
                <c:pt idx="178">
                  <c:v>85.303100000000001</c:v>
                </c:pt>
                <c:pt idx="179">
                  <c:v>85.606700000000004</c:v>
                </c:pt>
                <c:pt idx="180">
                  <c:v>85.466499999999996</c:v>
                </c:pt>
                <c:pt idx="181">
                  <c:v>85.420400000000001</c:v>
                </c:pt>
                <c:pt idx="182">
                  <c:v>85.751400000000004</c:v>
                </c:pt>
                <c:pt idx="183">
                  <c:v>85.584299999999999</c:v>
                </c:pt>
                <c:pt idx="184">
                  <c:v>85.616799999999998</c:v>
                </c:pt>
                <c:pt idx="185">
                  <c:v>85.781199999999998</c:v>
                </c:pt>
                <c:pt idx="186">
                  <c:v>85.612899999999996</c:v>
                </c:pt>
                <c:pt idx="187">
                  <c:v>85.530799999999999</c:v>
                </c:pt>
                <c:pt idx="188">
                  <c:v>85.877600000000001</c:v>
                </c:pt>
                <c:pt idx="189">
                  <c:v>85.842399999999998</c:v>
                </c:pt>
                <c:pt idx="190">
                  <c:v>86.035600000000002</c:v>
                </c:pt>
                <c:pt idx="191">
                  <c:v>86.058199999999999</c:v>
                </c:pt>
                <c:pt idx="192">
                  <c:v>85.65470000000002</c:v>
                </c:pt>
                <c:pt idx="193">
                  <c:v>85.545900000000017</c:v>
                </c:pt>
                <c:pt idx="194">
                  <c:v>85.487499999999997</c:v>
                </c:pt>
                <c:pt idx="195">
                  <c:v>85.3262</c:v>
                </c:pt>
                <c:pt idx="196">
                  <c:v>85.510500000000008</c:v>
                </c:pt>
                <c:pt idx="197">
                  <c:v>85.928200000000004</c:v>
                </c:pt>
                <c:pt idx="198">
                  <c:v>85.924700000000001</c:v>
                </c:pt>
                <c:pt idx="199">
                  <c:v>85.802999999999997</c:v>
                </c:pt>
                <c:pt idx="200">
                  <c:v>85.644199999999998</c:v>
                </c:pt>
                <c:pt idx="201">
                  <c:v>85.517100000000013</c:v>
                </c:pt>
                <c:pt idx="202">
                  <c:v>85.337100000000007</c:v>
                </c:pt>
                <c:pt idx="203">
                  <c:v>85.28870000000002</c:v>
                </c:pt>
                <c:pt idx="204">
                  <c:v>85.155199999999994</c:v>
                </c:pt>
                <c:pt idx="205">
                  <c:v>85.149300000000011</c:v>
                </c:pt>
                <c:pt idx="206">
                  <c:v>85.2423</c:v>
                </c:pt>
                <c:pt idx="207">
                  <c:v>85.494900000000001</c:v>
                </c:pt>
                <c:pt idx="208">
                  <c:v>85.523100000000014</c:v>
                </c:pt>
                <c:pt idx="209">
                  <c:v>85.710800000000006</c:v>
                </c:pt>
                <c:pt idx="210">
                  <c:v>85.616600000000005</c:v>
                </c:pt>
                <c:pt idx="211">
                  <c:v>85.13</c:v>
                </c:pt>
                <c:pt idx="212">
                  <c:v>85.127300000000005</c:v>
                </c:pt>
                <c:pt idx="213">
                  <c:v>85.261100000000013</c:v>
                </c:pt>
                <c:pt idx="214">
                  <c:v>85.696899999999999</c:v>
                </c:pt>
                <c:pt idx="215">
                  <c:v>85.840599999999995</c:v>
                </c:pt>
                <c:pt idx="216">
                  <c:v>85.680400000000006</c:v>
                </c:pt>
                <c:pt idx="217">
                  <c:v>85.488100000000003</c:v>
                </c:pt>
                <c:pt idx="218">
                  <c:v>85.379599999999996</c:v>
                </c:pt>
                <c:pt idx="219">
                  <c:v>85.421199999999999</c:v>
                </c:pt>
                <c:pt idx="220">
                  <c:v>85.714500000000001</c:v>
                </c:pt>
                <c:pt idx="221">
                  <c:v>85.913499999999999</c:v>
                </c:pt>
                <c:pt idx="222">
                  <c:v>85.813699999999997</c:v>
                </c:pt>
                <c:pt idx="223">
                  <c:v>85.753600000000006</c:v>
                </c:pt>
                <c:pt idx="224">
                  <c:v>85.771100000000004</c:v>
                </c:pt>
                <c:pt idx="225">
                  <c:v>85.300399999999996</c:v>
                </c:pt>
                <c:pt idx="226">
                  <c:v>85.2834</c:v>
                </c:pt>
                <c:pt idx="227">
                  <c:v>85.293099999999995</c:v>
                </c:pt>
                <c:pt idx="228">
                  <c:v>85.580399999999997</c:v>
                </c:pt>
                <c:pt idx="229">
                  <c:v>85.402799999999999</c:v>
                </c:pt>
                <c:pt idx="230">
                  <c:v>85.635199999999998</c:v>
                </c:pt>
                <c:pt idx="231">
                  <c:v>85.778500000000008</c:v>
                </c:pt>
                <c:pt idx="232">
                  <c:v>85.546800000000005</c:v>
                </c:pt>
                <c:pt idx="233">
                  <c:v>85.547200000000004</c:v>
                </c:pt>
                <c:pt idx="234">
                  <c:v>85.615300000000005</c:v>
                </c:pt>
                <c:pt idx="235">
                  <c:v>85.953299999999999</c:v>
                </c:pt>
                <c:pt idx="236">
                  <c:v>85.912500000000009</c:v>
                </c:pt>
                <c:pt idx="237">
                  <c:v>85.581400000000016</c:v>
                </c:pt>
                <c:pt idx="238">
                  <c:v>85.452699999999993</c:v>
                </c:pt>
                <c:pt idx="239">
                  <c:v>85.2547</c:v>
                </c:pt>
                <c:pt idx="240">
                  <c:v>85.233000000000004</c:v>
                </c:pt>
                <c:pt idx="241">
                  <c:v>85.5077</c:v>
                </c:pt>
                <c:pt idx="242">
                  <c:v>85.808199999999999</c:v>
                </c:pt>
                <c:pt idx="243">
                  <c:v>85.598500000000001</c:v>
                </c:pt>
                <c:pt idx="244">
                  <c:v>85.804900000000004</c:v>
                </c:pt>
                <c:pt idx="245">
                  <c:v>85.501500000000007</c:v>
                </c:pt>
                <c:pt idx="246">
                  <c:v>85.119</c:v>
                </c:pt>
                <c:pt idx="247">
                  <c:v>85.122600000000006</c:v>
                </c:pt>
                <c:pt idx="248">
                  <c:v>85.401300000000006</c:v>
                </c:pt>
                <c:pt idx="249">
                  <c:v>85.751599999999996</c:v>
                </c:pt>
                <c:pt idx="250">
                  <c:v>85.819800000000001</c:v>
                </c:pt>
                <c:pt idx="251">
                  <c:v>85.802199999999999</c:v>
                </c:pt>
                <c:pt idx="252">
                  <c:v>85.588899999999995</c:v>
                </c:pt>
                <c:pt idx="253">
                  <c:v>85.754900000000006</c:v>
                </c:pt>
                <c:pt idx="254">
                  <c:v>85.740499999999997</c:v>
                </c:pt>
                <c:pt idx="255">
                  <c:v>85.510300000000001</c:v>
                </c:pt>
                <c:pt idx="256">
                  <c:v>85.556700000000006</c:v>
                </c:pt>
                <c:pt idx="257">
                  <c:v>85.783100000000005</c:v>
                </c:pt>
                <c:pt idx="258">
                  <c:v>85.719099999999997</c:v>
                </c:pt>
                <c:pt idx="259">
                  <c:v>85.744</c:v>
                </c:pt>
                <c:pt idx="260">
                  <c:v>85.919899999999998</c:v>
                </c:pt>
                <c:pt idx="261">
                  <c:v>86.107299999999995</c:v>
                </c:pt>
                <c:pt idx="262">
                  <c:v>86.025700000000001</c:v>
                </c:pt>
                <c:pt idx="263">
                  <c:v>85.738100000000003</c:v>
                </c:pt>
                <c:pt idx="264">
                  <c:v>85.948999999999998</c:v>
                </c:pt>
                <c:pt idx="265">
                  <c:v>86.049099999999996</c:v>
                </c:pt>
                <c:pt idx="266">
                  <c:v>86.181799999999996</c:v>
                </c:pt>
                <c:pt idx="267">
                  <c:v>86.146799999999999</c:v>
                </c:pt>
                <c:pt idx="268">
                  <c:v>86.173400000000001</c:v>
                </c:pt>
                <c:pt idx="269">
                  <c:v>86.359099999999998</c:v>
                </c:pt>
                <c:pt idx="270">
                  <c:v>86.397199999999998</c:v>
                </c:pt>
                <c:pt idx="271">
                  <c:v>86.507400000000004</c:v>
                </c:pt>
                <c:pt idx="272">
                  <c:v>86.403000000000006</c:v>
                </c:pt>
                <c:pt idx="273">
                  <c:v>86.38</c:v>
                </c:pt>
                <c:pt idx="274">
                  <c:v>86.231600000000014</c:v>
                </c:pt>
                <c:pt idx="275">
                  <c:v>86.231499999999997</c:v>
                </c:pt>
                <c:pt idx="276">
                  <c:v>86.069500000000005</c:v>
                </c:pt>
                <c:pt idx="277">
                  <c:v>86.231399999999994</c:v>
                </c:pt>
                <c:pt idx="278">
                  <c:v>86.1708</c:v>
                </c:pt>
                <c:pt idx="279">
                  <c:v>86.31580000000001</c:v>
                </c:pt>
                <c:pt idx="280">
                  <c:v>85.876000000000005</c:v>
                </c:pt>
                <c:pt idx="281">
                  <c:v>85.4358</c:v>
                </c:pt>
                <c:pt idx="282">
                  <c:v>85.434899999999999</c:v>
                </c:pt>
                <c:pt idx="283">
                  <c:v>85.989900000000006</c:v>
                </c:pt>
                <c:pt idx="284">
                  <c:v>86.132999999999996</c:v>
                </c:pt>
                <c:pt idx="285">
                  <c:v>86.323800000000006</c:v>
                </c:pt>
                <c:pt idx="286">
                  <c:v>85.564600000000013</c:v>
                </c:pt>
                <c:pt idx="287">
                  <c:v>85.509900000000016</c:v>
                </c:pt>
                <c:pt idx="288">
                  <c:v>86.061199999999999</c:v>
                </c:pt>
                <c:pt idx="289">
                  <c:v>86.2179</c:v>
                </c:pt>
                <c:pt idx="290">
                  <c:v>85.992599999999996</c:v>
                </c:pt>
                <c:pt idx="291">
                  <c:v>86.363399999999999</c:v>
                </c:pt>
                <c:pt idx="292">
                  <c:v>86.151600000000002</c:v>
                </c:pt>
                <c:pt idx="293">
                  <c:v>86.077699999999993</c:v>
                </c:pt>
                <c:pt idx="294">
                  <c:v>86.142100000000013</c:v>
                </c:pt>
                <c:pt idx="295">
                  <c:v>86.378900000000016</c:v>
                </c:pt>
                <c:pt idx="296">
                  <c:v>86.378500000000003</c:v>
                </c:pt>
                <c:pt idx="297">
                  <c:v>86.031300000000002</c:v>
                </c:pt>
                <c:pt idx="298">
                  <c:v>86.119299999999996</c:v>
                </c:pt>
                <c:pt idx="299">
                  <c:v>85.643500000000003</c:v>
                </c:pt>
                <c:pt idx="300">
                  <c:v>85.694400000000016</c:v>
                </c:pt>
                <c:pt idx="301">
                  <c:v>85.589500000000001</c:v>
                </c:pt>
                <c:pt idx="302">
                  <c:v>85.331299999999999</c:v>
                </c:pt>
                <c:pt idx="303">
                  <c:v>85.331500000000005</c:v>
                </c:pt>
                <c:pt idx="304">
                  <c:v>85.966899999999995</c:v>
                </c:pt>
                <c:pt idx="305">
                  <c:v>85.784000000000006</c:v>
                </c:pt>
                <c:pt idx="306">
                  <c:v>85.793899999999994</c:v>
                </c:pt>
                <c:pt idx="307">
                  <c:v>85.779200000000003</c:v>
                </c:pt>
                <c:pt idx="308">
                  <c:v>85.789300000000011</c:v>
                </c:pt>
                <c:pt idx="309">
                  <c:v>85.834400000000016</c:v>
                </c:pt>
                <c:pt idx="310">
                  <c:v>85.832000000000008</c:v>
                </c:pt>
                <c:pt idx="311">
                  <c:v>85.515699999999995</c:v>
                </c:pt>
                <c:pt idx="312">
                  <c:v>85.524699999999996</c:v>
                </c:pt>
                <c:pt idx="313">
                  <c:v>85.390500000000003</c:v>
                </c:pt>
                <c:pt idx="314">
                  <c:v>85.346199999999996</c:v>
                </c:pt>
                <c:pt idx="315">
                  <c:v>85.595299999999995</c:v>
                </c:pt>
                <c:pt idx="316">
                  <c:v>85.872399999999999</c:v>
                </c:pt>
                <c:pt idx="317">
                  <c:v>85.883100000000013</c:v>
                </c:pt>
                <c:pt idx="318">
                  <c:v>85.623999999999995</c:v>
                </c:pt>
                <c:pt idx="319">
                  <c:v>85.484499999999997</c:v>
                </c:pt>
                <c:pt idx="320">
                  <c:v>85.56</c:v>
                </c:pt>
                <c:pt idx="321">
                  <c:v>85.426599999999993</c:v>
                </c:pt>
                <c:pt idx="322">
                  <c:v>85.262799999999999</c:v>
                </c:pt>
                <c:pt idx="323">
                  <c:v>85.048199999999994</c:v>
                </c:pt>
                <c:pt idx="324">
                  <c:v>85.037500000000009</c:v>
                </c:pt>
                <c:pt idx="325">
                  <c:v>85.463999999999999</c:v>
                </c:pt>
                <c:pt idx="326">
                  <c:v>85.699700000000007</c:v>
                </c:pt>
                <c:pt idx="327">
                  <c:v>85.543999999999997</c:v>
                </c:pt>
                <c:pt idx="328">
                  <c:v>85.506699999999995</c:v>
                </c:pt>
                <c:pt idx="329">
                  <c:v>85.672100000000015</c:v>
                </c:pt>
                <c:pt idx="330">
                  <c:v>85.822699999999998</c:v>
                </c:pt>
                <c:pt idx="331">
                  <c:v>85.804500000000004</c:v>
                </c:pt>
                <c:pt idx="332">
                  <c:v>85.887900000000016</c:v>
                </c:pt>
                <c:pt idx="333">
                  <c:v>85.674000000000007</c:v>
                </c:pt>
                <c:pt idx="334">
                  <c:v>85.668199999999999</c:v>
                </c:pt>
                <c:pt idx="335">
                  <c:v>85.672200000000004</c:v>
                </c:pt>
                <c:pt idx="336">
                  <c:v>85.888000000000005</c:v>
                </c:pt>
                <c:pt idx="337">
                  <c:v>85.748199999999997</c:v>
                </c:pt>
                <c:pt idx="338">
                  <c:v>85.787899999999993</c:v>
                </c:pt>
                <c:pt idx="339">
                  <c:v>85.821200000000019</c:v>
                </c:pt>
                <c:pt idx="340">
                  <c:v>85.827299999999994</c:v>
                </c:pt>
                <c:pt idx="341">
                  <c:v>85.845600000000005</c:v>
                </c:pt>
                <c:pt idx="342">
                  <c:v>85.7453</c:v>
                </c:pt>
                <c:pt idx="343">
                  <c:v>85.839500000000001</c:v>
                </c:pt>
                <c:pt idx="344">
                  <c:v>85.9589</c:v>
                </c:pt>
                <c:pt idx="345">
                  <c:v>85.955800000000011</c:v>
                </c:pt>
                <c:pt idx="346">
                  <c:v>85.915599999999998</c:v>
                </c:pt>
                <c:pt idx="347">
                  <c:v>85.778800000000004</c:v>
                </c:pt>
                <c:pt idx="348">
                  <c:v>85.928899999999999</c:v>
                </c:pt>
                <c:pt idx="349">
                  <c:v>85.910499999999999</c:v>
                </c:pt>
                <c:pt idx="350">
                  <c:v>85.732500000000002</c:v>
                </c:pt>
                <c:pt idx="351">
                  <c:v>86.238699999999994</c:v>
                </c:pt>
                <c:pt idx="352">
                  <c:v>86.355500000000006</c:v>
                </c:pt>
                <c:pt idx="353">
                  <c:v>85.641099999999994</c:v>
                </c:pt>
                <c:pt idx="354">
                  <c:v>85.79</c:v>
                </c:pt>
                <c:pt idx="355">
                  <c:v>85.683000000000007</c:v>
                </c:pt>
                <c:pt idx="356">
                  <c:v>85.624600000000001</c:v>
                </c:pt>
                <c:pt idx="357">
                  <c:v>85.613900000000001</c:v>
                </c:pt>
                <c:pt idx="358">
                  <c:v>85.642899999999997</c:v>
                </c:pt>
                <c:pt idx="359">
                  <c:v>85.822900000000004</c:v>
                </c:pt>
                <c:pt idx="360">
                  <c:v>86.187600000000003</c:v>
                </c:pt>
                <c:pt idx="361">
                  <c:v>85.788100000000014</c:v>
                </c:pt>
                <c:pt idx="362">
                  <c:v>85.962199999999996</c:v>
                </c:pt>
                <c:pt idx="363">
                  <c:v>85.455500000000001</c:v>
                </c:pt>
                <c:pt idx="364">
                  <c:v>85.857100000000003</c:v>
                </c:pt>
                <c:pt idx="365">
                  <c:v>85.886600000000001</c:v>
                </c:pt>
                <c:pt idx="366">
                  <c:v>85.886600000000001</c:v>
                </c:pt>
                <c:pt idx="367">
                  <c:v>86.036199999999994</c:v>
                </c:pt>
                <c:pt idx="368">
                  <c:v>85.354800000000012</c:v>
                </c:pt>
                <c:pt idx="369">
                  <c:v>85.313800000000001</c:v>
                </c:pt>
                <c:pt idx="370">
                  <c:v>85.501599999999996</c:v>
                </c:pt>
                <c:pt idx="371">
                  <c:v>86.088600000000014</c:v>
                </c:pt>
                <c:pt idx="372">
                  <c:v>86.088600000000014</c:v>
                </c:pt>
                <c:pt idx="373">
                  <c:v>86.116299999999995</c:v>
                </c:pt>
                <c:pt idx="374">
                  <c:v>85.728300000000004</c:v>
                </c:pt>
                <c:pt idx="375">
                  <c:v>85.643699999999995</c:v>
                </c:pt>
                <c:pt idx="376">
                  <c:v>85.596800000000002</c:v>
                </c:pt>
                <c:pt idx="377">
                  <c:v>86.056299999999993</c:v>
                </c:pt>
                <c:pt idx="378">
                  <c:v>85.859200000000001</c:v>
                </c:pt>
                <c:pt idx="379">
                  <c:v>85.852000000000004</c:v>
                </c:pt>
                <c:pt idx="380">
                  <c:v>85.787099999999995</c:v>
                </c:pt>
                <c:pt idx="381">
                  <c:v>85.523899999999998</c:v>
                </c:pt>
                <c:pt idx="382">
                  <c:v>85.888199999999998</c:v>
                </c:pt>
                <c:pt idx="383">
                  <c:v>85.447800000000001</c:v>
                </c:pt>
                <c:pt idx="384">
                  <c:v>85.327200000000019</c:v>
                </c:pt>
                <c:pt idx="385">
                  <c:v>86.367599999999996</c:v>
                </c:pt>
                <c:pt idx="386">
                  <c:v>86.316199999999995</c:v>
                </c:pt>
                <c:pt idx="387">
                  <c:v>86.376000000000005</c:v>
                </c:pt>
                <c:pt idx="388">
                  <c:v>86.242099999999994</c:v>
                </c:pt>
                <c:pt idx="389">
                  <c:v>86.005799999999994</c:v>
                </c:pt>
                <c:pt idx="390">
                  <c:v>85.787099999999995</c:v>
                </c:pt>
                <c:pt idx="391">
                  <c:v>85.718000000000004</c:v>
                </c:pt>
                <c:pt idx="392">
                  <c:v>85.411600000000007</c:v>
                </c:pt>
                <c:pt idx="393">
                  <c:v>85.455500000000001</c:v>
                </c:pt>
                <c:pt idx="394">
                  <c:v>85.655300000000011</c:v>
                </c:pt>
                <c:pt idx="395">
                  <c:v>85.836399999999998</c:v>
                </c:pt>
                <c:pt idx="396">
                  <c:v>86.096500000000006</c:v>
                </c:pt>
                <c:pt idx="397">
                  <c:v>85.138400000000004</c:v>
                </c:pt>
                <c:pt idx="398">
                  <c:v>85.344399999999993</c:v>
                </c:pt>
                <c:pt idx="399">
                  <c:v>85.632199999999997</c:v>
                </c:pt>
                <c:pt idx="400">
                  <c:v>85.596199999999996</c:v>
                </c:pt>
                <c:pt idx="401">
                  <c:v>85.66</c:v>
                </c:pt>
                <c:pt idx="402">
                  <c:v>85.543800000000005</c:v>
                </c:pt>
                <c:pt idx="403">
                  <c:v>85.343699999999998</c:v>
                </c:pt>
                <c:pt idx="404">
                  <c:v>84.717600000000004</c:v>
                </c:pt>
                <c:pt idx="405">
                  <c:v>84.505399999999995</c:v>
                </c:pt>
                <c:pt idx="406">
                  <c:v>84.878600000000006</c:v>
                </c:pt>
                <c:pt idx="407">
                  <c:v>84.878600000000006</c:v>
                </c:pt>
                <c:pt idx="408">
                  <c:v>84.915700000000001</c:v>
                </c:pt>
                <c:pt idx="409">
                  <c:v>85.261899999999997</c:v>
                </c:pt>
                <c:pt idx="410">
                  <c:v>85.124399999999994</c:v>
                </c:pt>
                <c:pt idx="411">
                  <c:v>85.726100000000002</c:v>
                </c:pt>
                <c:pt idx="412">
                  <c:v>85.435699999999997</c:v>
                </c:pt>
                <c:pt idx="413">
                  <c:v>85.913600000000002</c:v>
                </c:pt>
                <c:pt idx="414">
                  <c:v>85.913600000000002</c:v>
                </c:pt>
                <c:pt idx="415">
                  <c:v>85.934700000000007</c:v>
                </c:pt>
                <c:pt idx="416">
                  <c:v>86.009699999999995</c:v>
                </c:pt>
                <c:pt idx="417">
                  <c:v>85.048699999999997</c:v>
                </c:pt>
                <c:pt idx="418">
                  <c:v>85.475800000000007</c:v>
                </c:pt>
                <c:pt idx="419">
                  <c:v>85.218299999999999</c:v>
                </c:pt>
                <c:pt idx="420">
                  <c:v>85.538300000000007</c:v>
                </c:pt>
                <c:pt idx="421">
                  <c:v>85.538300000000007</c:v>
                </c:pt>
                <c:pt idx="422">
                  <c:v>85.651899999999998</c:v>
                </c:pt>
                <c:pt idx="423">
                  <c:v>86.192300000000003</c:v>
                </c:pt>
                <c:pt idx="424">
                  <c:v>86.218000000000004</c:v>
                </c:pt>
                <c:pt idx="425">
                  <c:v>85.848399999999998</c:v>
                </c:pt>
                <c:pt idx="426">
                  <c:v>85.273300000000006</c:v>
                </c:pt>
                <c:pt idx="427">
                  <c:v>85.104100000000003</c:v>
                </c:pt>
                <c:pt idx="428">
                  <c:v>85.104100000000003</c:v>
                </c:pt>
                <c:pt idx="429">
                  <c:v>85.125</c:v>
                </c:pt>
                <c:pt idx="430">
                  <c:v>85.259699999999995</c:v>
                </c:pt>
                <c:pt idx="431">
                  <c:v>85.6233</c:v>
                </c:pt>
                <c:pt idx="432">
                  <c:v>85.624100000000013</c:v>
                </c:pt>
                <c:pt idx="433">
                  <c:v>85.212599999999995</c:v>
                </c:pt>
                <c:pt idx="434">
                  <c:v>85.620999999999995</c:v>
                </c:pt>
                <c:pt idx="435">
                  <c:v>85.620999999999995</c:v>
                </c:pt>
                <c:pt idx="436">
                  <c:v>85.668999999999997</c:v>
                </c:pt>
                <c:pt idx="437">
                  <c:v>85.102400000000017</c:v>
                </c:pt>
                <c:pt idx="438">
                  <c:v>85.189600000000013</c:v>
                </c:pt>
                <c:pt idx="439">
                  <c:v>85.631799999999998</c:v>
                </c:pt>
                <c:pt idx="440">
                  <c:v>84.923400000000001</c:v>
                </c:pt>
                <c:pt idx="441">
                  <c:v>84.947400000000016</c:v>
                </c:pt>
                <c:pt idx="442">
                  <c:v>84.94</c:v>
                </c:pt>
                <c:pt idx="443">
                  <c:v>84.997600000000006</c:v>
                </c:pt>
                <c:pt idx="444">
                  <c:v>85.777900000000017</c:v>
                </c:pt>
                <c:pt idx="445">
                  <c:v>84.975899999999996</c:v>
                </c:pt>
                <c:pt idx="446">
                  <c:v>85.417699999999996</c:v>
                </c:pt>
                <c:pt idx="447">
                  <c:v>84.980099999999993</c:v>
                </c:pt>
                <c:pt idx="448">
                  <c:v>84.502899999999997</c:v>
                </c:pt>
                <c:pt idx="449">
                  <c:v>84.502899999999997</c:v>
                </c:pt>
                <c:pt idx="450">
                  <c:v>84.708800000000011</c:v>
                </c:pt>
                <c:pt idx="451">
                  <c:v>85.570899999999995</c:v>
                </c:pt>
                <c:pt idx="452">
                  <c:v>85.379000000000005</c:v>
                </c:pt>
                <c:pt idx="453">
                  <c:v>85.331400000000016</c:v>
                </c:pt>
                <c:pt idx="454">
                  <c:v>85.058000000000007</c:v>
                </c:pt>
                <c:pt idx="455">
                  <c:v>85.673199999999994</c:v>
                </c:pt>
                <c:pt idx="456">
                  <c:v>85.665599999999998</c:v>
                </c:pt>
                <c:pt idx="457">
                  <c:v>85.628399999999999</c:v>
                </c:pt>
                <c:pt idx="458">
                  <c:v>85.764300000000006</c:v>
                </c:pt>
                <c:pt idx="459">
                  <c:v>85.797600000000003</c:v>
                </c:pt>
                <c:pt idx="460">
                  <c:v>85.118499999999997</c:v>
                </c:pt>
                <c:pt idx="461">
                  <c:v>85.283600000000007</c:v>
                </c:pt>
                <c:pt idx="462">
                  <c:v>85.215599999999995</c:v>
                </c:pt>
                <c:pt idx="463">
                  <c:v>85.230699999999999</c:v>
                </c:pt>
                <c:pt idx="464">
                  <c:v>85.287999999999997</c:v>
                </c:pt>
                <c:pt idx="465">
                  <c:v>84.486900000000006</c:v>
                </c:pt>
                <c:pt idx="466">
                  <c:v>84.241900000000001</c:v>
                </c:pt>
                <c:pt idx="467">
                  <c:v>84.429500000000004</c:v>
                </c:pt>
                <c:pt idx="468">
                  <c:v>84.164500000000004</c:v>
                </c:pt>
                <c:pt idx="469">
                  <c:v>84.482900000000001</c:v>
                </c:pt>
                <c:pt idx="470">
                  <c:v>84.482900000000001</c:v>
                </c:pt>
                <c:pt idx="471">
                  <c:v>84.555400000000006</c:v>
                </c:pt>
                <c:pt idx="472">
                  <c:v>84.749300000000005</c:v>
                </c:pt>
                <c:pt idx="473">
                  <c:v>85.0364</c:v>
                </c:pt>
                <c:pt idx="474">
                  <c:v>85.040800000000004</c:v>
                </c:pt>
                <c:pt idx="475">
                  <c:v>84.833600000000004</c:v>
                </c:pt>
                <c:pt idx="476">
                  <c:v>84.779799999999994</c:v>
                </c:pt>
                <c:pt idx="477">
                  <c:v>84.779799999999994</c:v>
                </c:pt>
                <c:pt idx="478">
                  <c:v>84.6875</c:v>
                </c:pt>
                <c:pt idx="479">
                  <c:v>84.651200000000003</c:v>
                </c:pt>
                <c:pt idx="480">
                  <c:v>84.179199999999994</c:v>
                </c:pt>
                <c:pt idx="481">
                  <c:v>84.588700000000003</c:v>
                </c:pt>
                <c:pt idx="482">
                  <c:v>84.277000000000001</c:v>
                </c:pt>
                <c:pt idx="483">
                  <c:v>84.41070000000002</c:v>
                </c:pt>
                <c:pt idx="484">
                  <c:v>84.41070000000002</c:v>
                </c:pt>
                <c:pt idx="485">
                  <c:v>84.511899999999997</c:v>
                </c:pt>
                <c:pt idx="486">
                  <c:v>84.291300000000007</c:v>
                </c:pt>
                <c:pt idx="487">
                  <c:v>84.275500000000008</c:v>
                </c:pt>
                <c:pt idx="488">
                  <c:v>84.285600000000002</c:v>
                </c:pt>
                <c:pt idx="489">
                  <c:v>84.914199999999994</c:v>
                </c:pt>
                <c:pt idx="490">
                  <c:v>85.162400000000005</c:v>
                </c:pt>
                <c:pt idx="491">
                  <c:v>85.162400000000005</c:v>
                </c:pt>
                <c:pt idx="492">
                  <c:v>85.245800000000003</c:v>
                </c:pt>
                <c:pt idx="493">
                  <c:v>84.885099999999994</c:v>
                </c:pt>
                <c:pt idx="494">
                  <c:v>84.646100000000004</c:v>
                </c:pt>
                <c:pt idx="495">
                  <c:v>84.777600000000007</c:v>
                </c:pt>
                <c:pt idx="496">
                  <c:v>84.623000000000005</c:v>
                </c:pt>
                <c:pt idx="497">
                  <c:v>85.377300000000005</c:v>
                </c:pt>
                <c:pt idx="498">
                  <c:v>85.392200000000003</c:v>
                </c:pt>
                <c:pt idx="499">
                  <c:v>85.497799999999998</c:v>
                </c:pt>
                <c:pt idx="500">
                  <c:v>85.031700000000001</c:v>
                </c:pt>
                <c:pt idx="501">
                  <c:v>85.638199999999998</c:v>
                </c:pt>
                <c:pt idx="502">
                  <c:v>85.621600000000001</c:v>
                </c:pt>
                <c:pt idx="503">
                  <c:v>86.237200000000001</c:v>
                </c:pt>
                <c:pt idx="504">
                  <c:v>86.156999999999996</c:v>
                </c:pt>
                <c:pt idx="505">
                  <c:v>86.156999999999996</c:v>
                </c:pt>
                <c:pt idx="506">
                  <c:v>86.252700000000019</c:v>
                </c:pt>
                <c:pt idx="507">
                  <c:v>85.811700000000002</c:v>
                </c:pt>
                <c:pt idx="508">
                  <c:v>85.416100000000014</c:v>
                </c:pt>
                <c:pt idx="509">
                  <c:v>85.497100000000003</c:v>
                </c:pt>
                <c:pt idx="510">
                  <c:v>85.250699999999995</c:v>
                </c:pt>
                <c:pt idx="511">
                  <c:v>85.1768</c:v>
                </c:pt>
                <c:pt idx="512">
                  <c:v>85.1768</c:v>
                </c:pt>
                <c:pt idx="513">
                  <c:v>85.1768</c:v>
                </c:pt>
                <c:pt idx="514">
                  <c:v>85.290400000000005</c:v>
                </c:pt>
                <c:pt idx="515">
                  <c:v>85.693899999999999</c:v>
                </c:pt>
                <c:pt idx="516">
                  <c:v>86.136300000000006</c:v>
                </c:pt>
                <c:pt idx="517">
                  <c:v>86.305199999999999</c:v>
                </c:pt>
                <c:pt idx="518">
                  <c:v>85.405799999999999</c:v>
                </c:pt>
                <c:pt idx="519">
                  <c:v>85.405799999999999</c:v>
                </c:pt>
                <c:pt idx="520">
                  <c:v>85.265600000000006</c:v>
                </c:pt>
                <c:pt idx="521">
                  <c:v>85.740700000000004</c:v>
                </c:pt>
                <c:pt idx="522">
                  <c:v>86.197599999999994</c:v>
                </c:pt>
                <c:pt idx="523">
                  <c:v>85.677499999999995</c:v>
                </c:pt>
                <c:pt idx="524">
                  <c:v>86.154200000000003</c:v>
                </c:pt>
                <c:pt idx="525">
                  <c:v>86.055300000000003</c:v>
                </c:pt>
                <c:pt idx="526">
                  <c:v>86.055300000000003</c:v>
                </c:pt>
                <c:pt idx="527">
                  <c:v>86.065899999999999</c:v>
                </c:pt>
                <c:pt idx="528">
                  <c:v>85.640100000000004</c:v>
                </c:pt>
                <c:pt idx="529">
                  <c:v>85.475899999999996</c:v>
                </c:pt>
                <c:pt idx="530">
                  <c:v>86.015000000000001</c:v>
                </c:pt>
                <c:pt idx="531">
                  <c:v>85.836800000000011</c:v>
                </c:pt>
                <c:pt idx="532">
                  <c:v>86.345100000000002</c:v>
                </c:pt>
                <c:pt idx="533">
                  <c:v>86.345100000000002</c:v>
                </c:pt>
                <c:pt idx="534">
                  <c:v>86.4358</c:v>
                </c:pt>
                <c:pt idx="535">
                  <c:v>86.281099999999995</c:v>
                </c:pt>
                <c:pt idx="536">
                  <c:v>85.886300000000006</c:v>
                </c:pt>
                <c:pt idx="537">
                  <c:v>86.169100000000014</c:v>
                </c:pt>
                <c:pt idx="538">
                  <c:v>85.466300000000004</c:v>
                </c:pt>
                <c:pt idx="539">
                  <c:v>85.949700000000007</c:v>
                </c:pt>
                <c:pt idx="540">
                  <c:v>85.949700000000007</c:v>
                </c:pt>
                <c:pt idx="541">
                  <c:v>85.944299999999998</c:v>
                </c:pt>
                <c:pt idx="542">
                  <c:v>86.402000000000001</c:v>
                </c:pt>
                <c:pt idx="543">
                  <c:v>85.993399999999994</c:v>
                </c:pt>
                <c:pt idx="544">
                  <c:v>86.507999999999996</c:v>
                </c:pt>
                <c:pt idx="545">
                  <c:v>86.205299999999994</c:v>
                </c:pt>
                <c:pt idx="546">
                  <c:v>86.060500000000005</c:v>
                </c:pt>
                <c:pt idx="547">
                  <c:v>86.060500000000005</c:v>
                </c:pt>
                <c:pt idx="548">
                  <c:v>86.097999999999999</c:v>
                </c:pt>
                <c:pt idx="549">
                  <c:v>85.950599999999994</c:v>
                </c:pt>
                <c:pt idx="550">
                  <c:v>85.588300000000004</c:v>
                </c:pt>
                <c:pt idx="551">
                  <c:v>86.199200000000019</c:v>
                </c:pt>
                <c:pt idx="552">
                  <c:v>85.904499999999999</c:v>
                </c:pt>
                <c:pt idx="553">
                  <c:v>85.472899999999996</c:v>
                </c:pt>
                <c:pt idx="554">
                  <c:v>85.472899999999996</c:v>
                </c:pt>
                <c:pt idx="555">
                  <c:v>85.654300000000006</c:v>
                </c:pt>
                <c:pt idx="556">
                  <c:v>85.767399999999995</c:v>
                </c:pt>
                <c:pt idx="557">
                  <c:v>86.308300000000003</c:v>
                </c:pt>
                <c:pt idx="558">
                  <c:v>85.919499999999999</c:v>
                </c:pt>
                <c:pt idx="559">
                  <c:v>86.189800000000005</c:v>
                </c:pt>
                <c:pt idx="560">
                  <c:v>86.160100000000014</c:v>
                </c:pt>
                <c:pt idx="561">
                  <c:v>75.572400000000016</c:v>
                </c:pt>
                <c:pt idx="562">
                  <c:v>75.652100000000004</c:v>
                </c:pt>
                <c:pt idx="563">
                  <c:v>86.505799999999994</c:v>
                </c:pt>
                <c:pt idx="564">
                  <c:v>86.112499999999997</c:v>
                </c:pt>
                <c:pt idx="565">
                  <c:v>85.708500000000001</c:v>
                </c:pt>
                <c:pt idx="566">
                  <c:v>86.646900000000016</c:v>
                </c:pt>
                <c:pt idx="567">
                  <c:v>86.003200000000007</c:v>
                </c:pt>
                <c:pt idx="568">
                  <c:v>86.003200000000007</c:v>
                </c:pt>
                <c:pt idx="569">
                  <c:v>85.934700000000007</c:v>
                </c:pt>
                <c:pt idx="570">
                  <c:v>85.871399999999994</c:v>
                </c:pt>
                <c:pt idx="571">
                  <c:v>86.124499999999998</c:v>
                </c:pt>
                <c:pt idx="572">
                  <c:v>87.000799999999998</c:v>
                </c:pt>
                <c:pt idx="573">
                  <c:v>86.201700000000002</c:v>
                </c:pt>
                <c:pt idx="574">
                  <c:v>86.805999999999997</c:v>
                </c:pt>
                <c:pt idx="575">
                  <c:v>86.805999999999997</c:v>
                </c:pt>
                <c:pt idx="576">
                  <c:v>86.890600000000006</c:v>
                </c:pt>
                <c:pt idx="577">
                  <c:v>86.579499999999996</c:v>
                </c:pt>
                <c:pt idx="578">
                  <c:v>87.067499999999995</c:v>
                </c:pt>
                <c:pt idx="579">
                  <c:v>86.133499999999998</c:v>
                </c:pt>
                <c:pt idx="580">
                  <c:v>87.697900000000004</c:v>
                </c:pt>
                <c:pt idx="581">
                  <c:v>86.452100000000002</c:v>
                </c:pt>
                <c:pt idx="582">
                  <c:v>86.452100000000002</c:v>
                </c:pt>
                <c:pt idx="583">
                  <c:v>86.301699999999997</c:v>
                </c:pt>
                <c:pt idx="584">
                  <c:v>86.008100000000013</c:v>
                </c:pt>
                <c:pt idx="585">
                  <c:v>86.919200000000004</c:v>
                </c:pt>
                <c:pt idx="586">
                  <c:v>86.85720000000002</c:v>
                </c:pt>
                <c:pt idx="587">
                  <c:v>86.759799999999998</c:v>
                </c:pt>
                <c:pt idx="588">
                  <c:v>86.647999999999996</c:v>
                </c:pt>
                <c:pt idx="589">
                  <c:v>86.647999999999996</c:v>
                </c:pt>
                <c:pt idx="590">
                  <c:v>86.584199999999996</c:v>
                </c:pt>
                <c:pt idx="591">
                  <c:v>85.456800000000001</c:v>
                </c:pt>
                <c:pt idx="592">
                  <c:v>86.840800000000002</c:v>
                </c:pt>
                <c:pt idx="593">
                  <c:v>86.661100000000005</c:v>
                </c:pt>
                <c:pt idx="594">
                  <c:v>87.235699999999994</c:v>
                </c:pt>
                <c:pt idx="595">
                  <c:v>86.802999999999997</c:v>
                </c:pt>
                <c:pt idx="596">
                  <c:v>86.802999999999997</c:v>
                </c:pt>
                <c:pt idx="597">
                  <c:v>86.734499999999997</c:v>
                </c:pt>
                <c:pt idx="598">
                  <c:v>87.035399999999996</c:v>
                </c:pt>
                <c:pt idx="599">
                  <c:v>86.5839</c:v>
                </c:pt>
                <c:pt idx="600">
                  <c:v>86.6935</c:v>
                </c:pt>
                <c:pt idx="601">
                  <c:v>86.9542</c:v>
                </c:pt>
                <c:pt idx="602">
                  <c:v>86.21720000000002</c:v>
                </c:pt>
                <c:pt idx="603">
                  <c:v>86.21720000000002</c:v>
                </c:pt>
                <c:pt idx="604">
                  <c:v>86.338499999999996</c:v>
                </c:pt>
                <c:pt idx="605">
                  <c:v>86.120800000000003</c:v>
                </c:pt>
                <c:pt idx="606">
                  <c:v>87.659000000000006</c:v>
                </c:pt>
                <c:pt idx="607">
                  <c:v>86.928399999999996</c:v>
                </c:pt>
                <c:pt idx="608">
                  <c:v>87.627399999999994</c:v>
                </c:pt>
                <c:pt idx="609">
                  <c:v>86.905500000000004</c:v>
                </c:pt>
                <c:pt idx="610">
                  <c:v>86.905500000000004</c:v>
                </c:pt>
                <c:pt idx="611">
                  <c:v>87.152699999999996</c:v>
                </c:pt>
                <c:pt idx="612">
                  <c:v>87.657499999999999</c:v>
                </c:pt>
                <c:pt idx="613">
                  <c:v>87.081800000000001</c:v>
                </c:pt>
                <c:pt idx="614">
                  <c:v>87.587599999999995</c:v>
                </c:pt>
                <c:pt idx="615">
                  <c:v>87.759100000000004</c:v>
                </c:pt>
                <c:pt idx="616">
                  <c:v>87.155199999999994</c:v>
                </c:pt>
                <c:pt idx="617">
                  <c:v>87.155199999999994</c:v>
                </c:pt>
                <c:pt idx="618">
                  <c:v>87.320099999999996</c:v>
                </c:pt>
                <c:pt idx="619">
                  <c:v>87.059799999999996</c:v>
                </c:pt>
                <c:pt idx="620">
                  <c:v>86.972300000000004</c:v>
                </c:pt>
                <c:pt idx="621">
                  <c:v>87.648899999999998</c:v>
                </c:pt>
                <c:pt idx="622">
                  <c:v>87.851500000000001</c:v>
                </c:pt>
                <c:pt idx="623">
                  <c:v>87.298699999999997</c:v>
                </c:pt>
                <c:pt idx="624">
                  <c:v>87.298699999999997</c:v>
                </c:pt>
                <c:pt idx="625">
                  <c:v>87.692899999999995</c:v>
                </c:pt>
                <c:pt idx="626">
                  <c:v>88.293400000000005</c:v>
                </c:pt>
                <c:pt idx="627">
                  <c:v>87.981800000000007</c:v>
                </c:pt>
                <c:pt idx="628">
                  <c:v>87.662300000000002</c:v>
                </c:pt>
                <c:pt idx="629">
                  <c:v>87.331500000000005</c:v>
                </c:pt>
                <c:pt idx="630">
                  <c:v>87.347300000000004</c:v>
                </c:pt>
                <c:pt idx="631">
                  <c:v>87.347300000000004</c:v>
                </c:pt>
                <c:pt idx="632">
                  <c:v>87.009</c:v>
                </c:pt>
                <c:pt idx="633">
                  <c:v>88.066599999999994</c:v>
                </c:pt>
                <c:pt idx="634">
                  <c:v>87.616699999999994</c:v>
                </c:pt>
                <c:pt idx="635">
                  <c:v>87.959500000000006</c:v>
                </c:pt>
                <c:pt idx="636">
                  <c:v>87.707600000000014</c:v>
                </c:pt>
                <c:pt idx="637">
                  <c:v>87.880499999999998</c:v>
                </c:pt>
                <c:pt idx="638">
                  <c:v>87.880499999999998</c:v>
                </c:pt>
                <c:pt idx="639">
                  <c:v>87.897400000000005</c:v>
                </c:pt>
                <c:pt idx="640">
                  <c:v>87.177000000000007</c:v>
                </c:pt>
                <c:pt idx="641">
                  <c:v>87.216800000000006</c:v>
                </c:pt>
                <c:pt idx="642">
                  <c:v>87.132300000000001</c:v>
                </c:pt>
                <c:pt idx="643">
                  <c:v>87.631100000000004</c:v>
                </c:pt>
                <c:pt idx="644">
                  <c:v>87.942300000000003</c:v>
                </c:pt>
                <c:pt idx="645">
                  <c:v>87.942300000000003</c:v>
                </c:pt>
                <c:pt idx="646">
                  <c:v>88.061099999999996</c:v>
                </c:pt>
                <c:pt idx="647">
                  <c:v>87.337100000000007</c:v>
                </c:pt>
                <c:pt idx="648">
                  <c:v>87.234899999999996</c:v>
                </c:pt>
                <c:pt idx="649">
                  <c:v>87.402799999999999</c:v>
                </c:pt>
                <c:pt idx="650">
                  <c:v>87.539699999999996</c:v>
                </c:pt>
                <c:pt idx="651">
                  <c:v>86.791799999999995</c:v>
                </c:pt>
                <c:pt idx="652">
                  <c:v>86.791799999999995</c:v>
                </c:pt>
                <c:pt idx="653">
                  <c:v>86.769900000000007</c:v>
                </c:pt>
                <c:pt idx="654">
                  <c:v>86.669499999999999</c:v>
                </c:pt>
                <c:pt idx="655">
                  <c:v>86.666899999999998</c:v>
                </c:pt>
                <c:pt idx="656">
                  <c:v>86.506699999999995</c:v>
                </c:pt>
                <c:pt idx="657">
                  <c:v>86.400599999999997</c:v>
                </c:pt>
                <c:pt idx="658">
                  <c:v>86.715599999999995</c:v>
                </c:pt>
                <c:pt idx="659">
                  <c:v>86.715599999999995</c:v>
                </c:pt>
                <c:pt idx="660">
                  <c:v>86.780900000000017</c:v>
                </c:pt>
                <c:pt idx="661">
                  <c:v>86.472800000000007</c:v>
                </c:pt>
                <c:pt idx="662">
                  <c:v>86.657799999999995</c:v>
                </c:pt>
                <c:pt idx="663">
                  <c:v>86.739099999999993</c:v>
                </c:pt>
                <c:pt idx="664">
                  <c:v>87.144999999999996</c:v>
                </c:pt>
                <c:pt idx="665">
                  <c:v>86.183700000000002</c:v>
                </c:pt>
                <c:pt idx="666">
                  <c:v>86.183700000000002</c:v>
                </c:pt>
                <c:pt idx="667">
                  <c:v>86.312100000000001</c:v>
                </c:pt>
                <c:pt idx="668">
                  <c:v>86.970600000000005</c:v>
                </c:pt>
                <c:pt idx="669">
                  <c:v>86.000399999999999</c:v>
                </c:pt>
                <c:pt idx="670">
                  <c:v>85.858000000000004</c:v>
                </c:pt>
                <c:pt idx="671">
                  <c:v>86.147500000000008</c:v>
                </c:pt>
                <c:pt idx="672">
                  <c:v>86.349299999999999</c:v>
                </c:pt>
                <c:pt idx="673">
                  <c:v>86.297300000000007</c:v>
                </c:pt>
                <c:pt idx="674">
                  <c:v>86.342299999999994</c:v>
                </c:pt>
                <c:pt idx="675">
                  <c:v>86.381900000000016</c:v>
                </c:pt>
                <c:pt idx="676">
                  <c:v>86.365099999999998</c:v>
                </c:pt>
                <c:pt idx="677">
                  <c:v>86.330500000000001</c:v>
                </c:pt>
                <c:pt idx="678">
                  <c:v>86.667500000000004</c:v>
                </c:pt>
                <c:pt idx="679">
                  <c:v>86.733199999999997</c:v>
                </c:pt>
                <c:pt idx="680">
                  <c:v>86.733199999999997</c:v>
                </c:pt>
                <c:pt idx="681">
                  <c:v>86.684600000000003</c:v>
                </c:pt>
                <c:pt idx="682">
                  <c:v>86.713499999999996</c:v>
                </c:pt>
                <c:pt idx="683">
                  <c:v>86.958699999999993</c:v>
                </c:pt>
                <c:pt idx="684">
                  <c:v>87.168500000000009</c:v>
                </c:pt>
                <c:pt idx="685">
                  <c:v>87.044300000000007</c:v>
                </c:pt>
                <c:pt idx="686">
                  <c:v>87.219899999999996</c:v>
                </c:pt>
                <c:pt idx="687">
                  <c:v>87.200599999999994</c:v>
                </c:pt>
                <c:pt idx="688">
                  <c:v>87.405199999999994</c:v>
                </c:pt>
                <c:pt idx="689">
                  <c:v>87.333600000000004</c:v>
                </c:pt>
                <c:pt idx="690">
                  <c:v>87.430899999999994</c:v>
                </c:pt>
                <c:pt idx="691">
                  <c:v>87.529899999999998</c:v>
                </c:pt>
                <c:pt idx="692">
                  <c:v>87.775999999999996</c:v>
                </c:pt>
                <c:pt idx="693">
                  <c:v>87.920100000000005</c:v>
                </c:pt>
                <c:pt idx="694">
                  <c:v>87.920100000000005</c:v>
                </c:pt>
                <c:pt idx="695">
                  <c:v>87.664599999999993</c:v>
                </c:pt>
                <c:pt idx="696">
                  <c:v>88.045000000000002</c:v>
                </c:pt>
                <c:pt idx="697">
                  <c:v>88.324100000000001</c:v>
                </c:pt>
                <c:pt idx="698">
                  <c:v>88.615300000000005</c:v>
                </c:pt>
                <c:pt idx="699">
                  <c:v>88.859600000000015</c:v>
                </c:pt>
                <c:pt idx="700">
                  <c:v>89.473600000000005</c:v>
                </c:pt>
                <c:pt idx="701">
                  <c:v>89.473600000000005</c:v>
                </c:pt>
                <c:pt idx="702">
                  <c:v>89.399100000000004</c:v>
                </c:pt>
                <c:pt idx="703">
                  <c:v>89.466399999999993</c:v>
                </c:pt>
                <c:pt idx="704">
                  <c:v>89.485699999999994</c:v>
                </c:pt>
                <c:pt idx="705">
                  <c:v>89.418000000000006</c:v>
                </c:pt>
                <c:pt idx="706">
                  <c:v>88.941199999999995</c:v>
                </c:pt>
                <c:pt idx="707">
                  <c:v>89.015699999999995</c:v>
                </c:pt>
                <c:pt idx="708">
                  <c:v>89.015699999999995</c:v>
                </c:pt>
                <c:pt idx="709">
                  <c:v>89.123800000000003</c:v>
                </c:pt>
                <c:pt idx="710">
                  <c:v>89.197500000000005</c:v>
                </c:pt>
                <c:pt idx="711">
                  <c:v>89.216200000000001</c:v>
                </c:pt>
                <c:pt idx="712">
                  <c:v>89.594300000000004</c:v>
                </c:pt>
                <c:pt idx="713">
                  <c:v>89.564899999999994</c:v>
                </c:pt>
                <c:pt idx="714">
                  <c:v>89.728200000000001</c:v>
                </c:pt>
                <c:pt idx="715">
                  <c:v>89.728200000000001</c:v>
                </c:pt>
                <c:pt idx="716">
                  <c:v>89.878500000000003</c:v>
                </c:pt>
                <c:pt idx="717">
                  <c:v>89.760900000000007</c:v>
                </c:pt>
                <c:pt idx="718">
                  <c:v>89.970100000000002</c:v>
                </c:pt>
                <c:pt idx="719">
                  <c:v>90.051299999999998</c:v>
                </c:pt>
                <c:pt idx="720">
                  <c:v>89.657300000000006</c:v>
                </c:pt>
                <c:pt idx="721">
                  <c:v>89.325000000000003</c:v>
                </c:pt>
                <c:pt idx="722">
                  <c:v>89.319199999999995</c:v>
                </c:pt>
                <c:pt idx="723">
                  <c:v>89.284899999999993</c:v>
                </c:pt>
                <c:pt idx="724">
                  <c:v>89.1477</c:v>
                </c:pt>
                <c:pt idx="725">
                  <c:v>89.909300000000002</c:v>
                </c:pt>
                <c:pt idx="726">
                  <c:v>90.064400000000006</c:v>
                </c:pt>
                <c:pt idx="727">
                  <c:v>89.901700000000019</c:v>
                </c:pt>
                <c:pt idx="728">
                  <c:v>89.883200000000002</c:v>
                </c:pt>
                <c:pt idx="729">
                  <c:v>89.959900000000005</c:v>
                </c:pt>
                <c:pt idx="730">
                  <c:v>90.191900000000004</c:v>
                </c:pt>
                <c:pt idx="731">
                  <c:v>90.039599999999993</c:v>
                </c:pt>
                <c:pt idx="732">
                  <c:v>90.171999999999997</c:v>
                </c:pt>
                <c:pt idx="733">
                  <c:v>90.316299999999998</c:v>
                </c:pt>
                <c:pt idx="734">
                  <c:v>90.380600000000001</c:v>
                </c:pt>
                <c:pt idx="735">
                  <c:v>90.682400000000001</c:v>
                </c:pt>
                <c:pt idx="736">
                  <c:v>90.692499999999995</c:v>
                </c:pt>
                <c:pt idx="737">
                  <c:v>90.745400000000004</c:v>
                </c:pt>
                <c:pt idx="738">
                  <c:v>90.516400000000004</c:v>
                </c:pt>
                <c:pt idx="739">
                  <c:v>90.422799999999995</c:v>
                </c:pt>
                <c:pt idx="740">
                  <c:v>89.967500000000001</c:v>
                </c:pt>
                <c:pt idx="741">
                  <c:v>90.064099999999996</c:v>
                </c:pt>
                <c:pt idx="742">
                  <c:v>90.354900000000001</c:v>
                </c:pt>
                <c:pt idx="743">
                  <c:v>90.354900000000001</c:v>
                </c:pt>
                <c:pt idx="744">
                  <c:v>90.455200000000019</c:v>
                </c:pt>
                <c:pt idx="745">
                  <c:v>90.278599999999997</c:v>
                </c:pt>
                <c:pt idx="746">
                  <c:v>90.392200000000003</c:v>
                </c:pt>
                <c:pt idx="747">
                  <c:v>90.254400000000004</c:v>
                </c:pt>
                <c:pt idx="748">
                  <c:v>90.0839</c:v>
                </c:pt>
                <c:pt idx="749">
                  <c:v>90.256</c:v>
                </c:pt>
                <c:pt idx="750">
                  <c:v>90.256</c:v>
                </c:pt>
                <c:pt idx="751">
                  <c:v>90.447699999999998</c:v>
                </c:pt>
                <c:pt idx="752">
                  <c:v>90.245099999999994</c:v>
                </c:pt>
                <c:pt idx="753">
                  <c:v>89.944800000000001</c:v>
                </c:pt>
                <c:pt idx="754">
                  <c:v>89.760999999999996</c:v>
                </c:pt>
                <c:pt idx="755">
                  <c:v>89.623599999999996</c:v>
                </c:pt>
                <c:pt idx="756">
                  <c:v>89.367099999999994</c:v>
                </c:pt>
                <c:pt idx="757">
                  <c:v>89.367099999999994</c:v>
                </c:pt>
                <c:pt idx="758">
                  <c:v>90.209699999999998</c:v>
                </c:pt>
                <c:pt idx="759">
                  <c:v>90.301599999999993</c:v>
                </c:pt>
                <c:pt idx="760">
                  <c:v>90.527600000000007</c:v>
                </c:pt>
                <c:pt idx="761">
                  <c:v>90.485100000000003</c:v>
                </c:pt>
                <c:pt idx="762">
                  <c:v>90.469499999999996</c:v>
                </c:pt>
                <c:pt idx="763">
                  <c:v>90.461299999999994</c:v>
                </c:pt>
                <c:pt idx="764">
                  <c:v>90.447599999999994</c:v>
                </c:pt>
                <c:pt idx="765">
                  <c:v>90.55070000000002</c:v>
                </c:pt>
                <c:pt idx="766">
                  <c:v>90.692899999999995</c:v>
                </c:pt>
                <c:pt idx="767">
                  <c:v>90.642499999999998</c:v>
                </c:pt>
                <c:pt idx="768">
                  <c:v>90.753</c:v>
                </c:pt>
                <c:pt idx="769">
                  <c:v>90.761899999999997</c:v>
                </c:pt>
                <c:pt idx="770">
                  <c:v>90.583399999999997</c:v>
                </c:pt>
                <c:pt idx="771">
                  <c:v>90.780600000000007</c:v>
                </c:pt>
                <c:pt idx="772">
                  <c:v>90.631100000000004</c:v>
                </c:pt>
                <c:pt idx="773">
                  <c:v>90.982600000000005</c:v>
                </c:pt>
                <c:pt idx="774">
                  <c:v>90.665099999999995</c:v>
                </c:pt>
                <c:pt idx="775">
                  <c:v>90.760199999999998</c:v>
                </c:pt>
                <c:pt idx="776">
                  <c:v>90.739400000000018</c:v>
                </c:pt>
                <c:pt idx="777">
                  <c:v>90.842500000000001</c:v>
                </c:pt>
                <c:pt idx="778">
                  <c:v>90.842500000000001</c:v>
                </c:pt>
                <c:pt idx="779">
                  <c:v>90.613500000000002</c:v>
                </c:pt>
                <c:pt idx="780">
                  <c:v>91.084500000000006</c:v>
                </c:pt>
                <c:pt idx="781">
                  <c:v>90.792500000000004</c:v>
                </c:pt>
                <c:pt idx="782">
                  <c:v>90.795000000000002</c:v>
                </c:pt>
                <c:pt idx="783">
                  <c:v>90.849500000000006</c:v>
                </c:pt>
                <c:pt idx="784">
                  <c:v>90.913399999999996</c:v>
                </c:pt>
                <c:pt idx="785">
                  <c:v>90.913399999999996</c:v>
                </c:pt>
                <c:pt idx="786">
                  <c:v>90.856200000000001</c:v>
                </c:pt>
                <c:pt idx="787">
                  <c:v>90.866399999999999</c:v>
                </c:pt>
                <c:pt idx="788">
                  <c:v>90.694400000000016</c:v>
                </c:pt>
                <c:pt idx="789">
                  <c:v>91.012</c:v>
                </c:pt>
                <c:pt idx="790">
                  <c:v>91.005899999999997</c:v>
                </c:pt>
                <c:pt idx="791">
                  <c:v>91.042300000000012</c:v>
                </c:pt>
                <c:pt idx="792">
                  <c:v>91.042300000000012</c:v>
                </c:pt>
                <c:pt idx="793">
                  <c:v>91.059600000000003</c:v>
                </c:pt>
                <c:pt idx="794">
                  <c:v>90.860399999999998</c:v>
                </c:pt>
                <c:pt idx="795">
                  <c:v>90.9345</c:v>
                </c:pt>
                <c:pt idx="796">
                  <c:v>90.955600000000004</c:v>
                </c:pt>
                <c:pt idx="797">
                  <c:v>90.934100000000001</c:v>
                </c:pt>
                <c:pt idx="798">
                  <c:v>90.766599999999997</c:v>
                </c:pt>
                <c:pt idx="799">
                  <c:v>90.766599999999997</c:v>
                </c:pt>
                <c:pt idx="800">
                  <c:v>90.801400000000001</c:v>
                </c:pt>
                <c:pt idx="801">
                  <c:v>90.642100000000013</c:v>
                </c:pt>
                <c:pt idx="802">
                  <c:v>90.850200000000001</c:v>
                </c:pt>
                <c:pt idx="803">
                  <c:v>90.802499999999995</c:v>
                </c:pt>
                <c:pt idx="804">
                  <c:v>90.814400000000006</c:v>
                </c:pt>
                <c:pt idx="805">
                  <c:v>90.770700000000019</c:v>
                </c:pt>
                <c:pt idx="806">
                  <c:v>90.770700000000019</c:v>
                </c:pt>
                <c:pt idx="807">
                  <c:v>90.816599999999994</c:v>
                </c:pt>
                <c:pt idx="808">
                  <c:v>90.740300000000005</c:v>
                </c:pt>
                <c:pt idx="809">
                  <c:v>90.693600000000004</c:v>
                </c:pt>
                <c:pt idx="810">
                  <c:v>90.7363</c:v>
                </c:pt>
                <c:pt idx="811">
                  <c:v>90.792199999999994</c:v>
                </c:pt>
                <c:pt idx="812">
                  <c:v>91.912700000000001</c:v>
                </c:pt>
                <c:pt idx="813">
                  <c:v>91.912700000000001</c:v>
                </c:pt>
                <c:pt idx="814">
                  <c:v>91.872200000000007</c:v>
                </c:pt>
                <c:pt idx="815">
                  <c:v>90.901200000000003</c:v>
                </c:pt>
                <c:pt idx="816">
                  <c:v>90.813400000000001</c:v>
                </c:pt>
                <c:pt idx="817">
                  <c:v>90.653000000000006</c:v>
                </c:pt>
                <c:pt idx="818">
                  <c:v>90.671199999999999</c:v>
                </c:pt>
                <c:pt idx="819">
                  <c:v>90.686099999999996</c:v>
                </c:pt>
                <c:pt idx="820">
                  <c:v>90.686099999999996</c:v>
                </c:pt>
                <c:pt idx="821">
                  <c:v>90.686099999999996</c:v>
                </c:pt>
                <c:pt idx="822">
                  <c:v>90.678899999999999</c:v>
                </c:pt>
                <c:pt idx="823">
                  <c:v>90.542400000000001</c:v>
                </c:pt>
                <c:pt idx="824">
                  <c:v>90.376300000000001</c:v>
                </c:pt>
                <c:pt idx="825">
                  <c:v>90.5869</c:v>
                </c:pt>
                <c:pt idx="826">
                  <c:v>90.591399999999993</c:v>
                </c:pt>
                <c:pt idx="827">
                  <c:v>90.590599999999995</c:v>
                </c:pt>
                <c:pt idx="828">
                  <c:v>90.676300000000012</c:v>
                </c:pt>
                <c:pt idx="829">
                  <c:v>90.627600000000001</c:v>
                </c:pt>
                <c:pt idx="830">
                  <c:v>90.765000000000001</c:v>
                </c:pt>
                <c:pt idx="831">
                  <c:v>90.685100000000006</c:v>
                </c:pt>
                <c:pt idx="832">
                  <c:v>90.735500000000002</c:v>
                </c:pt>
                <c:pt idx="833">
                  <c:v>90.710000000000008</c:v>
                </c:pt>
                <c:pt idx="834">
                  <c:v>90.710000000000008</c:v>
                </c:pt>
                <c:pt idx="835">
                  <c:v>90.67</c:v>
                </c:pt>
                <c:pt idx="836">
                  <c:v>90.736099999999993</c:v>
                </c:pt>
                <c:pt idx="837">
                  <c:v>90.694400000000016</c:v>
                </c:pt>
                <c:pt idx="838">
                  <c:v>90.728600000000014</c:v>
                </c:pt>
                <c:pt idx="839">
                  <c:v>90.784300000000002</c:v>
                </c:pt>
                <c:pt idx="840">
                  <c:v>90.720100000000002</c:v>
                </c:pt>
                <c:pt idx="841">
                  <c:v>90.720100000000002</c:v>
                </c:pt>
                <c:pt idx="842">
                  <c:v>90.686300000000003</c:v>
                </c:pt>
                <c:pt idx="843">
                  <c:v>90.903899999999993</c:v>
                </c:pt>
                <c:pt idx="844">
                  <c:v>90.928899999999999</c:v>
                </c:pt>
                <c:pt idx="845">
                  <c:v>90.887500000000003</c:v>
                </c:pt>
                <c:pt idx="846">
                  <c:v>90.867000000000004</c:v>
                </c:pt>
                <c:pt idx="847">
                  <c:v>90.753600000000006</c:v>
                </c:pt>
                <c:pt idx="848">
                  <c:v>90.753600000000006</c:v>
                </c:pt>
                <c:pt idx="849">
                  <c:v>90.736900000000006</c:v>
                </c:pt>
                <c:pt idx="850">
                  <c:v>91.067000000000007</c:v>
                </c:pt>
                <c:pt idx="851">
                  <c:v>91.073899999999995</c:v>
                </c:pt>
                <c:pt idx="852">
                  <c:v>90.987000000000009</c:v>
                </c:pt>
                <c:pt idx="853">
                  <c:v>90.802999999999997</c:v>
                </c:pt>
                <c:pt idx="854">
                  <c:v>90.799500000000009</c:v>
                </c:pt>
                <c:pt idx="855">
                  <c:v>90.799500000000009</c:v>
                </c:pt>
                <c:pt idx="856">
                  <c:v>90.923300000000012</c:v>
                </c:pt>
                <c:pt idx="857">
                  <c:v>90.828199999999995</c:v>
                </c:pt>
                <c:pt idx="858">
                  <c:v>90.91070000000002</c:v>
                </c:pt>
                <c:pt idx="859">
                  <c:v>90.896000000000001</c:v>
                </c:pt>
                <c:pt idx="860">
                  <c:v>90.917599999999993</c:v>
                </c:pt>
                <c:pt idx="861">
                  <c:v>90.9803</c:v>
                </c:pt>
                <c:pt idx="862">
                  <c:v>90.980400000000017</c:v>
                </c:pt>
                <c:pt idx="863">
                  <c:v>91.025700000000001</c:v>
                </c:pt>
                <c:pt idx="864">
                  <c:v>90.876800000000003</c:v>
                </c:pt>
                <c:pt idx="865">
                  <c:v>90.936199999999999</c:v>
                </c:pt>
                <c:pt idx="866">
                  <c:v>90.881100000000004</c:v>
                </c:pt>
                <c:pt idx="867">
                  <c:v>90.877100000000013</c:v>
                </c:pt>
                <c:pt idx="868">
                  <c:v>90.921899999999994</c:v>
                </c:pt>
                <c:pt idx="869">
                  <c:v>90.921899999999994</c:v>
                </c:pt>
                <c:pt idx="870">
                  <c:v>91.031199999999998</c:v>
                </c:pt>
                <c:pt idx="871">
                  <c:v>91.302199999999999</c:v>
                </c:pt>
                <c:pt idx="872">
                  <c:v>91.507500000000007</c:v>
                </c:pt>
                <c:pt idx="873">
                  <c:v>91.996899999999997</c:v>
                </c:pt>
                <c:pt idx="874">
                  <c:v>91.973600000000005</c:v>
                </c:pt>
                <c:pt idx="875">
                  <c:v>91.809700000000007</c:v>
                </c:pt>
                <c:pt idx="876">
                  <c:v>91.809700000000007</c:v>
                </c:pt>
                <c:pt idx="877">
                  <c:v>91.634100000000004</c:v>
                </c:pt>
                <c:pt idx="878">
                  <c:v>91.815600000000003</c:v>
                </c:pt>
                <c:pt idx="879">
                  <c:v>92.916200000000003</c:v>
                </c:pt>
                <c:pt idx="880">
                  <c:v>93.124200000000002</c:v>
                </c:pt>
                <c:pt idx="881">
                  <c:v>93.644199999999998</c:v>
                </c:pt>
                <c:pt idx="882">
                  <c:v>93.504800000000003</c:v>
                </c:pt>
                <c:pt idx="883">
                  <c:v>93.680700000000002</c:v>
                </c:pt>
                <c:pt idx="884">
                  <c:v>93.723399999999998</c:v>
                </c:pt>
                <c:pt idx="885">
                  <c:v>93.882800000000003</c:v>
                </c:pt>
                <c:pt idx="886">
                  <c:v>93.880200000000002</c:v>
                </c:pt>
                <c:pt idx="887">
                  <c:v>94.135300000000001</c:v>
                </c:pt>
                <c:pt idx="888">
                  <c:v>94.412599999999998</c:v>
                </c:pt>
                <c:pt idx="889">
                  <c:v>94.263300000000001</c:v>
                </c:pt>
                <c:pt idx="890">
                  <c:v>94.263300000000001</c:v>
                </c:pt>
                <c:pt idx="891">
                  <c:v>93.899300000000011</c:v>
                </c:pt>
                <c:pt idx="892">
                  <c:v>94.528999999999996</c:v>
                </c:pt>
                <c:pt idx="893">
                  <c:v>94.526799999999994</c:v>
                </c:pt>
                <c:pt idx="894">
                  <c:v>94.417400000000001</c:v>
                </c:pt>
                <c:pt idx="895">
                  <c:v>94.326600000000013</c:v>
                </c:pt>
                <c:pt idx="896">
                  <c:v>94.380499999999998</c:v>
                </c:pt>
                <c:pt idx="897">
                  <c:v>94.206299999999999</c:v>
                </c:pt>
                <c:pt idx="898">
                  <c:v>94.206299999999999</c:v>
                </c:pt>
                <c:pt idx="899">
                  <c:v>94.002399999999994</c:v>
                </c:pt>
                <c:pt idx="900">
                  <c:v>93.429699999999997</c:v>
                </c:pt>
                <c:pt idx="901">
                  <c:v>94.259100000000004</c:v>
                </c:pt>
                <c:pt idx="902">
                  <c:v>94.406000000000006</c:v>
                </c:pt>
                <c:pt idx="903">
                  <c:v>94.433700000000002</c:v>
                </c:pt>
                <c:pt idx="904">
                  <c:v>94.481099999999998</c:v>
                </c:pt>
                <c:pt idx="905">
                  <c:v>94.487200000000001</c:v>
                </c:pt>
                <c:pt idx="906">
                  <c:v>94.528899999999993</c:v>
                </c:pt>
                <c:pt idx="907">
                  <c:v>94.548699999999997</c:v>
                </c:pt>
                <c:pt idx="908">
                  <c:v>94.589200000000019</c:v>
                </c:pt>
                <c:pt idx="909">
                  <c:v>94.263400000000004</c:v>
                </c:pt>
                <c:pt idx="910">
                  <c:v>94.564700000000002</c:v>
                </c:pt>
                <c:pt idx="911">
                  <c:v>94.598699999999994</c:v>
                </c:pt>
                <c:pt idx="912">
                  <c:v>94.749499999999998</c:v>
                </c:pt>
                <c:pt idx="913">
                  <c:v>94.6477</c:v>
                </c:pt>
                <c:pt idx="914">
                  <c:v>94.674199999999999</c:v>
                </c:pt>
                <c:pt idx="915">
                  <c:v>94.593199999999996</c:v>
                </c:pt>
                <c:pt idx="916">
                  <c:v>94.404300000000006</c:v>
                </c:pt>
                <c:pt idx="917">
                  <c:v>93.968000000000004</c:v>
                </c:pt>
                <c:pt idx="918">
                  <c:v>94.1083</c:v>
                </c:pt>
                <c:pt idx="919">
                  <c:v>94.1387</c:v>
                </c:pt>
                <c:pt idx="920">
                  <c:v>94.104600000000005</c:v>
                </c:pt>
                <c:pt idx="921">
                  <c:v>94.413899999999998</c:v>
                </c:pt>
                <c:pt idx="922">
                  <c:v>94.434399999999997</c:v>
                </c:pt>
                <c:pt idx="923">
                  <c:v>94.430099999999996</c:v>
                </c:pt>
                <c:pt idx="924">
                  <c:v>94.349199999999996</c:v>
                </c:pt>
                <c:pt idx="925">
                  <c:v>94.382500000000007</c:v>
                </c:pt>
                <c:pt idx="926">
                  <c:v>94.303799999999995</c:v>
                </c:pt>
                <c:pt idx="927">
                  <c:v>94.478000000000009</c:v>
                </c:pt>
                <c:pt idx="928">
                  <c:v>94.432400000000001</c:v>
                </c:pt>
                <c:pt idx="929">
                  <c:v>94.406899999999993</c:v>
                </c:pt>
                <c:pt idx="930">
                  <c:v>94.440100000000001</c:v>
                </c:pt>
                <c:pt idx="931">
                  <c:v>94.4529</c:v>
                </c:pt>
                <c:pt idx="932">
                  <c:v>94.4529</c:v>
                </c:pt>
                <c:pt idx="933">
                  <c:v>94.519400000000005</c:v>
                </c:pt>
                <c:pt idx="934">
                  <c:v>94.418000000000006</c:v>
                </c:pt>
                <c:pt idx="935">
                  <c:v>94.460600000000014</c:v>
                </c:pt>
                <c:pt idx="936">
                  <c:v>94.667100000000005</c:v>
                </c:pt>
                <c:pt idx="937">
                  <c:v>94.42570000000002</c:v>
                </c:pt>
                <c:pt idx="938">
                  <c:v>94.586100000000002</c:v>
                </c:pt>
                <c:pt idx="939">
                  <c:v>94.582300000000004</c:v>
                </c:pt>
                <c:pt idx="940">
                  <c:v>94.672399999999996</c:v>
                </c:pt>
                <c:pt idx="941">
                  <c:v>94.524100000000004</c:v>
                </c:pt>
                <c:pt idx="942">
                  <c:v>94.638999999999996</c:v>
                </c:pt>
                <c:pt idx="943">
                  <c:v>94.597999999999999</c:v>
                </c:pt>
                <c:pt idx="944">
                  <c:v>94.36</c:v>
                </c:pt>
                <c:pt idx="945">
                  <c:v>94.710400000000007</c:v>
                </c:pt>
                <c:pt idx="946">
                  <c:v>94.706599999999995</c:v>
                </c:pt>
                <c:pt idx="947">
                  <c:v>94.724800000000002</c:v>
                </c:pt>
                <c:pt idx="948">
                  <c:v>94.248400000000004</c:v>
                </c:pt>
                <c:pt idx="949">
                  <c:v>94.299300000000002</c:v>
                </c:pt>
                <c:pt idx="950">
                  <c:v>94.152799999999999</c:v>
                </c:pt>
                <c:pt idx="951">
                  <c:v>94.070000000000007</c:v>
                </c:pt>
                <c:pt idx="952">
                  <c:v>94.135400000000004</c:v>
                </c:pt>
                <c:pt idx="953">
                  <c:v>94.083399999999997</c:v>
                </c:pt>
                <c:pt idx="954">
                  <c:v>94.185400000000001</c:v>
                </c:pt>
                <c:pt idx="955">
                  <c:v>94.520100000000014</c:v>
                </c:pt>
                <c:pt idx="956">
                  <c:v>94.507800000000003</c:v>
                </c:pt>
                <c:pt idx="957">
                  <c:v>94.536100000000005</c:v>
                </c:pt>
                <c:pt idx="958">
                  <c:v>94.087900000000005</c:v>
                </c:pt>
                <c:pt idx="959">
                  <c:v>94.442600000000013</c:v>
                </c:pt>
                <c:pt idx="960">
                  <c:v>94.537000000000006</c:v>
                </c:pt>
                <c:pt idx="961">
                  <c:v>94.561099999999996</c:v>
                </c:pt>
                <c:pt idx="962">
                  <c:v>94.253600000000006</c:v>
                </c:pt>
                <c:pt idx="963">
                  <c:v>94.467500000000001</c:v>
                </c:pt>
                <c:pt idx="964">
                  <c:v>94.438599999999994</c:v>
                </c:pt>
                <c:pt idx="965">
                  <c:v>94.719300000000004</c:v>
                </c:pt>
                <c:pt idx="966">
                  <c:v>94.885000000000005</c:v>
                </c:pt>
                <c:pt idx="967">
                  <c:v>94.911500000000004</c:v>
                </c:pt>
                <c:pt idx="968">
                  <c:v>94.875500000000002</c:v>
                </c:pt>
                <c:pt idx="969">
                  <c:v>94.956900000000005</c:v>
                </c:pt>
                <c:pt idx="970">
                  <c:v>94.868799999999993</c:v>
                </c:pt>
                <c:pt idx="971">
                  <c:v>94.712000000000003</c:v>
                </c:pt>
                <c:pt idx="972">
                  <c:v>94.551500000000004</c:v>
                </c:pt>
                <c:pt idx="973">
                  <c:v>94.565899999999999</c:v>
                </c:pt>
                <c:pt idx="974">
                  <c:v>94.568200000000019</c:v>
                </c:pt>
                <c:pt idx="975">
                  <c:v>94.544300000000007</c:v>
                </c:pt>
                <c:pt idx="976">
                  <c:v>94.738500000000002</c:v>
                </c:pt>
                <c:pt idx="977">
                  <c:v>94.90470000000002</c:v>
                </c:pt>
                <c:pt idx="978">
                  <c:v>94.762500000000003</c:v>
                </c:pt>
                <c:pt idx="979">
                  <c:v>94.677400000000006</c:v>
                </c:pt>
                <c:pt idx="980">
                  <c:v>94.66670000000002</c:v>
                </c:pt>
                <c:pt idx="981">
                  <c:v>94.857399999999998</c:v>
                </c:pt>
                <c:pt idx="982">
                  <c:v>94.845500000000001</c:v>
                </c:pt>
                <c:pt idx="983">
                  <c:v>94.737000000000009</c:v>
                </c:pt>
                <c:pt idx="984">
                  <c:v>94.715000000000003</c:v>
                </c:pt>
                <c:pt idx="985">
                  <c:v>94.561999999999998</c:v>
                </c:pt>
                <c:pt idx="986">
                  <c:v>94.560299999999998</c:v>
                </c:pt>
                <c:pt idx="987">
                  <c:v>94.492900000000006</c:v>
                </c:pt>
                <c:pt idx="988">
                  <c:v>94.497900000000001</c:v>
                </c:pt>
                <c:pt idx="989">
                  <c:v>94.451300000000003</c:v>
                </c:pt>
                <c:pt idx="990">
                  <c:v>94.439800000000005</c:v>
                </c:pt>
                <c:pt idx="991">
                  <c:v>94.595399999999998</c:v>
                </c:pt>
                <c:pt idx="992">
                  <c:v>94.545300000000012</c:v>
                </c:pt>
                <c:pt idx="993">
                  <c:v>94.453400000000016</c:v>
                </c:pt>
                <c:pt idx="994">
                  <c:v>94.728700000000003</c:v>
                </c:pt>
                <c:pt idx="995">
                  <c:v>94.725099999999998</c:v>
                </c:pt>
                <c:pt idx="996">
                  <c:v>94.660899999999998</c:v>
                </c:pt>
                <c:pt idx="997">
                  <c:v>94.700900000000004</c:v>
                </c:pt>
                <c:pt idx="998">
                  <c:v>94.575400000000016</c:v>
                </c:pt>
                <c:pt idx="999">
                  <c:v>94.787700000000001</c:v>
                </c:pt>
                <c:pt idx="1000">
                  <c:v>94.785799999999995</c:v>
                </c:pt>
                <c:pt idx="1001">
                  <c:v>94.839699999999993</c:v>
                </c:pt>
                <c:pt idx="1002">
                  <c:v>94.839699999999993</c:v>
                </c:pt>
                <c:pt idx="1003">
                  <c:v>95.010199999999998</c:v>
                </c:pt>
                <c:pt idx="1004">
                  <c:v>94.955200000000019</c:v>
                </c:pt>
                <c:pt idx="1005">
                  <c:v>94.976299999999995</c:v>
                </c:pt>
                <c:pt idx="1006">
                  <c:v>95.132500000000007</c:v>
                </c:pt>
                <c:pt idx="1007">
                  <c:v>95.463000000000008</c:v>
                </c:pt>
                <c:pt idx="1008">
                  <c:v>95.562600000000003</c:v>
                </c:pt>
                <c:pt idx="1009">
                  <c:v>95.4953</c:v>
                </c:pt>
                <c:pt idx="1010">
                  <c:v>95.477500000000006</c:v>
                </c:pt>
                <c:pt idx="1011">
                  <c:v>95.482699999999994</c:v>
                </c:pt>
                <c:pt idx="1012">
                  <c:v>95.6233</c:v>
                </c:pt>
                <c:pt idx="1013">
                  <c:v>95.442999999999998</c:v>
                </c:pt>
                <c:pt idx="1014">
                  <c:v>95.5732</c:v>
                </c:pt>
                <c:pt idx="1015">
                  <c:v>95.561600000000013</c:v>
                </c:pt>
                <c:pt idx="1016">
                  <c:v>95.563400000000001</c:v>
                </c:pt>
                <c:pt idx="1017">
                  <c:v>95.578500000000005</c:v>
                </c:pt>
                <c:pt idx="1018">
                  <c:v>95.451000000000008</c:v>
                </c:pt>
                <c:pt idx="1019">
                  <c:v>95.1858</c:v>
                </c:pt>
                <c:pt idx="1020">
                  <c:v>95.461699999999993</c:v>
                </c:pt>
                <c:pt idx="1021">
                  <c:v>95.545400000000001</c:v>
                </c:pt>
                <c:pt idx="1022">
                  <c:v>95.517600000000002</c:v>
                </c:pt>
                <c:pt idx="1023">
                  <c:v>95.565299999999993</c:v>
                </c:pt>
                <c:pt idx="1024">
                  <c:v>95.585499999999996</c:v>
                </c:pt>
                <c:pt idx="1025">
                  <c:v>95.493399999999994</c:v>
                </c:pt>
                <c:pt idx="1026">
                  <c:v>95.640799999999999</c:v>
                </c:pt>
                <c:pt idx="1027">
                  <c:v>95.511300000000006</c:v>
                </c:pt>
                <c:pt idx="1028">
                  <c:v>95.897199999999998</c:v>
                </c:pt>
                <c:pt idx="1029">
                  <c:v>95.805300000000003</c:v>
                </c:pt>
                <c:pt idx="1030">
                  <c:v>95.825000000000003</c:v>
                </c:pt>
                <c:pt idx="1031">
                  <c:v>95.802400000000006</c:v>
                </c:pt>
                <c:pt idx="1032">
                  <c:v>95.877899999999997</c:v>
                </c:pt>
                <c:pt idx="1033">
                  <c:v>95.765799999999999</c:v>
                </c:pt>
                <c:pt idx="1034">
                  <c:v>95.878600000000006</c:v>
                </c:pt>
                <c:pt idx="1035">
                  <c:v>95.689899999999994</c:v>
                </c:pt>
                <c:pt idx="1036">
                  <c:v>95.934600000000003</c:v>
                </c:pt>
                <c:pt idx="1037">
                  <c:v>95.789500000000004</c:v>
                </c:pt>
                <c:pt idx="1038">
                  <c:v>95.906000000000006</c:v>
                </c:pt>
                <c:pt idx="1039">
                  <c:v>96.112000000000009</c:v>
                </c:pt>
                <c:pt idx="1040">
                  <c:v>96.188199999999995</c:v>
                </c:pt>
                <c:pt idx="1041">
                  <c:v>96.036600000000007</c:v>
                </c:pt>
                <c:pt idx="1042">
                  <c:v>95.991200000000021</c:v>
                </c:pt>
                <c:pt idx="1043">
                  <c:v>96.037899999999993</c:v>
                </c:pt>
                <c:pt idx="1044">
                  <c:v>95.938599999999994</c:v>
                </c:pt>
                <c:pt idx="1045">
                  <c:v>95.993799999999993</c:v>
                </c:pt>
                <c:pt idx="1046">
                  <c:v>95.920900000000017</c:v>
                </c:pt>
                <c:pt idx="1047">
                  <c:v>95.983199999999997</c:v>
                </c:pt>
                <c:pt idx="1048">
                  <c:v>95.985600000000005</c:v>
                </c:pt>
                <c:pt idx="1049">
                  <c:v>95.790700000000001</c:v>
                </c:pt>
                <c:pt idx="1050">
                  <c:v>95.919799999999995</c:v>
                </c:pt>
                <c:pt idx="1051">
                  <c:v>95.967100000000002</c:v>
                </c:pt>
                <c:pt idx="1052">
                  <c:v>95.875500000000002</c:v>
                </c:pt>
                <c:pt idx="1053">
                  <c:v>96.170300000000012</c:v>
                </c:pt>
                <c:pt idx="1054">
                  <c:v>96.091499999999996</c:v>
                </c:pt>
                <c:pt idx="1055">
                  <c:v>95.813699999999997</c:v>
                </c:pt>
                <c:pt idx="1056">
                  <c:v>96.005799999999994</c:v>
                </c:pt>
                <c:pt idx="1057">
                  <c:v>95.793700000000001</c:v>
                </c:pt>
                <c:pt idx="1058">
                  <c:v>96.026499999999999</c:v>
                </c:pt>
                <c:pt idx="1059">
                  <c:v>95.916799999999995</c:v>
                </c:pt>
                <c:pt idx="1060">
                  <c:v>95.911100000000005</c:v>
                </c:pt>
                <c:pt idx="1061">
                  <c:v>96.074700000000007</c:v>
                </c:pt>
                <c:pt idx="1062">
                  <c:v>96.378100000000003</c:v>
                </c:pt>
                <c:pt idx="1063">
                  <c:v>96.560500000000005</c:v>
                </c:pt>
                <c:pt idx="1064">
                  <c:v>96.632000000000005</c:v>
                </c:pt>
                <c:pt idx="1065">
                  <c:v>96.665300000000002</c:v>
                </c:pt>
                <c:pt idx="1066">
                  <c:v>96.597300000000004</c:v>
                </c:pt>
                <c:pt idx="1067">
                  <c:v>96.568100000000001</c:v>
                </c:pt>
                <c:pt idx="1068">
                  <c:v>96.585999999999999</c:v>
                </c:pt>
                <c:pt idx="1069">
                  <c:v>96.645899999999997</c:v>
                </c:pt>
                <c:pt idx="1070">
                  <c:v>96.661199999999994</c:v>
                </c:pt>
                <c:pt idx="1071">
                  <c:v>96.781300000000002</c:v>
                </c:pt>
                <c:pt idx="1072">
                  <c:v>96.786900000000017</c:v>
                </c:pt>
                <c:pt idx="1073">
                  <c:v>96.841899999999995</c:v>
                </c:pt>
                <c:pt idx="1074">
                  <c:v>96.954999999999998</c:v>
                </c:pt>
                <c:pt idx="1075">
                  <c:v>97.015300000000011</c:v>
                </c:pt>
                <c:pt idx="1076">
                  <c:v>97.100700000000003</c:v>
                </c:pt>
                <c:pt idx="1077">
                  <c:v>97.401600000000002</c:v>
                </c:pt>
                <c:pt idx="1078">
                  <c:v>97.504000000000005</c:v>
                </c:pt>
                <c:pt idx="1079">
                  <c:v>97.646699999999996</c:v>
                </c:pt>
                <c:pt idx="1080">
                  <c:v>97.494699999999995</c:v>
                </c:pt>
                <c:pt idx="1081">
                  <c:v>97.847000000000008</c:v>
                </c:pt>
                <c:pt idx="1082">
                  <c:v>97.751099999999994</c:v>
                </c:pt>
                <c:pt idx="1083">
                  <c:v>97.946200000000019</c:v>
                </c:pt>
                <c:pt idx="1084">
                  <c:v>97.50930000000001</c:v>
                </c:pt>
                <c:pt idx="1085">
                  <c:v>97.727699999999999</c:v>
                </c:pt>
                <c:pt idx="1086">
                  <c:v>97.563100000000006</c:v>
                </c:pt>
                <c:pt idx="1087">
                  <c:v>97.639600000000002</c:v>
                </c:pt>
                <c:pt idx="1088">
                  <c:v>97.664599999999993</c:v>
                </c:pt>
                <c:pt idx="1089">
                  <c:v>97.614199999999997</c:v>
                </c:pt>
                <c:pt idx="1090">
                  <c:v>97.5167</c:v>
                </c:pt>
                <c:pt idx="1091">
                  <c:v>97.624700000000004</c:v>
                </c:pt>
                <c:pt idx="1092">
                  <c:v>97.44380000000001</c:v>
                </c:pt>
                <c:pt idx="1093">
                  <c:v>97.402500000000003</c:v>
                </c:pt>
                <c:pt idx="1094">
                  <c:v>97.249100000000013</c:v>
                </c:pt>
                <c:pt idx="1095">
                  <c:v>97.119600000000005</c:v>
                </c:pt>
                <c:pt idx="1096">
                  <c:v>97.160499999999999</c:v>
                </c:pt>
                <c:pt idx="1097">
                  <c:v>97.502200000000002</c:v>
                </c:pt>
                <c:pt idx="1098">
                  <c:v>97.679100000000005</c:v>
                </c:pt>
                <c:pt idx="1099">
                  <c:v>97.810100000000006</c:v>
                </c:pt>
                <c:pt idx="1100">
                  <c:v>97.79770000000002</c:v>
                </c:pt>
                <c:pt idx="1101">
                  <c:v>97.706800000000001</c:v>
                </c:pt>
                <c:pt idx="1102">
                  <c:v>97.554599999999994</c:v>
                </c:pt>
                <c:pt idx="1103">
                  <c:v>97.536900000000017</c:v>
                </c:pt>
                <c:pt idx="1104">
                  <c:v>97.290999999999997</c:v>
                </c:pt>
                <c:pt idx="1105">
                  <c:v>96.703299999999999</c:v>
                </c:pt>
                <c:pt idx="1106">
                  <c:v>97.340199999999996</c:v>
                </c:pt>
                <c:pt idx="1107">
                  <c:v>97.308300000000003</c:v>
                </c:pt>
                <c:pt idx="1108">
                  <c:v>97.186700000000002</c:v>
                </c:pt>
                <c:pt idx="1109">
                  <c:v>97.291100000000014</c:v>
                </c:pt>
                <c:pt idx="1110">
                  <c:v>97.308899999999994</c:v>
                </c:pt>
                <c:pt idx="1111">
                  <c:v>97.667000000000002</c:v>
                </c:pt>
                <c:pt idx="1112">
                  <c:v>97.882800000000003</c:v>
                </c:pt>
                <c:pt idx="1113">
                  <c:v>97.833200000000019</c:v>
                </c:pt>
                <c:pt idx="1114">
                  <c:v>97.713800000000006</c:v>
                </c:pt>
                <c:pt idx="1115">
                  <c:v>97.833200000000019</c:v>
                </c:pt>
                <c:pt idx="1116">
                  <c:v>97.838000000000008</c:v>
                </c:pt>
                <c:pt idx="1117">
                  <c:v>97.811000000000007</c:v>
                </c:pt>
                <c:pt idx="1118">
                  <c:v>97.773499999999999</c:v>
                </c:pt>
                <c:pt idx="1119">
                  <c:v>97.686400000000006</c:v>
                </c:pt>
                <c:pt idx="1120">
                  <c:v>97.744600000000005</c:v>
                </c:pt>
                <c:pt idx="1121">
                  <c:v>97.706500000000005</c:v>
                </c:pt>
                <c:pt idx="1122">
                  <c:v>97.742400000000018</c:v>
                </c:pt>
                <c:pt idx="1123">
                  <c:v>97.747500000000002</c:v>
                </c:pt>
                <c:pt idx="1124">
                  <c:v>97.612200000000001</c:v>
                </c:pt>
                <c:pt idx="1125">
                  <c:v>97.674700000000001</c:v>
                </c:pt>
                <c:pt idx="1126">
                  <c:v>97.495800000000003</c:v>
                </c:pt>
                <c:pt idx="1127">
                  <c:v>98.023799999999994</c:v>
                </c:pt>
                <c:pt idx="1128">
                  <c:v>98.073600000000013</c:v>
                </c:pt>
                <c:pt idx="1129">
                  <c:v>97.770300000000006</c:v>
                </c:pt>
                <c:pt idx="1130">
                  <c:v>97.927300000000002</c:v>
                </c:pt>
                <c:pt idx="1131">
                  <c:v>97.725000000000009</c:v>
                </c:pt>
                <c:pt idx="1132">
                  <c:v>97.953199999999995</c:v>
                </c:pt>
                <c:pt idx="1133">
                  <c:v>98.13130000000001</c:v>
                </c:pt>
                <c:pt idx="1134">
                  <c:v>97.909700000000001</c:v>
                </c:pt>
                <c:pt idx="1135">
                  <c:v>98.055800000000005</c:v>
                </c:pt>
                <c:pt idx="1136">
                  <c:v>98.048000000000002</c:v>
                </c:pt>
                <c:pt idx="1137">
                  <c:v>98.088899999999995</c:v>
                </c:pt>
                <c:pt idx="1138">
                  <c:v>98.067300000000003</c:v>
                </c:pt>
                <c:pt idx="1139">
                  <c:v>98.326800000000006</c:v>
                </c:pt>
                <c:pt idx="1140">
                  <c:v>98.078500000000005</c:v>
                </c:pt>
                <c:pt idx="1141">
                  <c:v>98.103999999999999</c:v>
                </c:pt>
                <c:pt idx="1142">
                  <c:v>98.065200000000019</c:v>
                </c:pt>
                <c:pt idx="1143">
                  <c:v>98.144800000000004</c:v>
                </c:pt>
                <c:pt idx="1144">
                  <c:v>98.112899999999996</c:v>
                </c:pt>
                <c:pt idx="1145">
                  <c:v>98.131699999999995</c:v>
                </c:pt>
                <c:pt idx="1146">
                  <c:v>98.409899999999993</c:v>
                </c:pt>
                <c:pt idx="1147">
                  <c:v>98.087500000000006</c:v>
                </c:pt>
                <c:pt idx="1148">
                  <c:v>98.346299999999999</c:v>
                </c:pt>
                <c:pt idx="1149">
                  <c:v>98.1922</c:v>
                </c:pt>
                <c:pt idx="1150">
                  <c:v>98.351600000000005</c:v>
                </c:pt>
                <c:pt idx="1151">
                  <c:v>98.511899999999997</c:v>
                </c:pt>
                <c:pt idx="1152">
                  <c:v>98.215400000000017</c:v>
                </c:pt>
                <c:pt idx="1153">
                  <c:v>98.309600000000003</c:v>
                </c:pt>
                <c:pt idx="1154">
                  <c:v>98.305000000000007</c:v>
                </c:pt>
                <c:pt idx="1155">
                  <c:v>98.171400000000006</c:v>
                </c:pt>
                <c:pt idx="1156">
                  <c:v>98.313500000000005</c:v>
                </c:pt>
                <c:pt idx="1157">
                  <c:v>98.243600000000015</c:v>
                </c:pt>
                <c:pt idx="1158">
                  <c:v>97.925600000000003</c:v>
                </c:pt>
                <c:pt idx="1159">
                  <c:v>98.207099999999997</c:v>
                </c:pt>
                <c:pt idx="1160">
                  <c:v>98.165199999999999</c:v>
                </c:pt>
                <c:pt idx="1161">
                  <c:v>98.108900000000006</c:v>
                </c:pt>
                <c:pt idx="1162">
                  <c:v>97.900999999999996</c:v>
                </c:pt>
                <c:pt idx="1163">
                  <c:v>97.751400000000004</c:v>
                </c:pt>
                <c:pt idx="1164">
                  <c:v>98.145100000000014</c:v>
                </c:pt>
                <c:pt idx="1165">
                  <c:v>97.838000000000008</c:v>
                </c:pt>
                <c:pt idx="1166">
                  <c:v>97.831100000000006</c:v>
                </c:pt>
                <c:pt idx="1167">
                  <c:v>97.921800000000005</c:v>
                </c:pt>
                <c:pt idx="1168">
                  <c:v>97.623599999999996</c:v>
                </c:pt>
                <c:pt idx="1169">
                  <c:v>98.088099999999997</c:v>
                </c:pt>
                <c:pt idx="1170">
                  <c:v>97.919100000000014</c:v>
                </c:pt>
                <c:pt idx="1171">
                  <c:v>98.264300000000006</c:v>
                </c:pt>
                <c:pt idx="1172">
                  <c:v>98.248999999999995</c:v>
                </c:pt>
                <c:pt idx="1173">
                  <c:v>98.246799999999993</c:v>
                </c:pt>
                <c:pt idx="1174">
                  <c:v>98.159300000000002</c:v>
                </c:pt>
                <c:pt idx="1175">
                  <c:v>98.312600000000003</c:v>
                </c:pt>
                <c:pt idx="1176">
                  <c:v>98.232800000000012</c:v>
                </c:pt>
                <c:pt idx="1177">
                  <c:v>98.268900000000016</c:v>
                </c:pt>
                <c:pt idx="1178">
                  <c:v>98.057500000000005</c:v>
                </c:pt>
                <c:pt idx="1179">
                  <c:v>98.547300000000007</c:v>
                </c:pt>
                <c:pt idx="1180">
                  <c:v>98.381600000000006</c:v>
                </c:pt>
                <c:pt idx="1181">
                  <c:v>98.573000000000008</c:v>
                </c:pt>
                <c:pt idx="1182">
                  <c:v>98.345600000000005</c:v>
                </c:pt>
                <c:pt idx="1183">
                  <c:v>98.428899999999999</c:v>
                </c:pt>
                <c:pt idx="1184">
                  <c:v>98.410100000000014</c:v>
                </c:pt>
                <c:pt idx="1185">
                  <c:v>98.38430000000001</c:v>
                </c:pt>
                <c:pt idx="1186">
                  <c:v>98.420199999999994</c:v>
                </c:pt>
                <c:pt idx="1187">
                  <c:v>98.487899999999996</c:v>
                </c:pt>
                <c:pt idx="1188">
                  <c:v>98.350999999999999</c:v>
                </c:pt>
                <c:pt idx="1189">
                  <c:v>98.357699999999994</c:v>
                </c:pt>
                <c:pt idx="1190">
                  <c:v>98.34520000000002</c:v>
                </c:pt>
                <c:pt idx="1191">
                  <c:v>98.420699999999997</c:v>
                </c:pt>
                <c:pt idx="1192">
                  <c:v>98.424099999999996</c:v>
                </c:pt>
                <c:pt idx="1193">
                  <c:v>98.495599999999996</c:v>
                </c:pt>
                <c:pt idx="1194">
                  <c:v>98.317000000000007</c:v>
                </c:pt>
                <c:pt idx="1195">
                  <c:v>98.367099999999994</c:v>
                </c:pt>
                <c:pt idx="1196">
                  <c:v>98.246600000000001</c:v>
                </c:pt>
                <c:pt idx="1197">
                  <c:v>98.241200000000021</c:v>
                </c:pt>
                <c:pt idx="1198">
                  <c:v>98.236099999999993</c:v>
                </c:pt>
                <c:pt idx="1199">
                  <c:v>98.053200000000004</c:v>
                </c:pt>
                <c:pt idx="1200">
                  <c:v>98.268500000000003</c:v>
                </c:pt>
                <c:pt idx="1201">
                  <c:v>98.129099999999994</c:v>
                </c:pt>
                <c:pt idx="1202">
                  <c:v>98.650400000000005</c:v>
                </c:pt>
                <c:pt idx="1203">
                  <c:v>98.438599999999994</c:v>
                </c:pt>
                <c:pt idx="1204">
                  <c:v>98.494100000000003</c:v>
                </c:pt>
                <c:pt idx="1205">
                  <c:v>98.403999999999996</c:v>
                </c:pt>
                <c:pt idx="1206">
                  <c:v>98.440700000000007</c:v>
                </c:pt>
                <c:pt idx="1207">
                  <c:v>98.366500000000002</c:v>
                </c:pt>
                <c:pt idx="1208">
                  <c:v>98.389600000000002</c:v>
                </c:pt>
                <c:pt idx="1209">
                  <c:v>98.379300000000001</c:v>
                </c:pt>
                <c:pt idx="1210">
                  <c:v>98.527600000000007</c:v>
                </c:pt>
                <c:pt idx="1211">
                  <c:v>98.424400000000006</c:v>
                </c:pt>
                <c:pt idx="1212">
                  <c:v>98.479600000000005</c:v>
                </c:pt>
                <c:pt idx="1213">
                  <c:v>98.263000000000005</c:v>
                </c:pt>
                <c:pt idx="1214">
                  <c:v>98.443299999999994</c:v>
                </c:pt>
                <c:pt idx="1215">
                  <c:v>98.240399999999994</c:v>
                </c:pt>
                <c:pt idx="1216">
                  <c:v>98.417599999999993</c:v>
                </c:pt>
                <c:pt idx="1217">
                  <c:v>98.295199999999994</c:v>
                </c:pt>
                <c:pt idx="1218">
                  <c:v>98.258899999999997</c:v>
                </c:pt>
                <c:pt idx="1219">
                  <c:v>98.36020000000002</c:v>
                </c:pt>
                <c:pt idx="1220">
                  <c:v>98.351900000000001</c:v>
                </c:pt>
                <c:pt idx="1221">
                  <c:v>98.432900000000018</c:v>
                </c:pt>
                <c:pt idx="1222">
                  <c:v>98.507999999999996</c:v>
                </c:pt>
                <c:pt idx="1223">
                  <c:v>98.305000000000007</c:v>
                </c:pt>
                <c:pt idx="1224">
                  <c:v>98.620999999999995</c:v>
                </c:pt>
                <c:pt idx="1225">
                  <c:v>98.415899999999993</c:v>
                </c:pt>
                <c:pt idx="1226">
                  <c:v>98.386499999999998</c:v>
                </c:pt>
                <c:pt idx="1227">
                  <c:v>98.440200000000019</c:v>
                </c:pt>
                <c:pt idx="1228">
                  <c:v>98.623199999999997</c:v>
                </c:pt>
                <c:pt idx="1229">
                  <c:v>98.748199999999997</c:v>
                </c:pt>
                <c:pt idx="1230">
                  <c:v>98.506100000000004</c:v>
                </c:pt>
                <c:pt idx="1231">
                  <c:v>98.558899999999994</c:v>
                </c:pt>
                <c:pt idx="1232">
                  <c:v>98.510199999999998</c:v>
                </c:pt>
                <c:pt idx="1233">
                  <c:v>98.551900000000018</c:v>
                </c:pt>
                <c:pt idx="1234">
                  <c:v>98.619100000000003</c:v>
                </c:pt>
                <c:pt idx="1235">
                  <c:v>98.171199999999999</c:v>
                </c:pt>
                <c:pt idx="1236">
                  <c:v>98.333600000000004</c:v>
                </c:pt>
                <c:pt idx="1237">
                  <c:v>98.847600000000014</c:v>
                </c:pt>
                <c:pt idx="1238">
                  <c:v>98.293999999999997</c:v>
                </c:pt>
                <c:pt idx="1239">
                  <c:v>98.432000000000002</c:v>
                </c:pt>
                <c:pt idx="1240">
                  <c:v>98.354600000000005</c:v>
                </c:pt>
                <c:pt idx="1241">
                  <c:v>98.412199999999999</c:v>
                </c:pt>
                <c:pt idx="1242">
                  <c:v>98.530900000000017</c:v>
                </c:pt>
                <c:pt idx="1243">
                  <c:v>98.741299999999995</c:v>
                </c:pt>
                <c:pt idx="1244">
                  <c:v>98.368499999999997</c:v>
                </c:pt>
                <c:pt idx="1245">
                  <c:v>98.435500000000005</c:v>
                </c:pt>
                <c:pt idx="1246">
                  <c:v>98.525300000000001</c:v>
                </c:pt>
                <c:pt idx="1247">
                  <c:v>98.473699999999994</c:v>
                </c:pt>
                <c:pt idx="1248">
                  <c:v>98.472099999999998</c:v>
                </c:pt>
                <c:pt idx="1249">
                  <c:v>97.906899999999993</c:v>
                </c:pt>
                <c:pt idx="1250">
                  <c:v>97.694800000000001</c:v>
                </c:pt>
                <c:pt idx="1251">
                  <c:v>98.242000000000004</c:v>
                </c:pt>
                <c:pt idx="1252">
                  <c:v>98.053200000000004</c:v>
                </c:pt>
                <c:pt idx="1253">
                  <c:v>98.498400000000004</c:v>
                </c:pt>
                <c:pt idx="1254">
                  <c:v>98.3352</c:v>
                </c:pt>
                <c:pt idx="1255">
                  <c:v>98.725200000000001</c:v>
                </c:pt>
                <c:pt idx="1256">
                  <c:v>98.524799999999999</c:v>
                </c:pt>
                <c:pt idx="1257">
                  <c:v>98.370400000000018</c:v>
                </c:pt>
                <c:pt idx="1258">
                  <c:v>98.402199999999993</c:v>
                </c:pt>
                <c:pt idx="1259">
                  <c:v>98.289900000000017</c:v>
                </c:pt>
                <c:pt idx="1260">
                  <c:v>98.333100000000002</c:v>
                </c:pt>
                <c:pt idx="1261">
                  <c:v>98.479500000000002</c:v>
                </c:pt>
                <c:pt idx="1262">
                  <c:v>98.378699999999995</c:v>
                </c:pt>
                <c:pt idx="1263">
                  <c:v>98.480099999999993</c:v>
                </c:pt>
                <c:pt idx="1264">
                  <c:v>98.633399999999995</c:v>
                </c:pt>
                <c:pt idx="1265">
                  <c:v>98.819599999999994</c:v>
                </c:pt>
                <c:pt idx="1266">
                  <c:v>98.63730000000001</c:v>
                </c:pt>
                <c:pt idx="1267">
                  <c:v>99.057299999999998</c:v>
                </c:pt>
                <c:pt idx="1268">
                  <c:v>98.952299999999994</c:v>
                </c:pt>
                <c:pt idx="1269">
                  <c:v>99.267899999999997</c:v>
                </c:pt>
                <c:pt idx="1270">
                  <c:v>98.938400000000001</c:v>
                </c:pt>
                <c:pt idx="1271">
                  <c:v>99.169899999999998</c:v>
                </c:pt>
                <c:pt idx="1272">
                  <c:v>98.951999999999998</c:v>
                </c:pt>
                <c:pt idx="1273">
                  <c:v>99.000600000000006</c:v>
                </c:pt>
                <c:pt idx="1274">
                  <c:v>99.379300000000001</c:v>
                </c:pt>
                <c:pt idx="1275">
                  <c:v>99.428600000000003</c:v>
                </c:pt>
                <c:pt idx="1276">
                  <c:v>99.610699999999994</c:v>
                </c:pt>
                <c:pt idx="1277">
                  <c:v>99.628</c:v>
                </c:pt>
                <c:pt idx="1278">
                  <c:v>99.853200000000001</c:v>
                </c:pt>
                <c:pt idx="1279">
                  <c:v>99.925399999999996</c:v>
                </c:pt>
                <c:pt idx="1280">
                  <c:v>100.7978</c:v>
                </c:pt>
                <c:pt idx="1281">
                  <c:v>100.1443</c:v>
                </c:pt>
                <c:pt idx="1282">
                  <c:v>100.07780000000001</c:v>
                </c:pt>
                <c:pt idx="1283">
                  <c:v>100.20340000000002</c:v>
                </c:pt>
                <c:pt idx="1284">
                  <c:v>99.917199999999994</c:v>
                </c:pt>
                <c:pt idx="1285">
                  <c:v>100.25700000000001</c:v>
                </c:pt>
                <c:pt idx="1286">
                  <c:v>98.427800000000005</c:v>
                </c:pt>
                <c:pt idx="1287">
                  <c:v>99.933499999999995</c:v>
                </c:pt>
                <c:pt idx="1288">
                  <c:v>99.994</c:v>
                </c:pt>
                <c:pt idx="1289">
                  <c:v>100.07470000000001</c:v>
                </c:pt>
                <c:pt idx="1290">
                  <c:v>100.05970000000002</c:v>
                </c:pt>
                <c:pt idx="1291">
                  <c:v>100.0913</c:v>
                </c:pt>
                <c:pt idx="1292">
                  <c:v>100.145</c:v>
                </c:pt>
                <c:pt idx="1293">
                  <c:v>100.1512</c:v>
                </c:pt>
                <c:pt idx="1294">
                  <c:v>100.34520000000002</c:v>
                </c:pt>
                <c:pt idx="1295">
                  <c:v>100.3036</c:v>
                </c:pt>
                <c:pt idx="1296">
                  <c:v>100.6652</c:v>
                </c:pt>
                <c:pt idx="1297">
                  <c:v>100.52970000000002</c:v>
                </c:pt>
                <c:pt idx="1298">
                  <c:v>100.4973</c:v>
                </c:pt>
                <c:pt idx="1299">
                  <c:v>100.4406</c:v>
                </c:pt>
                <c:pt idx="1300">
                  <c:v>100.62770000000002</c:v>
                </c:pt>
                <c:pt idx="1301">
                  <c:v>100.7024</c:v>
                </c:pt>
                <c:pt idx="1302">
                  <c:v>101.2269</c:v>
                </c:pt>
                <c:pt idx="1303">
                  <c:v>101.27850000000001</c:v>
                </c:pt>
                <c:pt idx="1304">
                  <c:v>101.357</c:v>
                </c:pt>
                <c:pt idx="1305">
                  <c:v>101.8199</c:v>
                </c:pt>
                <c:pt idx="1306">
                  <c:v>101.8729</c:v>
                </c:pt>
                <c:pt idx="1307">
                  <c:v>101.86969999999999</c:v>
                </c:pt>
                <c:pt idx="1308">
                  <c:v>101.9884</c:v>
                </c:pt>
                <c:pt idx="1309">
                  <c:v>101.8749</c:v>
                </c:pt>
                <c:pt idx="1310">
                  <c:v>102.12909999999999</c:v>
                </c:pt>
                <c:pt idx="1311">
                  <c:v>101.8155</c:v>
                </c:pt>
                <c:pt idx="1312">
                  <c:v>101.8871</c:v>
                </c:pt>
                <c:pt idx="1313">
                  <c:v>102.14100000000001</c:v>
                </c:pt>
                <c:pt idx="1314">
                  <c:v>102.2135</c:v>
                </c:pt>
                <c:pt idx="1315">
                  <c:v>102.2398</c:v>
                </c:pt>
                <c:pt idx="1316">
                  <c:v>102.23280000000001</c:v>
                </c:pt>
                <c:pt idx="1317">
                  <c:v>102.1978</c:v>
                </c:pt>
                <c:pt idx="1318">
                  <c:v>102.1688</c:v>
                </c:pt>
                <c:pt idx="1319">
                  <c:v>102.65860000000001</c:v>
                </c:pt>
                <c:pt idx="1320">
                  <c:v>102.6429</c:v>
                </c:pt>
                <c:pt idx="1321">
                  <c:v>102.4845</c:v>
                </c:pt>
                <c:pt idx="1322">
                  <c:v>102.5194</c:v>
                </c:pt>
                <c:pt idx="1323">
                  <c:v>102.8387</c:v>
                </c:pt>
                <c:pt idx="1324">
                  <c:v>102.81189999999999</c:v>
                </c:pt>
                <c:pt idx="1325">
                  <c:v>102.9088</c:v>
                </c:pt>
                <c:pt idx="1326">
                  <c:v>103.10639999999999</c:v>
                </c:pt>
                <c:pt idx="1327">
                  <c:v>103.15170000000002</c:v>
                </c:pt>
                <c:pt idx="1328">
                  <c:v>103.669</c:v>
                </c:pt>
                <c:pt idx="1329">
                  <c:v>103.41160000000001</c:v>
                </c:pt>
                <c:pt idx="1330">
                  <c:v>103.6217</c:v>
                </c:pt>
                <c:pt idx="1331">
                  <c:v>103.5184</c:v>
                </c:pt>
                <c:pt idx="1332">
                  <c:v>103.52209999999999</c:v>
                </c:pt>
                <c:pt idx="1333">
                  <c:v>103.5968</c:v>
                </c:pt>
                <c:pt idx="1334">
                  <c:v>103.5825</c:v>
                </c:pt>
                <c:pt idx="1335">
                  <c:v>103.8651</c:v>
                </c:pt>
                <c:pt idx="1336">
                  <c:v>104.28</c:v>
                </c:pt>
                <c:pt idx="1337">
                  <c:v>104.38790000000002</c:v>
                </c:pt>
                <c:pt idx="1338">
                  <c:v>104.452</c:v>
                </c:pt>
                <c:pt idx="1339">
                  <c:v>104.4513</c:v>
                </c:pt>
                <c:pt idx="1340">
                  <c:v>104.7734</c:v>
                </c:pt>
                <c:pt idx="1341">
                  <c:v>104.8357</c:v>
                </c:pt>
                <c:pt idx="1342">
                  <c:v>104.69140000000002</c:v>
                </c:pt>
                <c:pt idx="1343">
                  <c:v>105.0395</c:v>
                </c:pt>
                <c:pt idx="1344">
                  <c:v>104.6317</c:v>
                </c:pt>
                <c:pt idx="1345">
                  <c:v>104.71810000000001</c:v>
                </c:pt>
                <c:pt idx="1346">
                  <c:v>104.518</c:v>
                </c:pt>
                <c:pt idx="1347">
                  <c:v>104.49469999999999</c:v>
                </c:pt>
                <c:pt idx="1348">
                  <c:v>104.5217</c:v>
                </c:pt>
                <c:pt idx="1349">
                  <c:v>104.42810000000001</c:v>
                </c:pt>
                <c:pt idx="1350">
                  <c:v>104.58580000000001</c:v>
                </c:pt>
                <c:pt idx="1351">
                  <c:v>104.625</c:v>
                </c:pt>
                <c:pt idx="1352">
                  <c:v>104.77430000000001</c:v>
                </c:pt>
                <c:pt idx="1353">
                  <c:v>104.57840000000002</c:v>
                </c:pt>
                <c:pt idx="1354">
                  <c:v>104.7709</c:v>
                </c:pt>
                <c:pt idx="1355">
                  <c:v>104.6568</c:v>
                </c:pt>
                <c:pt idx="1356">
                  <c:v>104.6999</c:v>
                </c:pt>
                <c:pt idx="1357">
                  <c:v>105.1412</c:v>
                </c:pt>
                <c:pt idx="1358">
                  <c:v>104.908</c:v>
                </c:pt>
                <c:pt idx="1359">
                  <c:v>104.9974</c:v>
                </c:pt>
                <c:pt idx="1360">
                  <c:v>104.9551</c:v>
                </c:pt>
                <c:pt idx="1361">
                  <c:v>105.83150000000001</c:v>
                </c:pt>
                <c:pt idx="1362">
                  <c:v>105.99660000000002</c:v>
                </c:pt>
                <c:pt idx="1363">
                  <c:v>106.2642</c:v>
                </c:pt>
                <c:pt idx="1364">
                  <c:v>105.9121</c:v>
                </c:pt>
                <c:pt idx="1365">
                  <c:v>105.8232</c:v>
                </c:pt>
                <c:pt idx="1366">
                  <c:v>105.7323</c:v>
                </c:pt>
                <c:pt idx="1367">
                  <c:v>105.64630000000001</c:v>
                </c:pt>
                <c:pt idx="1368">
                  <c:v>105.82900000000001</c:v>
                </c:pt>
                <c:pt idx="1369">
                  <c:v>105.8197</c:v>
                </c:pt>
                <c:pt idx="1370">
                  <c:v>105.7323</c:v>
                </c:pt>
                <c:pt idx="1371">
                  <c:v>105.86920000000002</c:v>
                </c:pt>
                <c:pt idx="1372">
                  <c:v>106.20229999999999</c:v>
                </c:pt>
                <c:pt idx="1373">
                  <c:v>106.14190000000001</c:v>
                </c:pt>
                <c:pt idx="1374">
                  <c:v>106.184</c:v>
                </c:pt>
                <c:pt idx="1375">
                  <c:v>106.24469999999999</c:v>
                </c:pt>
                <c:pt idx="1376">
                  <c:v>105.9551</c:v>
                </c:pt>
                <c:pt idx="1377">
                  <c:v>106.0368</c:v>
                </c:pt>
                <c:pt idx="1378">
                  <c:v>106.0954</c:v>
                </c:pt>
                <c:pt idx="1379">
                  <c:v>106.20280000000001</c:v>
                </c:pt>
                <c:pt idx="1380">
                  <c:v>106.1985</c:v>
                </c:pt>
                <c:pt idx="1381">
                  <c:v>106.1455</c:v>
                </c:pt>
                <c:pt idx="1382">
                  <c:v>106.25700000000001</c:v>
                </c:pt>
                <c:pt idx="1383">
                  <c:v>106.1061</c:v>
                </c:pt>
                <c:pt idx="1384">
                  <c:v>106.3113</c:v>
                </c:pt>
                <c:pt idx="1385">
                  <c:v>105.96840000000002</c:v>
                </c:pt>
                <c:pt idx="1386">
                  <c:v>105.9958</c:v>
                </c:pt>
                <c:pt idx="1387">
                  <c:v>105.9007</c:v>
                </c:pt>
                <c:pt idx="1388">
                  <c:v>106.069</c:v>
                </c:pt>
                <c:pt idx="1389">
                  <c:v>106.40530000000001</c:v>
                </c:pt>
                <c:pt idx="1390">
                  <c:v>106.19119999999999</c:v>
                </c:pt>
                <c:pt idx="1391">
                  <c:v>106.461</c:v>
                </c:pt>
                <c:pt idx="1392">
                  <c:v>106.4028</c:v>
                </c:pt>
                <c:pt idx="1393">
                  <c:v>106.3121</c:v>
                </c:pt>
                <c:pt idx="1394">
                  <c:v>106.2604</c:v>
                </c:pt>
                <c:pt idx="1395">
                  <c:v>106.34</c:v>
                </c:pt>
                <c:pt idx="1396">
                  <c:v>106.509</c:v>
                </c:pt>
                <c:pt idx="1397">
                  <c:v>106.6738</c:v>
                </c:pt>
                <c:pt idx="1398">
                  <c:v>106.7225</c:v>
                </c:pt>
                <c:pt idx="1399">
                  <c:v>106.86539999999999</c:v>
                </c:pt>
                <c:pt idx="1400">
                  <c:v>107.0132</c:v>
                </c:pt>
                <c:pt idx="1401">
                  <c:v>106.9294</c:v>
                </c:pt>
                <c:pt idx="1402">
                  <c:v>107.17189999999999</c:v>
                </c:pt>
                <c:pt idx="1403">
                  <c:v>107.1041</c:v>
                </c:pt>
                <c:pt idx="1404">
                  <c:v>107.32429999999999</c:v>
                </c:pt>
                <c:pt idx="1405">
                  <c:v>107.25190000000001</c:v>
                </c:pt>
                <c:pt idx="1406">
                  <c:v>107.36190000000001</c:v>
                </c:pt>
                <c:pt idx="1407">
                  <c:v>107.35360000000001</c:v>
                </c:pt>
                <c:pt idx="1408">
                  <c:v>107.443</c:v>
                </c:pt>
                <c:pt idx="1409">
                  <c:v>107.57470000000001</c:v>
                </c:pt>
                <c:pt idx="1410">
                  <c:v>107.4218</c:v>
                </c:pt>
                <c:pt idx="1411">
                  <c:v>107.52419999999999</c:v>
                </c:pt>
                <c:pt idx="1412">
                  <c:v>107.38079999999999</c:v>
                </c:pt>
                <c:pt idx="1413">
                  <c:v>107.51479999999999</c:v>
                </c:pt>
                <c:pt idx="1414">
                  <c:v>107.1768</c:v>
                </c:pt>
                <c:pt idx="1415">
                  <c:v>107.15819999999999</c:v>
                </c:pt>
                <c:pt idx="1416">
                  <c:v>107.2414</c:v>
                </c:pt>
                <c:pt idx="1417">
                  <c:v>107.3597</c:v>
                </c:pt>
                <c:pt idx="1418">
                  <c:v>107.51609999999999</c:v>
                </c:pt>
                <c:pt idx="1419">
                  <c:v>107.68429999999999</c:v>
                </c:pt>
                <c:pt idx="1420">
                  <c:v>107.7508</c:v>
                </c:pt>
                <c:pt idx="1421">
                  <c:v>107.625</c:v>
                </c:pt>
                <c:pt idx="1422">
                  <c:v>107.5932</c:v>
                </c:pt>
                <c:pt idx="1423">
                  <c:v>107.51390000000001</c:v>
                </c:pt>
                <c:pt idx="1424">
                  <c:v>107.8137</c:v>
                </c:pt>
                <c:pt idx="1425">
                  <c:v>108.24469999999999</c:v>
                </c:pt>
                <c:pt idx="1426">
                  <c:v>108.28630000000001</c:v>
                </c:pt>
                <c:pt idx="1427">
                  <c:v>108.3706</c:v>
                </c:pt>
                <c:pt idx="1428">
                  <c:v>108.473</c:v>
                </c:pt>
                <c:pt idx="1429">
                  <c:v>108.4653</c:v>
                </c:pt>
                <c:pt idx="1430">
                  <c:v>108.53919999999999</c:v>
                </c:pt>
                <c:pt idx="1431">
                  <c:v>108.51309999999999</c:v>
                </c:pt>
                <c:pt idx="1432">
                  <c:v>108.5827</c:v>
                </c:pt>
                <c:pt idx="1433">
                  <c:v>108.56659999999999</c:v>
                </c:pt>
                <c:pt idx="1434">
                  <c:v>108.55929999999999</c:v>
                </c:pt>
                <c:pt idx="1435">
                  <c:v>108.4063</c:v>
                </c:pt>
                <c:pt idx="1436">
                  <c:v>108.3171</c:v>
                </c:pt>
                <c:pt idx="1437">
                  <c:v>108.32550000000001</c:v>
                </c:pt>
                <c:pt idx="1438">
                  <c:v>108.1707</c:v>
                </c:pt>
                <c:pt idx="1439">
                  <c:v>107.9243</c:v>
                </c:pt>
                <c:pt idx="1440">
                  <c:v>107.3509</c:v>
                </c:pt>
                <c:pt idx="1441">
                  <c:v>107.35360000000001</c:v>
                </c:pt>
                <c:pt idx="1442">
                  <c:v>107.1972</c:v>
                </c:pt>
                <c:pt idx="1443">
                  <c:v>107.2499</c:v>
                </c:pt>
                <c:pt idx="1444">
                  <c:v>107.15430000000001</c:v>
                </c:pt>
                <c:pt idx="1445">
                  <c:v>107.05110000000001</c:v>
                </c:pt>
                <c:pt idx="1446">
                  <c:v>106.82660000000001</c:v>
                </c:pt>
                <c:pt idx="1447">
                  <c:v>106.69920000000002</c:v>
                </c:pt>
                <c:pt idx="1448">
                  <c:v>106.3865</c:v>
                </c:pt>
                <c:pt idx="1449">
                  <c:v>106.3293</c:v>
                </c:pt>
                <c:pt idx="1450">
                  <c:v>106.27460000000001</c:v>
                </c:pt>
                <c:pt idx="1451">
                  <c:v>106.0919</c:v>
                </c:pt>
                <c:pt idx="1452">
                  <c:v>106.09059999999999</c:v>
                </c:pt>
                <c:pt idx="1453">
                  <c:v>105.68989999999999</c:v>
                </c:pt>
                <c:pt idx="1454">
                  <c:v>105.6593</c:v>
                </c:pt>
                <c:pt idx="1455">
                  <c:v>105.6794</c:v>
                </c:pt>
                <c:pt idx="1456">
                  <c:v>105.6545</c:v>
                </c:pt>
                <c:pt idx="1457">
                  <c:v>105.49550000000001</c:v>
                </c:pt>
                <c:pt idx="1458">
                  <c:v>105.94710000000001</c:v>
                </c:pt>
                <c:pt idx="1459">
                  <c:v>105.85760000000001</c:v>
                </c:pt>
                <c:pt idx="1460">
                  <c:v>105.47750000000001</c:v>
                </c:pt>
                <c:pt idx="1461">
                  <c:v>105.47080000000001</c:v>
                </c:pt>
                <c:pt idx="1462">
                  <c:v>105.4983</c:v>
                </c:pt>
                <c:pt idx="1463">
                  <c:v>105.29989999999999</c:v>
                </c:pt>
                <c:pt idx="1464">
                  <c:v>105.31610000000001</c:v>
                </c:pt>
                <c:pt idx="1465">
                  <c:v>105.49180000000001</c:v>
                </c:pt>
                <c:pt idx="1466">
                  <c:v>105.4817</c:v>
                </c:pt>
                <c:pt idx="1467">
                  <c:v>105.61579999999999</c:v>
                </c:pt>
                <c:pt idx="1468">
                  <c:v>105.4569</c:v>
                </c:pt>
                <c:pt idx="1469">
                  <c:v>105.5341</c:v>
                </c:pt>
                <c:pt idx="1470">
                  <c:v>105.51819999999999</c:v>
                </c:pt>
                <c:pt idx="1471">
                  <c:v>105.51650000000001</c:v>
                </c:pt>
                <c:pt idx="1472">
                  <c:v>105.2236</c:v>
                </c:pt>
                <c:pt idx="1473">
                  <c:v>105.45340000000002</c:v>
                </c:pt>
                <c:pt idx="1474">
                  <c:v>105.6972</c:v>
                </c:pt>
                <c:pt idx="1475">
                  <c:v>105.47860000000001</c:v>
                </c:pt>
                <c:pt idx="1476">
                  <c:v>105.5009</c:v>
                </c:pt>
                <c:pt idx="1477">
                  <c:v>105.38070000000002</c:v>
                </c:pt>
                <c:pt idx="1478">
                  <c:v>105.345</c:v>
                </c:pt>
                <c:pt idx="1479">
                  <c:v>105.5527</c:v>
                </c:pt>
                <c:pt idx="1480">
                  <c:v>105.41930000000001</c:v>
                </c:pt>
                <c:pt idx="1481">
                  <c:v>105.5497</c:v>
                </c:pt>
                <c:pt idx="1482">
                  <c:v>105.4794</c:v>
                </c:pt>
                <c:pt idx="1483">
                  <c:v>105.35550000000001</c:v>
                </c:pt>
                <c:pt idx="1484">
                  <c:v>105.4662</c:v>
                </c:pt>
                <c:pt idx="1485">
                  <c:v>105.4165</c:v>
                </c:pt>
                <c:pt idx="1486">
                  <c:v>105.53100000000001</c:v>
                </c:pt>
                <c:pt idx="1487">
                  <c:v>105.542</c:v>
                </c:pt>
                <c:pt idx="1488">
                  <c:v>105.4889</c:v>
                </c:pt>
                <c:pt idx="1489">
                  <c:v>105.38720000000001</c:v>
                </c:pt>
                <c:pt idx="1490">
                  <c:v>105.42150000000001</c:v>
                </c:pt>
                <c:pt idx="1491">
                  <c:v>105.5012</c:v>
                </c:pt>
                <c:pt idx="1492">
                  <c:v>105.5518</c:v>
                </c:pt>
                <c:pt idx="1493">
                  <c:v>105.6922</c:v>
                </c:pt>
                <c:pt idx="1494">
                  <c:v>105.6187</c:v>
                </c:pt>
                <c:pt idx="1495">
                  <c:v>105.4601</c:v>
                </c:pt>
                <c:pt idx="1496">
                  <c:v>105.4152</c:v>
                </c:pt>
                <c:pt idx="1497">
                  <c:v>105.44440000000002</c:v>
                </c:pt>
                <c:pt idx="1498">
                  <c:v>105.4136</c:v>
                </c:pt>
                <c:pt idx="1499">
                  <c:v>105.369</c:v>
                </c:pt>
                <c:pt idx="1500">
                  <c:v>105.2129</c:v>
                </c:pt>
                <c:pt idx="1501">
                  <c:v>105.3972</c:v>
                </c:pt>
                <c:pt idx="1502">
                  <c:v>105.38850000000001</c:v>
                </c:pt>
                <c:pt idx="1503">
                  <c:v>105.251</c:v>
                </c:pt>
                <c:pt idx="1504">
                  <c:v>105.1507</c:v>
                </c:pt>
                <c:pt idx="1505">
                  <c:v>104.87560000000001</c:v>
                </c:pt>
                <c:pt idx="1506">
                  <c:v>104.8498</c:v>
                </c:pt>
                <c:pt idx="1507">
                  <c:v>104.83369999999999</c:v>
                </c:pt>
                <c:pt idx="1508">
                  <c:v>104.8725</c:v>
                </c:pt>
                <c:pt idx="1509">
                  <c:v>104.8817</c:v>
                </c:pt>
                <c:pt idx="1510">
                  <c:v>104.9641</c:v>
                </c:pt>
                <c:pt idx="1511">
                  <c:v>104.8323</c:v>
                </c:pt>
                <c:pt idx="1512">
                  <c:v>104.8751</c:v>
                </c:pt>
                <c:pt idx="1513">
                  <c:v>104.8445</c:v>
                </c:pt>
                <c:pt idx="1514">
                  <c:v>104.80410000000001</c:v>
                </c:pt>
                <c:pt idx="1515">
                  <c:v>104.9038</c:v>
                </c:pt>
                <c:pt idx="1516">
                  <c:v>105.0361</c:v>
                </c:pt>
                <c:pt idx="1517">
                  <c:v>104.9633</c:v>
                </c:pt>
                <c:pt idx="1518">
                  <c:v>104.93510000000001</c:v>
                </c:pt>
                <c:pt idx="1519">
                  <c:v>104.9782</c:v>
                </c:pt>
                <c:pt idx="1520">
                  <c:v>104.88639999999999</c:v>
                </c:pt>
                <c:pt idx="1521">
                  <c:v>104.9157</c:v>
                </c:pt>
                <c:pt idx="1522">
                  <c:v>104.9165</c:v>
                </c:pt>
                <c:pt idx="1523">
                  <c:v>104.89409999999999</c:v>
                </c:pt>
                <c:pt idx="1524">
                  <c:v>104.49160000000001</c:v>
                </c:pt>
                <c:pt idx="1525">
                  <c:v>104.334</c:v>
                </c:pt>
                <c:pt idx="1526">
                  <c:v>103.1895</c:v>
                </c:pt>
                <c:pt idx="1527">
                  <c:v>102.9812</c:v>
                </c:pt>
                <c:pt idx="1528">
                  <c:v>102.97320000000002</c:v>
                </c:pt>
                <c:pt idx="1529">
                  <c:v>101.381</c:v>
                </c:pt>
                <c:pt idx="1530">
                  <c:v>100.3519</c:v>
                </c:pt>
                <c:pt idx="1531">
                  <c:v>98.495400000000018</c:v>
                </c:pt>
                <c:pt idx="1532">
                  <c:v>98.959000000000003</c:v>
                </c:pt>
                <c:pt idx="1533">
                  <c:v>99.011399999999995</c:v>
                </c:pt>
                <c:pt idx="1534">
                  <c:v>99.282300000000006</c:v>
                </c:pt>
                <c:pt idx="1535">
                  <c:v>99.205600000000004</c:v>
                </c:pt>
                <c:pt idx="1536">
                  <c:v>99.129500000000007</c:v>
                </c:pt>
                <c:pt idx="1537">
                  <c:v>99.040300000000002</c:v>
                </c:pt>
                <c:pt idx="1538">
                  <c:v>98.798699999999997</c:v>
                </c:pt>
                <c:pt idx="1539">
                  <c:v>98.270700000000019</c:v>
                </c:pt>
                <c:pt idx="1540">
                  <c:v>98.197199999999995</c:v>
                </c:pt>
                <c:pt idx="1541">
                  <c:v>98.076499999999996</c:v>
                </c:pt>
                <c:pt idx="1542">
                  <c:v>97.944900000000004</c:v>
                </c:pt>
                <c:pt idx="1543">
                  <c:v>97.891900000000007</c:v>
                </c:pt>
                <c:pt idx="1544">
                  <c:v>97.608599999999996</c:v>
                </c:pt>
                <c:pt idx="1545">
                  <c:v>97.865799999999993</c:v>
                </c:pt>
                <c:pt idx="1546">
                  <c:v>97.868499999999997</c:v>
                </c:pt>
                <c:pt idx="1547">
                  <c:v>98.030500000000004</c:v>
                </c:pt>
                <c:pt idx="1548">
                  <c:v>98.04770000000002</c:v>
                </c:pt>
                <c:pt idx="1549">
                  <c:v>97.985299999999995</c:v>
                </c:pt>
                <c:pt idx="1550">
                  <c:v>98.1267</c:v>
                </c:pt>
                <c:pt idx="1551">
                  <c:v>98.186000000000007</c:v>
                </c:pt>
                <c:pt idx="1552">
                  <c:v>98.182299999999998</c:v>
                </c:pt>
                <c:pt idx="1553">
                  <c:v>98.160100000000014</c:v>
                </c:pt>
                <c:pt idx="1554">
                  <c:v>98.143199999999993</c:v>
                </c:pt>
                <c:pt idx="1555">
                  <c:v>98.127499999999998</c:v>
                </c:pt>
                <c:pt idx="1556">
                  <c:v>98.119200000000021</c:v>
                </c:pt>
                <c:pt idx="1557">
                  <c:v>98.142300000000006</c:v>
                </c:pt>
                <c:pt idx="1558">
                  <c:v>97.746499999999997</c:v>
                </c:pt>
                <c:pt idx="1559">
                  <c:v>97.525000000000006</c:v>
                </c:pt>
                <c:pt idx="1560">
                  <c:v>97.285899999999998</c:v>
                </c:pt>
                <c:pt idx="1561">
                  <c:v>97.104100000000003</c:v>
                </c:pt>
                <c:pt idx="1562">
                  <c:v>96.978000000000009</c:v>
                </c:pt>
                <c:pt idx="1563">
                  <c:v>96.641599999999997</c:v>
                </c:pt>
                <c:pt idx="1564">
                  <c:v>96.197900000000004</c:v>
                </c:pt>
                <c:pt idx="1565">
                  <c:v>96.188699999999997</c:v>
                </c:pt>
                <c:pt idx="1566">
                  <c:v>96.390300000000011</c:v>
                </c:pt>
                <c:pt idx="1567">
                  <c:v>96.623000000000005</c:v>
                </c:pt>
                <c:pt idx="1568">
                  <c:v>97.172600000000003</c:v>
                </c:pt>
                <c:pt idx="1569">
                  <c:v>97.138300000000001</c:v>
                </c:pt>
                <c:pt idx="1570">
                  <c:v>97.199700000000007</c:v>
                </c:pt>
                <c:pt idx="1571">
                  <c:v>97.434899999999999</c:v>
                </c:pt>
                <c:pt idx="1572">
                  <c:v>97.635400000000004</c:v>
                </c:pt>
                <c:pt idx="1573">
                  <c:v>97.616900000000001</c:v>
                </c:pt>
                <c:pt idx="1574">
                  <c:v>97.949600000000004</c:v>
                </c:pt>
                <c:pt idx="1575">
                  <c:v>98.090400000000017</c:v>
                </c:pt>
                <c:pt idx="1576">
                  <c:v>98.084199999999996</c:v>
                </c:pt>
                <c:pt idx="1577">
                  <c:v>98.135999999999996</c:v>
                </c:pt>
                <c:pt idx="1578">
                  <c:v>98.148100000000014</c:v>
                </c:pt>
                <c:pt idx="1579">
                  <c:v>98.334199999999996</c:v>
                </c:pt>
                <c:pt idx="1580">
                  <c:v>98.544899999999998</c:v>
                </c:pt>
                <c:pt idx="1581">
                  <c:v>98.633600000000001</c:v>
                </c:pt>
                <c:pt idx="1582">
                  <c:v>98.702800000000011</c:v>
                </c:pt>
                <c:pt idx="1583">
                  <c:v>98.73220000000002</c:v>
                </c:pt>
                <c:pt idx="1584">
                  <c:v>98.809700000000021</c:v>
                </c:pt>
                <c:pt idx="1585">
                  <c:v>98.826499999999996</c:v>
                </c:pt>
                <c:pt idx="1586">
                  <c:v>98.707999999999998</c:v>
                </c:pt>
                <c:pt idx="1587">
                  <c:v>98.359899999999996</c:v>
                </c:pt>
                <c:pt idx="1588">
                  <c:v>98.593400000000017</c:v>
                </c:pt>
                <c:pt idx="1589">
                  <c:v>98.527600000000007</c:v>
                </c:pt>
                <c:pt idx="1590">
                  <c:v>98.631699999999995</c:v>
                </c:pt>
                <c:pt idx="1591">
                  <c:v>98.589500000000001</c:v>
                </c:pt>
                <c:pt idx="1592">
                  <c:v>98.538600000000002</c:v>
                </c:pt>
                <c:pt idx="1593">
                  <c:v>98.674099999999996</c:v>
                </c:pt>
                <c:pt idx="1594">
                  <c:v>98.677199999999999</c:v>
                </c:pt>
                <c:pt idx="1595">
                  <c:v>98.65470000000002</c:v>
                </c:pt>
                <c:pt idx="1596">
                  <c:v>98.359899999999996</c:v>
                </c:pt>
                <c:pt idx="1597">
                  <c:v>98.336200000000019</c:v>
                </c:pt>
                <c:pt idx="1598">
                  <c:v>98.350600000000014</c:v>
                </c:pt>
                <c:pt idx="1599">
                  <c:v>98.613900000000001</c:v>
                </c:pt>
                <c:pt idx="1600">
                  <c:v>98.753600000000006</c:v>
                </c:pt>
                <c:pt idx="1601">
                  <c:v>98.7834</c:v>
                </c:pt>
                <c:pt idx="1602">
                  <c:v>98.811800000000005</c:v>
                </c:pt>
                <c:pt idx="1603">
                  <c:v>98.835899999999995</c:v>
                </c:pt>
                <c:pt idx="1604">
                  <c:v>98.8489</c:v>
                </c:pt>
                <c:pt idx="1605">
                  <c:v>98.90470000000002</c:v>
                </c:pt>
                <c:pt idx="1606">
                  <c:v>98.852599999999995</c:v>
                </c:pt>
                <c:pt idx="1607">
                  <c:v>98.725600000000014</c:v>
                </c:pt>
                <c:pt idx="1608">
                  <c:v>98.724100000000007</c:v>
                </c:pt>
                <c:pt idx="1609">
                  <c:v>98.701600000000013</c:v>
                </c:pt>
                <c:pt idx="1610">
                  <c:v>98.724500000000006</c:v>
                </c:pt>
                <c:pt idx="1611">
                  <c:v>98.719700000000003</c:v>
                </c:pt>
                <c:pt idx="1612">
                  <c:v>98.728000000000009</c:v>
                </c:pt>
                <c:pt idx="1613">
                  <c:v>98.597800000000007</c:v>
                </c:pt>
                <c:pt idx="1614">
                  <c:v>98.657600000000002</c:v>
                </c:pt>
                <c:pt idx="1615">
                  <c:v>98.503900000000016</c:v>
                </c:pt>
                <c:pt idx="1616">
                  <c:v>98.528400000000005</c:v>
                </c:pt>
                <c:pt idx="1617">
                  <c:v>98.469600000000014</c:v>
                </c:pt>
                <c:pt idx="1618">
                  <c:v>98.422899999999998</c:v>
                </c:pt>
                <c:pt idx="1619">
                  <c:v>98.492500000000007</c:v>
                </c:pt>
                <c:pt idx="1620">
                  <c:v>98.571100000000001</c:v>
                </c:pt>
                <c:pt idx="1621">
                  <c:v>98.571399999999997</c:v>
                </c:pt>
                <c:pt idx="1622">
                  <c:v>98.584500000000006</c:v>
                </c:pt>
                <c:pt idx="1623">
                  <c:v>98.447199999999995</c:v>
                </c:pt>
                <c:pt idx="1624">
                  <c:v>98.425799999999995</c:v>
                </c:pt>
                <c:pt idx="1625">
                  <c:v>98.406400000000005</c:v>
                </c:pt>
                <c:pt idx="1626">
                  <c:v>98.4392</c:v>
                </c:pt>
                <c:pt idx="1627">
                  <c:v>98.653199999999998</c:v>
                </c:pt>
                <c:pt idx="1628">
                  <c:v>98.470399999999998</c:v>
                </c:pt>
                <c:pt idx="1629">
                  <c:v>98.303700000000021</c:v>
                </c:pt>
                <c:pt idx="1630">
                  <c:v>98.355800000000002</c:v>
                </c:pt>
                <c:pt idx="1631">
                  <c:v>98.323099999999997</c:v>
                </c:pt>
                <c:pt idx="1632">
                  <c:v>98.354900000000001</c:v>
                </c:pt>
                <c:pt idx="1633">
                  <c:v>98.383499999999998</c:v>
                </c:pt>
                <c:pt idx="1634">
                  <c:v>98.531899999999993</c:v>
                </c:pt>
                <c:pt idx="1635">
                  <c:v>98.57480000000001</c:v>
                </c:pt>
                <c:pt idx="1636">
                  <c:v>98.680400000000006</c:v>
                </c:pt>
                <c:pt idx="1637">
                  <c:v>98.679400000000001</c:v>
                </c:pt>
                <c:pt idx="1638">
                  <c:v>98.635900000000007</c:v>
                </c:pt>
                <c:pt idx="1639">
                  <c:v>98.670300000000012</c:v>
                </c:pt>
                <c:pt idx="1640">
                  <c:v>98.706400000000016</c:v>
                </c:pt>
                <c:pt idx="1641">
                  <c:v>98.784999999999997</c:v>
                </c:pt>
                <c:pt idx="1642">
                  <c:v>98.627700000000019</c:v>
                </c:pt>
                <c:pt idx="1643">
                  <c:v>98.612099999999998</c:v>
                </c:pt>
                <c:pt idx="1644">
                  <c:v>98.589299999999994</c:v>
                </c:pt>
                <c:pt idx="1645">
                  <c:v>98.650300000000001</c:v>
                </c:pt>
                <c:pt idx="1646">
                  <c:v>98.685400000000001</c:v>
                </c:pt>
                <c:pt idx="1647">
                  <c:v>98.683700000000002</c:v>
                </c:pt>
                <c:pt idx="1648">
                  <c:v>98.772999999999996</c:v>
                </c:pt>
                <c:pt idx="1649">
                  <c:v>98.806299999999993</c:v>
                </c:pt>
                <c:pt idx="1650">
                  <c:v>98.753100000000003</c:v>
                </c:pt>
                <c:pt idx="1651">
                  <c:v>98.674899999999994</c:v>
                </c:pt>
                <c:pt idx="1652">
                  <c:v>98.724900000000005</c:v>
                </c:pt>
                <c:pt idx="1653">
                  <c:v>98.749100000000013</c:v>
                </c:pt>
                <c:pt idx="1654">
                  <c:v>98.701099999999997</c:v>
                </c:pt>
                <c:pt idx="1655">
                  <c:v>98.741600000000005</c:v>
                </c:pt>
                <c:pt idx="1656">
                  <c:v>98.775899999999993</c:v>
                </c:pt>
                <c:pt idx="1657">
                  <c:v>98.770899999999997</c:v>
                </c:pt>
                <c:pt idx="1658">
                  <c:v>98.768600000000006</c:v>
                </c:pt>
                <c:pt idx="1659">
                  <c:v>98.791300000000007</c:v>
                </c:pt>
                <c:pt idx="1660">
                  <c:v>98.014399999999995</c:v>
                </c:pt>
                <c:pt idx="1661">
                  <c:v>97.975000000000009</c:v>
                </c:pt>
                <c:pt idx="1662">
                  <c:v>98.795599999999993</c:v>
                </c:pt>
                <c:pt idx="1663">
                  <c:v>98.780100000000004</c:v>
                </c:pt>
                <c:pt idx="1664">
                  <c:v>98.784300000000002</c:v>
                </c:pt>
                <c:pt idx="1665">
                  <c:v>98.731899999999996</c:v>
                </c:pt>
                <c:pt idx="1666">
                  <c:v>98.719899999999996</c:v>
                </c:pt>
                <c:pt idx="1667">
                  <c:v>98.734099999999998</c:v>
                </c:pt>
                <c:pt idx="1668">
                  <c:v>98.681299999999993</c:v>
                </c:pt>
                <c:pt idx="1669">
                  <c:v>98.772599999999997</c:v>
                </c:pt>
                <c:pt idx="1670">
                  <c:v>98.804000000000002</c:v>
                </c:pt>
                <c:pt idx="1671">
                  <c:v>98.762799999999999</c:v>
                </c:pt>
                <c:pt idx="1672">
                  <c:v>98.75330000000001</c:v>
                </c:pt>
                <c:pt idx="1673">
                  <c:v>98.742999999999995</c:v>
                </c:pt>
                <c:pt idx="1674">
                  <c:v>98.749600000000001</c:v>
                </c:pt>
                <c:pt idx="1675">
                  <c:v>98.762600000000006</c:v>
                </c:pt>
                <c:pt idx="1676">
                  <c:v>98.799199999999999</c:v>
                </c:pt>
                <c:pt idx="1677">
                  <c:v>98.835899999999995</c:v>
                </c:pt>
                <c:pt idx="1678">
                  <c:v>98.824100000000001</c:v>
                </c:pt>
                <c:pt idx="1679">
                  <c:v>98.863900000000001</c:v>
                </c:pt>
                <c:pt idx="1680">
                  <c:v>98.803799999999995</c:v>
                </c:pt>
                <c:pt idx="1681">
                  <c:v>98.848800000000011</c:v>
                </c:pt>
                <c:pt idx="1682">
                  <c:v>98.820999999999998</c:v>
                </c:pt>
                <c:pt idx="1683">
                  <c:v>98.967800000000011</c:v>
                </c:pt>
                <c:pt idx="1684">
                  <c:v>99.016400000000004</c:v>
                </c:pt>
                <c:pt idx="1685">
                  <c:v>99.294200000000004</c:v>
                </c:pt>
                <c:pt idx="1686">
                  <c:v>99.4422</c:v>
                </c:pt>
                <c:pt idx="1687">
                  <c:v>99.823600000000013</c:v>
                </c:pt>
                <c:pt idx="1688">
                  <c:v>99.874799999999993</c:v>
                </c:pt>
                <c:pt idx="1689">
                  <c:v>99.883100000000013</c:v>
                </c:pt>
                <c:pt idx="1690">
                  <c:v>99.964800000000011</c:v>
                </c:pt>
                <c:pt idx="1691">
                  <c:v>100.29819999999999</c:v>
                </c:pt>
                <c:pt idx="1692">
                  <c:v>100.8764</c:v>
                </c:pt>
                <c:pt idx="1693">
                  <c:v>100.9181</c:v>
                </c:pt>
                <c:pt idx="1694">
                  <c:v>101.2449</c:v>
                </c:pt>
                <c:pt idx="1695">
                  <c:v>101.217</c:v>
                </c:pt>
                <c:pt idx="1696">
                  <c:v>101.3265</c:v>
                </c:pt>
                <c:pt idx="1697">
                  <c:v>101.1862</c:v>
                </c:pt>
                <c:pt idx="1698">
                  <c:v>101.7681</c:v>
                </c:pt>
                <c:pt idx="1699">
                  <c:v>101.3683</c:v>
                </c:pt>
                <c:pt idx="1700">
                  <c:v>101.86190000000001</c:v>
                </c:pt>
                <c:pt idx="1701">
                  <c:v>101.687</c:v>
                </c:pt>
                <c:pt idx="1702">
                  <c:v>101.77200000000001</c:v>
                </c:pt>
                <c:pt idx="1703">
                  <c:v>101.8052</c:v>
                </c:pt>
                <c:pt idx="1704">
                  <c:v>102.20820000000002</c:v>
                </c:pt>
                <c:pt idx="1705">
                  <c:v>102.16370000000002</c:v>
                </c:pt>
                <c:pt idx="1706">
                  <c:v>102.1915</c:v>
                </c:pt>
                <c:pt idx="1707">
                  <c:v>102.7032</c:v>
                </c:pt>
                <c:pt idx="1708">
                  <c:v>102.12479999999999</c:v>
                </c:pt>
                <c:pt idx="1709">
                  <c:v>102.29410000000001</c:v>
                </c:pt>
                <c:pt idx="1710">
                  <c:v>102.06880000000001</c:v>
                </c:pt>
                <c:pt idx="1711">
                  <c:v>102.0744</c:v>
                </c:pt>
                <c:pt idx="1712">
                  <c:v>101.8635</c:v>
                </c:pt>
                <c:pt idx="1713">
                  <c:v>102.1093</c:v>
                </c:pt>
                <c:pt idx="1714">
                  <c:v>102.2055</c:v>
                </c:pt>
                <c:pt idx="1715">
                  <c:v>102.27130000000001</c:v>
                </c:pt>
                <c:pt idx="1716">
                  <c:v>102.28210000000001</c:v>
                </c:pt>
                <c:pt idx="1717">
                  <c:v>102.31659999999999</c:v>
                </c:pt>
                <c:pt idx="1718">
                  <c:v>102.78930000000001</c:v>
                </c:pt>
                <c:pt idx="1719">
                  <c:v>102.735</c:v>
                </c:pt>
                <c:pt idx="1720">
                  <c:v>103.1247</c:v>
                </c:pt>
                <c:pt idx="1721">
                  <c:v>102.57680000000001</c:v>
                </c:pt>
                <c:pt idx="1722">
                  <c:v>102.7409</c:v>
                </c:pt>
                <c:pt idx="1723">
                  <c:v>102.6095</c:v>
                </c:pt>
                <c:pt idx="1724">
                  <c:v>102.78690000000002</c:v>
                </c:pt>
                <c:pt idx="1725">
                  <c:v>102.76139999999999</c:v>
                </c:pt>
                <c:pt idx="1726">
                  <c:v>102.801</c:v>
                </c:pt>
                <c:pt idx="1727">
                  <c:v>102.953</c:v>
                </c:pt>
                <c:pt idx="1728">
                  <c:v>102.62950000000001</c:v>
                </c:pt>
                <c:pt idx="1729">
                  <c:v>102.9002</c:v>
                </c:pt>
                <c:pt idx="1730">
                  <c:v>102.80970000000002</c:v>
                </c:pt>
                <c:pt idx="1731">
                  <c:v>103.1035</c:v>
                </c:pt>
                <c:pt idx="1732">
                  <c:v>102.78830000000001</c:v>
                </c:pt>
                <c:pt idx="1733">
                  <c:v>102.55410000000001</c:v>
                </c:pt>
                <c:pt idx="1734">
                  <c:v>102.4969</c:v>
                </c:pt>
                <c:pt idx="1735">
                  <c:v>102.57940000000001</c:v>
                </c:pt>
                <c:pt idx="1736">
                  <c:v>102.4838</c:v>
                </c:pt>
                <c:pt idx="1737">
                  <c:v>102.503</c:v>
                </c:pt>
                <c:pt idx="1738">
                  <c:v>103.0484</c:v>
                </c:pt>
                <c:pt idx="1739">
                  <c:v>102.3018</c:v>
                </c:pt>
                <c:pt idx="1740">
                  <c:v>102.35600000000001</c:v>
                </c:pt>
                <c:pt idx="1741">
                  <c:v>102.3207</c:v>
                </c:pt>
                <c:pt idx="1742">
                  <c:v>102.77970000000002</c:v>
                </c:pt>
                <c:pt idx="1743">
                  <c:v>102.7739</c:v>
                </c:pt>
                <c:pt idx="1744">
                  <c:v>102.90710000000001</c:v>
                </c:pt>
                <c:pt idx="1745">
                  <c:v>102.96429999999999</c:v>
                </c:pt>
                <c:pt idx="1746">
                  <c:v>102.6927</c:v>
                </c:pt>
                <c:pt idx="1747">
                  <c:v>102.902</c:v>
                </c:pt>
                <c:pt idx="1748">
                  <c:v>102.2847</c:v>
                </c:pt>
                <c:pt idx="1749">
                  <c:v>102.61669999999999</c:v>
                </c:pt>
                <c:pt idx="1750">
                  <c:v>102.6891</c:v>
                </c:pt>
                <c:pt idx="1751">
                  <c:v>102.79950000000001</c:v>
                </c:pt>
                <c:pt idx="1752">
                  <c:v>102.8732</c:v>
                </c:pt>
                <c:pt idx="1753">
                  <c:v>102.877</c:v>
                </c:pt>
                <c:pt idx="1754">
                  <c:v>103.07559999999999</c:v>
                </c:pt>
                <c:pt idx="1755">
                  <c:v>102.8922</c:v>
                </c:pt>
                <c:pt idx="1756">
                  <c:v>102.98700000000001</c:v>
                </c:pt>
                <c:pt idx="1757">
                  <c:v>103.0184</c:v>
                </c:pt>
                <c:pt idx="1758">
                  <c:v>102.9932</c:v>
                </c:pt>
                <c:pt idx="1759">
                  <c:v>102.8647</c:v>
                </c:pt>
                <c:pt idx="1760">
                  <c:v>102.8124</c:v>
                </c:pt>
                <c:pt idx="1761">
                  <c:v>102.85000000000001</c:v>
                </c:pt>
                <c:pt idx="1762">
                  <c:v>103.37869999999999</c:v>
                </c:pt>
                <c:pt idx="1763">
                  <c:v>102.94020000000002</c:v>
                </c:pt>
                <c:pt idx="1764">
                  <c:v>103.10429999999999</c:v>
                </c:pt>
                <c:pt idx="1765">
                  <c:v>102.8907</c:v>
                </c:pt>
                <c:pt idx="1766">
                  <c:v>103.03400000000001</c:v>
                </c:pt>
                <c:pt idx="1767">
                  <c:v>103.05540000000001</c:v>
                </c:pt>
                <c:pt idx="1768">
                  <c:v>102.7366</c:v>
                </c:pt>
                <c:pt idx="1769">
                  <c:v>102.7273</c:v>
                </c:pt>
                <c:pt idx="1770">
                  <c:v>102.9139</c:v>
                </c:pt>
                <c:pt idx="1771">
                  <c:v>102.31619999999999</c:v>
                </c:pt>
                <c:pt idx="1772">
                  <c:v>102.352</c:v>
                </c:pt>
                <c:pt idx="1773">
                  <c:v>101.7538</c:v>
                </c:pt>
                <c:pt idx="1774">
                  <c:v>101.6606</c:v>
                </c:pt>
                <c:pt idx="1775">
                  <c:v>101.48909999999999</c:v>
                </c:pt>
                <c:pt idx="1776">
                  <c:v>101.80500000000001</c:v>
                </c:pt>
                <c:pt idx="1777">
                  <c:v>101.60250000000001</c:v>
                </c:pt>
                <c:pt idx="1778">
                  <c:v>101.697</c:v>
                </c:pt>
                <c:pt idx="1779">
                  <c:v>101.66</c:v>
                </c:pt>
                <c:pt idx="1780">
                  <c:v>101.41289999999999</c:v>
                </c:pt>
                <c:pt idx="1781">
                  <c:v>101.92910000000001</c:v>
                </c:pt>
                <c:pt idx="1782">
                  <c:v>101.6164</c:v>
                </c:pt>
                <c:pt idx="1783">
                  <c:v>101.7362</c:v>
                </c:pt>
                <c:pt idx="1784">
                  <c:v>101.5334</c:v>
                </c:pt>
                <c:pt idx="1785">
                  <c:v>101.6309</c:v>
                </c:pt>
                <c:pt idx="1786">
                  <c:v>101.60720000000002</c:v>
                </c:pt>
                <c:pt idx="1787">
                  <c:v>101.63890000000001</c:v>
                </c:pt>
                <c:pt idx="1788">
                  <c:v>101.54040000000001</c:v>
                </c:pt>
                <c:pt idx="1789">
                  <c:v>101.6275</c:v>
                </c:pt>
                <c:pt idx="1790">
                  <c:v>101.5667</c:v>
                </c:pt>
                <c:pt idx="1791">
                  <c:v>101.6973</c:v>
                </c:pt>
                <c:pt idx="1792">
                  <c:v>101.7624</c:v>
                </c:pt>
                <c:pt idx="1793">
                  <c:v>101.82470000000001</c:v>
                </c:pt>
                <c:pt idx="1794">
                  <c:v>102.02500000000001</c:v>
                </c:pt>
                <c:pt idx="1795">
                  <c:v>101.91840000000001</c:v>
                </c:pt>
                <c:pt idx="1796">
                  <c:v>101.77200000000001</c:v>
                </c:pt>
                <c:pt idx="1797">
                  <c:v>101.60129999999999</c:v>
                </c:pt>
                <c:pt idx="1798">
                  <c:v>101.52679999999999</c:v>
                </c:pt>
                <c:pt idx="1799">
                  <c:v>101.58369999999999</c:v>
                </c:pt>
                <c:pt idx="1800">
                  <c:v>101.48040000000002</c:v>
                </c:pt>
                <c:pt idx="1801">
                  <c:v>101.62779999999999</c:v>
                </c:pt>
                <c:pt idx="1802">
                  <c:v>101.3156</c:v>
                </c:pt>
                <c:pt idx="1803">
                  <c:v>101.11360000000001</c:v>
                </c:pt>
                <c:pt idx="1804">
                  <c:v>100.5455</c:v>
                </c:pt>
                <c:pt idx="1805">
                  <c:v>100.79170000000002</c:v>
                </c:pt>
                <c:pt idx="1806">
                  <c:v>100.46850000000001</c:v>
                </c:pt>
                <c:pt idx="1807">
                  <c:v>100.59180000000001</c:v>
                </c:pt>
                <c:pt idx="1808">
                  <c:v>100.6088</c:v>
                </c:pt>
                <c:pt idx="1809">
                  <c:v>100.3818</c:v>
                </c:pt>
                <c:pt idx="1810">
                  <c:v>100.47669999999999</c:v>
                </c:pt>
                <c:pt idx="1811">
                  <c:v>100.69020000000002</c:v>
                </c:pt>
                <c:pt idx="1812">
                  <c:v>100.489</c:v>
                </c:pt>
                <c:pt idx="1813">
                  <c:v>100.44240000000001</c:v>
                </c:pt>
                <c:pt idx="1814">
                  <c:v>100.3186</c:v>
                </c:pt>
                <c:pt idx="1815">
                  <c:v>99.899199999999993</c:v>
                </c:pt>
                <c:pt idx="1816">
                  <c:v>100.3317</c:v>
                </c:pt>
                <c:pt idx="1817">
                  <c:v>100.65050000000001</c:v>
                </c:pt>
                <c:pt idx="1818">
                  <c:v>100.5895</c:v>
                </c:pt>
                <c:pt idx="1819">
                  <c:v>100.55240000000001</c:v>
                </c:pt>
                <c:pt idx="1820">
                  <c:v>100.70869999999999</c:v>
                </c:pt>
                <c:pt idx="1821">
                  <c:v>100.7787</c:v>
                </c:pt>
                <c:pt idx="1822">
                  <c:v>100.78579999999999</c:v>
                </c:pt>
                <c:pt idx="1823">
                  <c:v>101.01179999999999</c:v>
                </c:pt>
                <c:pt idx="1824">
                  <c:v>100.69880000000001</c:v>
                </c:pt>
                <c:pt idx="1825">
                  <c:v>100.66190000000002</c:v>
                </c:pt>
                <c:pt idx="1826">
                  <c:v>100.81619999999999</c:v>
                </c:pt>
                <c:pt idx="1827">
                  <c:v>100.86020000000002</c:v>
                </c:pt>
                <c:pt idx="1828">
                  <c:v>100.8712</c:v>
                </c:pt>
                <c:pt idx="1829">
                  <c:v>100.9213</c:v>
                </c:pt>
                <c:pt idx="1830">
                  <c:v>100.8544</c:v>
                </c:pt>
                <c:pt idx="1831">
                  <c:v>101.005</c:v>
                </c:pt>
                <c:pt idx="1832">
                  <c:v>100.8563</c:v>
                </c:pt>
                <c:pt idx="1833">
                  <c:v>100.78</c:v>
                </c:pt>
                <c:pt idx="1834">
                  <c:v>100.7355</c:v>
                </c:pt>
                <c:pt idx="1835">
                  <c:v>100.7231</c:v>
                </c:pt>
                <c:pt idx="1836">
                  <c:v>100.6465</c:v>
                </c:pt>
                <c:pt idx="1837">
                  <c:v>100.6049</c:v>
                </c:pt>
                <c:pt idx="1838">
                  <c:v>100.57769999999999</c:v>
                </c:pt>
                <c:pt idx="1839">
                  <c:v>100.5849</c:v>
                </c:pt>
                <c:pt idx="1840">
                  <c:v>100.64019999999999</c:v>
                </c:pt>
                <c:pt idx="1841">
                  <c:v>100.7248</c:v>
                </c:pt>
                <c:pt idx="1842">
                  <c:v>100.8017</c:v>
                </c:pt>
                <c:pt idx="1843">
                  <c:v>100.71120000000002</c:v>
                </c:pt>
                <c:pt idx="1844">
                  <c:v>100.75230000000001</c:v>
                </c:pt>
                <c:pt idx="1845">
                  <c:v>100.7294</c:v>
                </c:pt>
                <c:pt idx="1846">
                  <c:v>100.69</c:v>
                </c:pt>
                <c:pt idx="1847">
                  <c:v>100.86500000000001</c:v>
                </c:pt>
                <c:pt idx="1848">
                  <c:v>100.8145</c:v>
                </c:pt>
                <c:pt idx="1849">
                  <c:v>101.10339999999999</c:v>
                </c:pt>
                <c:pt idx="1850">
                  <c:v>100.7307</c:v>
                </c:pt>
                <c:pt idx="1851">
                  <c:v>100.88</c:v>
                </c:pt>
                <c:pt idx="1852">
                  <c:v>100.81789999999999</c:v>
                </c:pt>
                <c:pt idx="1853">
                  <c:v>100.90290000000002</c:v>
                </c:pt>
                <c:pt idx="1854">
                  <c:v>100.9102</c:v>
                </c:pt>
                <c:pt idx="1855">
                  <c:v>101.0749</c:v>
                </c:pt>
                <c:pt idx="1856">
                  <c:v>101.0265</c:v>
                </c:pt>
                <c:pt idx="1857">
                  <c:v>101.02290000000001</c:v>
                </c:pt>
                <c:pt idx="1858">
                  <c:v>101.39709999999999</c:v>
                </c:pt>
                <c:pt idx="1859">
                  <c:v>101.2465</c:v>
                </c:pt>
                <c:pt idx="1860">
                  <c:v>101.3022</c:v>
                </c:pt>
                <c:pt idx="1861">
                  <c:v>101.03919999999999</c:v>
                </c:pt>
                <c:pt idx="1862">
                  <c:v>101.2645</c:v>
                </c:pt>
                <c:pt idx="1863">
                  <c:v>101.1019</c:v>
                </c:pt>
                <c:pt idx="1864">
                  <c:v>101.2239</c:v>
                </c:pt>
                <c:pt idx="1865">
                  <c:v>101.1568</c:v>
                </c:pt>
                <c:pt idx="1866">
                  <c:v>101.32729999999999</c:v>
                </c:pt>
                <c:pt idx="1867">
                  <c:v>101.29350000000001</c:v>
                </c:pt>
                <c:pt idx="1868">
                  <c:v>101.2585</c:v>
                </c:pt>
                <c:pt idx="1869">
                  <c:v>101.40860000000001</c:v>
                </c:pt>
                <c:pt idx="1870">
                  <c:v>101.42019999999999</c:v>
                </c:pt>
                <c:pt idx="1871">
                  <c:v>101.3839</c:v>
                </c:pt>
                <c:pt idx="1872">
                  <c:v>101.59400000000001</c:v>
                </c:pt>
                <c:pt idx="1873">
                  <c:v>101.5347</c:v>
                </c:pt>
                <c:pt idx="1874">
                  <c:v>101.5753</c:v>
                </c:pt>
                <c:pt idx="1875">
                  <c:v>101.63030000000001</c:v>
                </c:pt>
                <c:pt idx="1876">
                  <c:v>101.6743</c:v>
                </c:pt>
                <c:pt idx="1877">
                  <c:v>101.74660000000002</c:v>
                </c:pt>
                <c:pt idx="1878">
                  <c:v>101.75920000000001</c:v>
                </c:pt>
                <c:pt idx="1879">
                  <c:v>101.72740000000002</c:v>
                </c:pt>
                <c:pt idx="1880">
                  <c:v>101.6936</c:v>
                </c:pt>
                <c:pt idx="1881">
                  <c:v>101.7868</c:v>
                </c:pt>
                <c:pt idx="1882">
                  <c:v>101.8653</c:v>
                </c:pt>
                <c:pt idx="1883">
                  <c:v>101.8232</c:v>
                </c:pt>
                <c:pt idx="1884">
                  <c:v>101.967</c:v>
                </c:pt>
                <c:pt idx="1885">
                  <c:v>101.95700000000001</c:v>
                </c:pt>
                <c:pt idx="1886">
                  <c:v>101.89919999999999</c:v>
                </c:pt>
                <c:pt idx="1887">
                  <c:v>101.93510000000001</c:v>
                </c:pt>
                <c:pt idx="1888">
                  <c:v>101.95350000000001</c:v>
                </c:pt>
                <c:pt idx="1889">
                  <c:v>101.8347</c:v>
                </c:pt>
                <c:pt idx="1890">
                  <c:v>101.8695</c:v>
                </c:pt>
                <c:pt idx="1891">
                  <c:v>101.8417</c:v>
                </c:pt>
                <c:pt idx="1892">
                  <c:v>101.8603</c:v>
                </c:pt>
                <c:pt idx="1893">
                  <c:v>101.96240000000002</c:v>
                </c:pt>
                <c:pt idx="1894">
                  <c:v>101.8946</c:v>
                </c:pt>
                <c:pt idx="1895">
                  <c:v>101.8424</c:v>
                </c:pt>
                <c:pt idx="1896">
                  <c:v>101.8171</c:v>
                </c:pt>
                <c:pt idx="1897">
                  <c:v>101.78789999999999</c:v>
                </c:pt>
                <c:pt idx="1898">
                  <c:v>101.76590000000002</c:v>
                </c:pt>
                <c:pt idx="1899">
                  <c:v>101.75990000000002</c:v>
                </c:pt>
                <c:pt idx="1900">
                  <c:v>101.8181</c:v>
                </c:pt>
                <c:pt idx="1901">
                  <c:v>101.85420000000002</c:v>
                </c:pt>
                <c:pt idx="1902">
                  <c:v>101.52310000000001</c:v>
                </c:pt>
                <c:pt idx="1903">
                  <c:v>101.89019999999999</c:v>
                </c:pt>
                <c:pt idx="1904">
                  <c:v>101.7457</c:v>
                </c:pt>
                <c:pt idx="1905">
                  <c:v>102.10209999999999</c:v>
                </c:pt>
                <c:pt idx="1906">
                  <c:v>102.00230000000001</c:v>
                </c:pt>
                <c:pt idx="1907">
                  <c:v>101.97239999999999</c:v>
                </c:pt>
                <c:pt idx="1908">
                  <c:v>101.9217</c:v>
                </c:pt>
                <c:pt idx="1909">
                  <c:v>101.9851</c:v>
                </c:pt>
                <c:pt idx="1910">
                  <c:v>101.9589</c:v>
                </c:pt>
                <c:pt idx="1911">
                  <c:v>101.8411</c:v>
                </c:pt>
                <c:pt idx="1912">
                  <c:v>101.9224</c:v>
                </c:pt>
                <c:pt idx="1913">
                  <c:v>101.81619999999999</c:v>
                </c:pt>
                <c:pt idx="1914">
                  <c:v>101.8438</c:v>
                </c:pt>
                <c:pt idx="1915">
                  <c:v>101.92019999999999</c:v>
                </c:pt>
                <c:pt idx="1916">
                  <c:v>101.9045</c:v>
                </c:pt>
                <c:pt idx="1917">
                  <c:v>101.89930000000001</c:v>
                </c:pt>
                <c:pt idx="1918">
                  <c:v>101.8779</c:v>
                </c:pt>
                <c:pt idx="1919">
                  <c:v>101.79110000000001</c:v>
                </c:pt>
                <c:pt idx="1920">
                  <c:v>101.8172</c:v>
                </c:pt>
                <c:pt idx="1921">
                  <c:v>101.94159999999999</c:v>
                </c:pt>
                <c:pt idx="1922">
                  <c:v>101.6824</c:v>
                </c:pt>
                <c:pt idx="1923">
                  <c:v>101.77589999999999</c:v>
                </c:pt>
                <c:pt idx="1924">
                  <c:v>101.9657</c:v>
                </c:pt>
                <c:pt idx="1925">
                  <c:v>101.9837</c:v>
                </c:pt>
                <c:pt idx="1926">
                  <c:v>101.99420000000002</c:v>
                </c:pt>
                <c:pt idx="1927">
                  <c:v>101.8056</c:v>
                </c:pt>
                <c:pt idx="1928">
                  <c:v>101.858</c:v>
                </c:pt>
                <c:pt idx="1929">
                  <c:v>101.69450000000001</c:v>
                </c:pt>
                <c:pt idx="1930">
                  <c:v>101.66840000000001</c:v>
                </c:pt>
                <c:pt idx="1931">
                  <c:v>101.57060000000001</c:v>
                </c:pt>
                <c:pt idx="1932">
                  <c:v>101.52370000000002</c:v>
                </c:pt>
                <c:pt idx="1933">
                  <c:v>101.5378</c:v>
                </c:pt>
                <c:pt idx="1934">
                  <c:v>101.6683</c:v>
                </c:pt>
                <c:pt idx="1935">
                  <c:v>101.6865</c:v>
                </c:pt>
                <c:pt idx="1936">
                  <c:v>101.6178</c:v>
                </c:pt>
                <c:pt idx="1937">
                  <c:v>101.5792</c:v>
                </c:pt>
                <c:pt idx="1938">
                  <c:v>101.59</c:v>
                </c:pt>
                <c:pt idx="1939">
                  <c:v>101.65309999999999</c:v>
                </c:pt>
                <c:pt idx="1940">
                  <c:v>101.6495</c:v>
                </c:pt>
                <c:pt idx="1941">
                  <c:v>101.65560000000001</c:v>
                </c:pt>
                <c:pt idx="1942">
                  <c:v>101.69750000000001</c:v>
                </c:pt>
                <c:pt idx="1943">
                  <c:v>101.73779999999999</c:v>
                </c:pt>
                <c:pt idx="1944">
                  <c:v>101.81820000000002</c:v>
                </c:pt>
                <c:pt idx="1945">
                  <c:v>101.80410000000001</c:v>
                </c:pt>
                <c:pt idx="1946">
                  <c:v>101.6317</c:v>
                </c:pt>
                <c:pt idx="1947">
                  <c:v>101.7128</c:v>
                </c:pt>
                <c:pt idx="1948">
                  <c:v>101.7685</c:v>
                </c:pt>
                <c:pt idx="1949">
                  <c:v>101.8125</c:v>
                </c:pt>
                <c:pt idx="1950">
                  <c:v>101.83740000000002</c:v>
                </c:pt>
                <c:pt idx="1951">
                  <c:v>101.768</c:v>
                </c:pt>
                <c:pt idx="1952">
                  <c:v>101.91840000000001</c:v>
                </c:pt>
                <c:pt idx="1953">
                  <c:v>101.6808</c:v>
                </c:pt>
                <c:pt idx="1954">
                  <c:v>101.87350000000001</c:v>
                </c:pt>
                <c:pt idx="1955">
                  <c:v>101.7932</c:v>
                </c:pt>
                <c:pt idx="1956">
                  <c:v>101.8366</c:v>
                </c:pt>
                <c:pt idx="1957">
                  <c:v>101.8085</c:v>
                </c:pt>
                <c:pt idx="1958">
                  <c:v>101.80119999999999</c:v>
                </c:pt>
                <c:pt idx="1959">
                  <c:v>101.8616</c:v>
                </c:pt>
                <c:pt idx="1960">
                  <c:v>101.9139</c:v>
                </c:pt>
                <c:pt idx="1961">
                  <c:v>102.05310000000001</c:v>
                </c:pt>
                <c:pt idx="1962">
                  <c:v>102.01300000000001</c:v>
                </c:pt>
                <c:pt idx="1963">
                  <c:v>101.92740000000001</c:v>
                </c:pt>
                <c:pt idx="1964">
                  <c:v>101.8172</c:v>
                </c:pt>
                <c:pt idx="1965">
                  <c:v>101.9581</c:v>
                </c:pt>
                <c:pt idx="1966">
                  <c:v>101.98340000000002</c:v>
                </c:pt>
                <c:pt idx="1967">
                  <c:v>101.9264</c:v>
                </c:pt>
                <c:pt idx="1968">
                  <c:v>102.0001</c:v>
                </c:pt>
                <c:pt idx="1969">
                  <c:v>101.9318</c:v>
                </c:pt>
                <c:pt idx="1970">
                  <c:v>101.95659999999999</c:v>
                </c:pt>
                <c:pt idx="1971">
                  <c:v>102.1232</c:v>
                </c:pt>
                <c:pt idx="1972">
                  <c:v>101.96420000000002</c:v>
                </c:pt>
                <c:pt idx="1973">
                  <c:v>101.95220000000002</c:v>
                </c:pt>
                <c:pt idx="1974">
                  <c:v>101.9734</c:v>
                </c:pt>
                <c:pt idx="1975">
                  <c:v>101.95640000000002</c:v>
                </c:pt>
                <c:pt idx="1976">
                  <c:v>101.9659</c:v>
                </c:pt>
                <c:pt idx="1977">
                  <c:v>101.91430000000001</c:v>
                </c:pt>
                <c:pt idx="1978">
                  <c:v>101.8854</c:v>
                </c:pt>
                <c:pt idx="1979">
                  <c:v>101.90009999999999</c:v>
                </c:pt>
                <c:pt idx="1980">
                  <c:v>101.7702</c:v>
                </c:pt>
                <c:pt idx="1981">
                  <c:v>101.73180000000001</c:v>
                </c:pt>
                <c:pt idx="1982">
                  <c:v>102.0025</c:v>
                </c:pt>
                <c:pt idx="1983">
                  <c:v>101.8986</c:v>
                </c:pt>
                <c:pt idx="1984">
                  <c:v>102.0149</c:v>
                </c:pt>
                <c:pt idx="1985">
                  <c:v>102.00210000000001</c:v>
                </c:pt>
                <c:pt idx="1986">
                  <c:v>101.80710000000001</c:v>
                </c:pt>
                <c:pt idx="1987">
                  <c:v>101.85980000000001</c:v>
                </c:pt>
                <c:pt idx="1988">
                  <c:v>101.82600000000001</c:v>
                </c:pt>
                <c:pt idx="1989">
                  <c:v>101.82960000000001</c:v>
                </c:pt>
                <c:pt idx="1990">
                  <c:v>101.8004</c:v>
                </c:pt>
                <c:pt idx="1991">
                  <c:v>101.77370000000002</c:v>
                </c:pt>
                <c:pt idx="1992">
                  <c:v>101.742</c:v>
                </c:pt>
                <c:pt idx="1993">
                  <c:v>101.7841</c:v>
                </c:pt>
                <c:pt idx="1994">
                  <c:v>101.8871</c:v>
                </c:pt>
                <c:pt idx="1995">
                  <c:v>101.568</c:v>
                </c:pt>
                <c:pt idx="1996">
                  <c:v>101.69620000000002</c:v>
                </c:pt>
                <c:pt idx="1997">
                  <c:v>101.6113</c:v>
                </c:pt>
                <c:pt idx="1998">
                  <c:v>101.7884</c:v>
                </c:pt>
                <c:pt idx="1999">
                  <c:v>101.7145</c:v>
                </c:pt>
                <c:pt idx="2000">
                  <c:v>101.77630000000001</c:v>
                </c:pt>
                <c:pt idx="2001">
                  <c:v>101.73260000000001</c:v>
                </c:pt>
                <c:pt idx="2002">
                  <c:v>101.7961</c:v>
                </c:pt>
                <c:pt idx="2003">
                  <c:v>101.8086</c:v>
                </c:pt>
                <c:pt idx="2004">
                  <c:v>101.8776</c:v>
                </c:pt>
                <c:pt idx="2005">
                  <c:v>101.848</c:v>
                </c:pt>
                <c:pt idx="2006">
                  <c:v>102.1516</c:v>
                </c:pt>
                <c:pt idx="2007">
                  <c:v>101.83150000000001</c:v>
                </c:pt>
                <c:pt idx="2008">
                  <c:v>101.82089999999999</c:v>
                </c:pt>
                <c:pt idx="2009">
                  <c:v>101.8967</c:v>
                </c:pt>
                <c:pt idx="2010">
                  <c:v>101.80459999999999</c:v>
                </c:pt>
                <c:pt idx="2011">
                  <c:v>101.80010000000001</c:v>
                </c:pt>
                <c:pt idx="2012">
                  <c:v>101.7974</c:v>
                </c:pt>
                <c:pt idx="2013">
                  <c:v>101.8865</c:v>
                </c:pt>
                <c:pt idx="2014">
                  <c:v>101.7212</c:v>
                </c:pt>
                <c:pt idx="2015">
                  <c:v>101.733</c:v>
                </c:pt>
                <c:pt idx="2016">
                  <c:v>101.7282</c:v>
                </c:pt>
                <c:pt idx="2017">
                  <c:v>101.69020000000002</c:v>
                </c:pt>
                <c:pt idx="2018">
                  <c:v>101.7496</c:v>
                </c:pt>
                <c:pt idx="2019">
                  <c:v>101.8075</c:v>
                </c:pt>
                <c:pt idx="2020">
                  <c:v>101.8442</c:v>
                </c:pt>
                <c:pt idx="2021">
                  <c:v>101.93230000000001</c:v>
                </c:pt>
                <c:pt idx="2022">
                  <c:v>101.8394</c:v>
                </c:pt>
                <c:pt idx="2023">
                  <c:v>101.90940000000001</c:v>
                </c:pt>
                <c:pt idx="2024">
                  <c:v>101.8477</c:v>
                </c:pt>
                <c:pt idx="2025">
                  <c:v>101.82559999999999</c:v>
                </c:pt>
                <c:pt idx="2026">
                  <c:v>101.8471</c:v>
                </c:pt>
                <c:pt idx="2027">
                  <c:v>101.9093</c:v>
                </c:pt>
                <c:pt idx="2028">
                  <c:v>101.8154</c:v>
                </c:pt>
                <c:pt idx="2029">
                  <c:v>101.78830000000001</c:v>
                </c:pt>
                <c:pt idx="2030">
                  <c:v>101.84690000000001</c:v>
                </c:pt>
                <c:pt idx="2031">
                  <c:v>101.8415</c:v>
                </c:pt>
                <c:pt idx="2032">
                  <c:v>101.83450000000001</c:v>
                </c:pt>
                <c:pt idx="2033">
                  <c:v>101.8257</c:v>
                </c:pt>
                <c:pt idx="2034">
                  <c:v>101.7723</c:v>
                </c:pt>
                <c:pt idx="2035">
                  <c:v>101.7694</c:v>
                </c:pt>
                <c:pt idx="2036">
                  <c:v>101.7942</c:v>
                </c:pt>
                <c:pt idx="2037">
                  <c:v>101.812</c:v>
                </c:pt>
                <c:pt idx="2038">
                  <c:v>101.81489999999999</c:v>
                </c:pt>
                <c:pt idx="2039">
                  <c:v>101.7664</c:v>
                </c:pt>
                <c:pt idx="2040">
                  <c:v>101.8313</c:v>
                </c:pt>
                <c:pt idx="2041">
                  <c:v>101.8027</c:v>
                </c:pt>
                <c:pt idx="2042">
                  <c:v>101.8189</c:v>
                </c:pt>
                <c:pt idx="2043">
                  <c:v>101.9164</c:v>
                </c:pt>
                <c:pt idx="2044">
                  <c:v>101.8165</c:v>
                </c:pt>
                <c:pt idx="2045">
                  <c:v>101.8353</c:v>
                </c:pt>
                <c:pt idx="2046">
                  <c:v>101.81</c:v>
                </c:pt>
                <c:pt idx="2047">
                  <c:v>101.8412</c:v>
                </c:pt>
                <c:pt idx="2048">
                  <c:v>101.7718</c:v>
                </c:pt>
                <c:pt idx="2049">
                  <c:v>101.77679999999999</c:v>
                </c:pt>
                <c:pt idx="2050">
                  <c:v>101.83680000000001</c:v>
                </c:pt>
                <c:pt idx="2051">
                  <c:v>101.7997</c:v>
                </c:pt>
                <c:pt idx="2052">
                  <c:v>101.7724</c:v>
                </c:pt>
                <c:pt idx="2053">
                  <c:v>101.75930000000001</c:v>
                </c:pt>
                <c:pt idx="2054">
                  <c:v>101.9166</c:v>
                </c:pt>
                <c:pt idx="2055">
                  <c:v>102.00790000000001</c:v>
                </c:pt>
                <c:pt idx="2056">
                  <c:v>101.9076</c:v>
                </c:pt>
                <c:pt idx="2057">
                  <c:v>101.9589</c:v>
                </c:pt>
                <c:pt idx="2058">
                  <c:v>101.75069999999999</c:v>
                </c:pt>
                <c:pt idx="2059">
                  <c:v>101.78230000000001</c:v>
                </c:pt>
                <c:pt idx="2060">
                  <c:v>102.0963</c:v>
                </c:pt>
                <c:pt idx="2061">
                  <c:v>103.473</c:v>
                </c:pt>
                <c:pt idx="2062">
                  <c:v>103.625</c:v>
                </c:pt>
                <c:pt idx="2063">
                  <c:v>103.7496</c:v>
                </c:pt>
                <c:pt idx="2064">
                  <c:v>103.8514</c:v>
                </c:pt>
                <c:pt idx="2065">
                  <c:v>104.2026</c:v>
                </c:pt>
                <c:pt idx="2066">
                  <c:v>104.1503</c:v>
                </c:pt>
                <c:pt idx="2067">
                  <c:v>103.9272</c:v>
                </c:pt>
                <c:pt idx="2068">
                  <c:v>104.0865</c:v>
                </c:pt>
                <c:pt idx="2069">
                  <c:v>104.21639999999999</c:v>
                </c:pt>
                <c:pt idx="2070">
                  <c:v>104.15009999999999</c:v>
                </c:pt>
                <c:pt idx="2071">
                  <c:v>104.161</c:v>
                </c:pt>
                <c:pt idx="2072">
                  <c:v>104.2281</c:v>
                </c:pt>
                <c:pt idx="2073">
                  <c:v>104.277</c:v>
                </c:pt>
                <c:pt idx="2074">
                  <c:v>104.2</c:v>
                </c:pt>
                <c:pt idx="2075">
                  <c:v>104.22029999999999</c:v>
                </c:pt>
                <c:pt idx="2076">
                  <c:v>103.97680000000001</c:v>
                </c:pt>
                <c:pt idx="2077">
                  <c:v>104.3496</c:v>
                </c:pt>
                <c:pt idx="2078">
                  <c:v>104.3323</c:v>
                </c:pt>
                <c:pt idx="2079">
                  <c:v>104.3848</c:v>
                </c:pt>
                <c:pt idx="2080">
                  <c:v>104.4592</c:v>
                </c:pt>
                <c:pt idx="2081">
                  <c:v>104.4367</c:v>
                </c:pt>
                <c:pt idx="2082">
                  <c:v>104.39790000000001</c:v>
                </c:pt>
                <c:pt idx="2083">
                  <c:v>104.2736</c:v>
                </c:pt>
                <c:pt idx="2084">
                  <c:v>104.33620000000002</c:v>
                </c:pt>
                <c:pt idx="2085">
                  <c:v>104.41160000000001</c:v>
                </c:pt>
                <c:pt idx="2086">
                  <c:v>104.3497</c:v>
                </c:pt>
                <c:pt idx="2087">
                  <c:v>104.32859999999999</c:v>
                </c:pt>
                <c:pt idx="2088">
                  <c:v>104.45010000000001</c:v>
                </c:pt>
                <c:pt idx="2089">
                  <c:v>104.3532</c:v>
                </c:pt>
                <c:pt idx="2090">
                  <c:v>104.50270000000002</c:v>
                </c:pt>
                <c:pt idx="2091">
                  <c:v>104.3918</c:v>
                </c:pt>
                <c:pt idx="2092">
                  <c:v>104.4307</c:v>
                </c:pt>
                <c:pt idx="2093">
                  <c:v>104.4015</c:v>
                </c:pt>
                <c:pt idx="2094">
                  <c:v>104.48739999999999</c:v>
                </c:pt>
                <c:pt idx="2095">
                  <c:v>104.4015</c:v>
                </c:pt>
                <c:pt idx="2096">
                  <c:v>104.4676</c:v>
                </c:pt>
                <c:pt idx="2097">
                  <c:v>104.4371</c:v>
                </c:pt>
                <c:pt idx="2098">
                  <c:v>104.42690000000002</c:v>
                </c:pt>
                <c:pt idx="2099">
                  <c:v>104.4772</c:v>
                </c:pt>
                <c:pt idx="2100">
                  <c:v>104.4973</c:v>
                </c:pt>
                <c:pt idx="2101">
                  <c:v>104.41250000000001</c:v>
                </c:pt>
                <c:pt idx="2102">
                  <c:v>104.4541</c:v>
                </c:pt>
                <c:pt idx="2103">
                  <c:v>104.48820000000002</c:v>
                </c:pt>
                <c:pt idx="2104">
                  <c:v>104.4264</c:v>
                </c:pt>
                <c:pt idx="2105">
                  <c:v>104.5168</c:v>
                </c:pt>
                <c:pt idx="2106">
                  <c:v>104.4764</c:v>
                </c:pt>
                <c:pt idx="2107">
                  <c:v>104.4461</c:v>
                </c:pt>
                <c:pt idx="2108">
                  <c:v>104.4404</c:v>
                </c:pt>
                <c:pt idx="2109">
                  <c:v>104.4336</c:v>
                </c:pt>
                <c:pt idx="2110">
                  <c:v>104.4102</c:v>
                </c:pt>
                <c:pt idx="2111">
                  <c:v>104.41840000000001</c:v>
                </c:pt>
                <c:pt idx="2112">
                  <c:v>104.47539999999999</c:v>
                </c:pt>
                <c:pt idx="2113">
                  <c:v>104.337</c:v>
                </c:pt>
                <c:pt idx="2114">
                  <c:v>104.4393</c:v>
                </c:pt>
                <c:pt idx="2115">
                  <c:v>104.43340000000001</c:v>
                </c:pt>
                <c:pt idx="2116">
                  <c:v>104.3738</c:v>
                </c:pt>
                <c:pt idx="2117">
                  <c:v>104.41970000000002</c:v>
                </c:pt>
                <c:pt idx="2118">
                  <c:v>104.3913</c:v>
                </c:pt>
                <c:pt idx="2119">
                  <c:v>104.416</c:v>
                </c:pt>
                <c:pt idx="2120">
                  <c:v>104.4391</c:v>
                </c:pt>
                <c:pt idx="2121">
                  <c:v>104.4465</c:v>
                </c:pt>
                <c:pt idx="2122">
                  <c:v>104.461</c:v>
                </c:pt>
                <c:pt idx="2123">
                  <c:v>104.44110000000001</c:v>
                </c:pt>
                <c:pt idx="2124">
                  <c:v>104.4742</c:v>
                </c:pt>
                <c:pt idx="2125">
                  <c:v>104.8173</c:v>
                </c:pt>
                <c:pt idx="2126">
                  <c:v>104.98009999999999</c:v>
                </c:pt>
                <c:pt idx="2127">
                  <c:v>105.34829999999999</c:v>
                </c:pt>
                <c:pt idx="2128">
                  <c:v>105.55929999999999</c:v>
                </c:pt>
                <c:pt idx="2129">
                  <c:v>105.55929999999999</c:v>
                </c:pt>
                <c:pt idx="2130">
                  <c:v>105.3442</c:v>
                </c:pt>
                <c:pt idx="2131">
                  <c:v>105.41490000000002</c:v>
                </c:pt>
                <c:pt idx="2132">
                  <c:v>105.43900000000001</c:v>
                </c:pt>
                <c:pt idx="2133">
                  <c:v>105.0307</c:v>
                </c:pt>
                <c:pt idx="2134">
                  <c:v>105.48439999999999</c:v>
                </c:pt>
                <c:pt idx="2135">
                  <c:v>105.47920000000002</c:v>
                </c:pt>
                <c:pt idx="2136">
                  <c:v>105.42529999999999</c:v>
                </c:pt>
                <c:pt idx="2137">
                  <c:v>105.4599</c:v>
                </c:pt>
                <c:pt idx="2138">
                  <c:v>105.5367</c:v>
                </c:pt>
                <c:pt idx="2139">
                  <c:v>105.54389999999999</c:v>
                </c:pt>
                <c:pt idx="2140">
                  <c:v>105.4324</c:v>
                </c:pt>
                <c:pt idx="2141">
                  <c:v>105.14</c:v>
                </c:pt>
                <c:pt idx="2142">
                  <c:v>105.15</c:v>
                </c:pt>
                <c:pt idx="2143">
                  <c:v>105.2085</c:v>
                </c:pt>
                <c:pt idx="2144">
                  <c:v>105.40350000000001</c:v>
                </c:pt>
                <c:pt idx="2145">
                  <c:v>105.4616</c:v>
                </c:pt>
                <c:pt idx="2146">
                  <c:v>105.4802</c:v>
                </c:pt>
                <c:pt idx="2147">
                  <c:v>105.44580000000001</c:v>
                </c:pt>
                <c:pt idx="2148">
                  <c:v>105.4885</c:v>
                </c:pt>
                <c:pt idx="2149">
                  <c:v>105.52250000000001</c:v>
                </c:pt>
                <c:pt idx="2150">
                  <c:v>105.54640000000001</c:v>
                </c:pt>
                <c:pt idx="2151">
                  <c:v>105.5873</c:v>
                </c:pt>
                <c:pt idx="2152">
                  <c:v>105.42910000000001</c:v>
                </c:pt>
                <c:pt idx="2153">
                  <c:v>105.5278</c:v>
                </c:pt>
                <c:pt idx="2154">
                  <c:v>105.369</c:v>
                </c:pt>
                <c:pt idx="2155">
                  <c:v>105.4593</c:v>
                </c:pt>
                <c:pt idx="2156">
                  <c:v>105.47560000000001</c:v>
                </c:pt>
                <c:pt idx="2157">
                  <c:v>105.4905</c:v>
                </c:pt>
                <c:pt idx="2158">
                  <c:v>105.4508</c:v>
                </c:pt>
                <c:pt idx="2159">
                  <c:v>105.5018</c:v>
                </c:pt>
                <c:pt idx="2160">
                  <c:v>105.43410000000002</c:v>
                </c:pt>
                <c:pt idx="2161">
                  <c:v>105.4345</c:v>
                </c:pt>
                <c:pt idx="2162">
                  <c:v>105.4849</c:v>
                </c:pt>
                <c:pt idx="2163">
                  <c:v>105.38</c:v>
                </c:pt>
                <c:pt idx="2164">
                  <c:v>104.99079999999999</c:v>
                </c:pt>
                <c:pt idx="2165">
                  <c:v>105.3676</c:v>
                </c:pt>
                <c:pt idx="2166">
                  <c:v>104.9063</c:v>
                </c:pt>
                <c:pt idx="2167">
                  <c:v>104.3383</c:v>
                </c:pt>
                <c:pt idx="2168">
                  <c:v>103.68660000000001</c:v>
                </c:pt>
                <c:pt idx="2169">
                  <c:v>104.1365</c:v>
                </c:pt>
                <c:pt idx="2170">
                  <c:v>104.038</c:v>
                </c:pt>
                <c:pt idx="2171">
                  <c:v>103.8497</c:v>
                </c:pt>
                <c:pt idx="2172">
                  <c:v>104.1388</c:v>
                </c:pt>
                <c:pt idx="2173">
                  <c:v>104.49639999999999</c:v>
                </c:pt>
                <c:pt idx="2174">
                  <c:v>104.85480000000001</c:v>
                </c:pt>
                <c:pt idx="2175">
                  <c:v>104.87869999999999</c:v>
                </c:pt>
                <c:pt idx="2176">
                  <c:v>104.7149</c:v>
                </c:pt>
                <c:pt idx="2177">
                  <c:v>104.7538</c:v>
                </c:pt>
                <c:pt idx="2178">
                  <c:v>104.6957</c:v>
                </c:pt>
                <c:pt idx="2179">
                  <c:v>104.7367</c:v>
                </c:pt>
                <c:pt idx="2180">
                  <c:v>104.7043</c:v>
                </c:pt>
                <c:pt idx="2181">
                  <c:v>104.79040000000001</c:v>
                </c:pt>
                <c:pt idx="2182">
                  <c:v>104.74039999999999</c:v>
                </c:pt>
                <c:pt idx="2183">
                  <c:v>104.7377</c:v>
                </c:pt>
                <c:pt idx="2184">
                  <c:v>104.3841</c:v>
                </c:pt>
                <c:pt idx="2185">
                  <c:v>104.3394</c:v>
                </c:pt>
                <c:pt idx="2186">
                  <c:v>104.732</c:v>
                </c:pt>
                <c:pt idx="2187">
                  <c:v>104.80029999999999</c:v>
                </c:pt>
                <c:pt idx="2188">
                  <c:v>104.87730000000001</c:v>
                </c:pt>
                <c:pt idx="2189">
                  <c:v>104.8235</c:v>
                </c:pt>
                <c:pt idx="2190">
                  <c:v>104.76300000000001</c:v>
                </c:pt>
                <c:pt idx="2191">
                  <c:v>104.91930000000001</c:v>
                </c:pt>
                <c:pt idx="2192">
                  <c:v>104.9712</c:v>
                </c:pt>
                <c:pt idx="2193">
                  <c:v>104.85660000000001</c:v>
                </c:pt>
                <c:pt idx="2194">
                  <c:v>105.04110000000001</c:v>
                </c:pt>
                <c:pt idx="2195">
                  <c:v>104.95010000000001</c:v>
                </c:pt>
                <c:pt idx="2196">
                  <c:v>104.92450000000001</c:v>
                </c:pt>
                <c:pt idx="2197">
                  <c:v>104.8553</c:v>
                </c:pt>
                <c:pt idx="2198">
                  <c:v>104.73909999999999</c:v>
                </c:pt>
                <c:pt idx="2199">
                  <c:v>104.72740000000002</c:v>
                </c:pt>
                <c:pt idx="2200">
                  <c:v>104.7158</c:v>
                </c:pt>
                <c:pt idx="2201">
                  <c:v>104.8411</c:v>
                </c:pt>
                <c:pt idx="2202">
                  <c:v>104.88939999999999</c:v>
                </c:pt>
                <c:pt idx="2203">
                  <c:v>104.7753</c:v>
                </c:pt>
                <c:pt idx="2204">
                  <c:v>104.9314</c:v>
                </c:pt>
                <c:pt idx="2205">
                  <c:v>104.8047</c:v>
                </c:pt>
                <c:pt idx="2206">
                  <c:v>104.93810000000001</c:v>
                </c:pt>
                <c:pt idx="2207">
                  <c:v>104.8075</c:v>
                </c:pt>
                <c:pt idx="2208">
                  <c:v>104.97029999999999</c:v>
                </c:pt>
                <c:pt idx="2209">
                  <c:v>104.8074</c:v>
                </c:pt>
                <c:pt idx="2210">
                  <c:v>104.7903</c:v>
                </c:pt>
                <c:pt idx="2211">
                  <c:v>104.89510000000001</c:v>
                </c:pt>
                <c:pt idx="2212">
                  <c:v>104.9605</c:v>
                </c:pt>
                <c:pt idx="2213">
                  <c:v>104.9877</c:v>
                </c:pt>
                <c:pt idx="2214">
                  <c:v>105.093</c:v>
                </c:pt>
                <c:pt idx="2215">
                  <c:v>104.96600000000001</c:v>
                </c:pt>
                <c:pt idx="2216">
                  <c:v>104.96900000000001</c:v>
                </c:pt>
                <c:pt idx="2217">
                  <c:v>104.93960000000001</c:v>
                </c:pt>
                <c:pt idx="2218">
                  <c:v>104.80419999999999</c:v>
                </c:pt>
                <c:pt idx="2219">
                  <c:v>104.8681</c:v>
                </c:pt>
                <c:pt idx="2220">
                  <c:v>104.86839999999999</c:v>
                </c:pt>
                <c:pt idx="2221">
                  <c:v>105.16240000000001</c:v>
                </c:pt>
                <c:pt idx="2222">
                  <c:v>104.90110000000001</c:v>
                </c:pt>
                <c:pt idx="2223">
                  <c:v>105.0017</c:v>
                </c:pt>
                <c:pt idx="2224">
                  <c:v>104.5034</c:v>
                </c:pt>
                <c:pt idx="2225">
                  <c:v>104.36839999999999</c:v>
                </c:pt>
                <c:pt idx="2226">
                  <c:v>104.39390000000002</c:v>
                </c:pt>
                <c:pt idx="2227">
                  <c:v>104.5615</c:v>
                </c:pt>
                <c:pt idx="2228">
                  <c:v>104.56270000000002</c:v>
                </c:pt>
                <c:pt idx="2229">
                  <c:v>104.39810000000001</c:v>
                </c:pt>
                <c:pt idx="2230">
                  <c:v>104.51309999999999</c:v>
                </c:pt>
                <c:pt idx="2231">
                  <c:v>104.6245</c:v>
                </c:pt>
                <c:pt idx="2232">
                  <c:v>104.6172</c:v>
                </c:pt>
                <c:pt idx="2233">
                  <c:v>104.4686</c:v>
                </c:pt>
                <c:pt idx="2234">
                  <c:v>104.539</c:v>
                </c:pt>
                <c:pt idx="2235">
                  <c:v>104.5372</c:v>
                </c:pt>
                <c:pt idx="2236">
                  <c:v>104.6952</c:v>
                </c:pt>
                <c:pt idx="2237">
                  <c:v>104.7556</c:v>
                </c:pt>
                <c:pt idx="2238">
                  <c:v>104.68519999999999</c:v>
                </c:pt>
                <c:pt idx="2239">
                  <c:v>104.81270000000002</c:v>
                </c:pt>
                <c:pt idx="2240">
                  <c:v>104.7497</c:v>
                </c:pt>
                <c:pt idx="2241">
                  <c:v>104.7153</c:v>
                </c:pt>
                <c:pt idx="2242">
                  <c:v>104.85760000000001</c:v>
                </c:pt>
                <c:pt idx="2243">
                  <c:v>104.7895</c:v>
                </c:pt>
                <c:pt idx="2244">
                  <c:v>104.88939999999999</c:v>
                </c:pt>
                <c:pt idx="2245">
                  <c:v>104.44629999999999</c:v>
                </c:pt>
                <c:pt idx="2246">
                  <c:v>104.56700000000001</c:v>
                </c:pt>
                <c:pt idx="2247">
                  <c:v>104.68600000000001</c:v>
                </c:pt>
                <c:pt idx="2248">
                  <c:v>105.27310000000001</c:v>
                </c:pt>
                <c:pt idx="2249">
                  <c:v>104.9645</c:v>
                </c:pt>
                <c:pt idx="2250">
                  <c:v>104.71360000000001</c:v>
                </c:pt>
                <c:pt idx="2251">
                  <c:v>104.7985</c:v>
                </c:pt>
                <c:pt idx="2252">
                  <c:v>104.7685</c:v>
                </c:pt>
                <c:pt idx="2253">
                  <c:v>104.48280000000001</c:v>
                </c:pt>
                <c:pt idx="2254">
                  <c:v>104.75360000000001</c:v>
                </c:pt>
                <c:pt idx="2255">
                  <c:v>104.69020000000002</c:v>
                </c:pt>
                <c:pt idx="2256">
                  <c:v>104.80289999999999</c:v>
                </c:pt>
                <c:pt idx="2257">
                  <c:v>104.70180000000001</c:v>
                </c:pt>
                <c:pt idx="2258">
                  <c:v>104.7323</c:v>
                </c:pt>
                <c:pt idx="2259">
                  <c:v>104.7085</c:v>
                </c:pt>
                <c:pt idx="2260">
                  <c:v>104.7063</c:v>
                </c:pt>
                <c:pt idx="2261">
                  <c:v>104.16889999999999</c:v>
                </c:pt>
                <c:pt idx="2262">
                  <c:v>103.9572</c:v>
                </c:pt>
                <c:pt idx="2263">
                  <c:v>104.4723</c:v>
                </c:pt>
                <c:pt idx="2264">
                  <c:v>104.66250000000001</c:v>
                </c:pt>
                <c:pt idx="2265">
                  <c:v>104.6002</c:v>
                </c:pt>
                <c:pt idx="2266">
                  <c:v>104.4389</c:v>
                </c:pt>
                <c:pt idx="2267">
                  <c:v>104.5812</c:v>
                </c:pt>
                <c:pt idx="2268">
                  <c:v>104.45460000000001</c:v>
                </c:pt>
                <c:pt idx="2269">
                  <c:v>104.6399</c:v>
                </c:pt>
                <c:pt idx="2270">
                  <c:v>104.6942</c:v>
                </c:pt>
                <c:pt idx="2271">
                  <c:v>104.81440000000001</c:v>
                </c:pt>
                <c:pt idx="2272">
                  <c:v>104.7008</c:v>
                </c:pt>
                <c:pt idx="2273">
                  <c:v>104.7577</c:v>
                </c:pt>
                <c:pt idx="2274">
                  <c:v>104.84829999999999</c:v>
                </c:pt>
                <c:pt idx="2275">
                  <c:v>104.74809999999999</c:v>
                </c:pt>
                <c:pt idx="2276">
                  <c:v>104.7068</c:v>
                </c:pt>
                <c:pt idx="2277">
                  <c:v>104.7007</c:v>
                </c:pt>
                <c:pt idx="2278">
                  <c:v>104.75</c:v>
                </c:pt>
                <c:pt idx="2279">
                  <c:v>104.69540000000001</c:v>
                </c:pt>
                <c:pt idx="2280">
                  <c:v>104.7038</c:v>
                </c:pt>
                <c:pt idx="2281">
                  <c:v>104.7602</c:v>
                </c:pt>
                <c:pt idx="2282">
                  <c:v>104.7608</c:v>
                </c:pt>
                <c:pt idx="2283">
                  <c:v>104.7784</c:v>
                </c:pt>
                <c:pt idx="2284">
                  <c:v>104.7676</c:v>
                </c:pt>
                <c:pt idx="2285">
                  <c:v>104.1688</c:v>
                </c:pt>
                <c:pt idx="2286">
                  <c:v>104.70350000000001</c:v>
                </c:pt>
                <c:pt idx="2287">
                  <c:v>104.62569999999999</c:v>
                </c:pt>
                <c:pt idx="2288">
                  <c:v>104.6555</c:v>
                </c:pt>
                <c:pt idx="2289">
                  <c:v>104.67</c:v>
                </c:pt>
                <c:pt idx="2290">
                  <c:v>104.7218</c:v>
                </c:pt>
                <c:pt idx="2291">
                  <c:v>104.70640000000002</c:v>
                </c:pt>
                <c:pt idx="2292">
                  <c:v>104.69920000000002</c:v>
                </c:pt>
                <c:pt idx="2293">
                  <c:v>104.67610000000001</c:v>
                </c:pt>
                <c:pt idx="2294">
                  <c:v>104.732</c:v>
                </c:pt>
                <c:pt idx="2295">
                  <c:v>104.71210000000001</c:v>
                </c:pt>
                <c:pt idx="2296">
                  <c:v>104.7333</c:v>
                </c:pt>
                <c:pt idx="2297">
                  <c:v>104.7276</c:v>
                </c:pt>
                <c:pt idx="2298">
                  <c:v>104.7504</c:v>
                </c:pt>
                <c:pt idx="2299">
                  <c:v>104.76110000000001</c:v>
                </c:pt>
                <c:pt idx="2300">
                  <c:v>104.7698</c:v>
                </c:pt>
                <c:pt idx="2301">
                  <c:v>104.69500000000001</c:v>
                </c:pt>
                <c:pt idx="2302">
                  <c:v>104.71360000000001</c:v>
                </c:pt>
                <c:pt idx="2303">
                  <c:v>104.81760000000001</c:v>
                </c:pt>
                <c:pt idx="2304">
                  <c:v>104.7747</c:v>
                </c:pt>
                <c:pt idx="2305">
                  <c:v>104.6901</c:v>
                </c:pt>
                <c:pt idx="2306">
                  <c:v>104.7559</c:v>
                </c:pt>
                <c:pt idx="2307">
                  <c:v>104.78489999999999</c:v>
                </c:pt>
                <c:pt idx="2308">
                  <c:v>104.7295</c:v>
                </c:pt>
                <c:pt idx="2309">
                  <c:v>104.79600000000001</c:v>
                </c:pt>
                <c:pt idx="2310">
                  <c:v>104.82480000000001</c:v>
                </c:pt>
                <c:pt idx="2311">
                  <c:v>104.8339</c:v>
                </c:pt>
                <c:pt idx="2312">
                  <c:v>104.6901</c:v>
                </c:pt>
                <c:pt idx="2313">
                  <c:v>104.7901</c:v>
                </c:pt>
                <c:pt idx="2314">
                  <c:v>104.6922</c:v>
                </c:pt>
                <c:pt idx="2315">
                  <c:v>104.6819</c:v>
                </c:pt>
                <c:pt idx="2316">
                  <c:v>104.76179999999999</c:v>
                </c:pt>
                <c:pt idx="2317">
                  <c:v>104.77119999999999</c:v>
                </c:pt>
                <c:pt idx="2318">
                  <c:v>104.7855</c:v>
                </c:pt>
                <c:pt idx="2319">
                  <c:v>104.6665</c:v>
                </c:pt>
                <c:pt idx="2320">
                  <c:v>104.6985</c:v>
                </c:pt>
                <c:pt idx="2321">
                  <c:v>104.71339999999999</c:v>
                </c:pt>
                <c:pt idx="2322">
                  <c:v>104.741</c:v>
                </c:pt>
                <c:pt idx="2323">
                  <c:v>104.648</c:v>
                </c:pt>
                <c:pt idx="2324">
                  <c:v>104.6217</c:v>
                </c:pt>
                <c:pt idx="2325">
                  <c:v>104.6758</c:v>
                </c:pt>
                <c:pt idx="2326">
                  <c:v>104.70740000000001</c:v>
                </c:pt>
                <c:pt idx="2327">
                  <c:v>104.5885</c:v>
                </c:pt>
                <c:pt idx="2328">
                  <c:v>104.53489999999999</c:v>
                </c:pt>
                <c:pt idx="2329">
                  <c:v>104.2735</c:v>
                </c:pt>
                <c:pt idx="2330">
                  <c:v>104.2681</c:v>
                </c:pt>
                <c:pt idx="2331">
                  <c:v>104.82120000000002</c:v>
                </c:pt>
                <c:pt idx="2332">
                  <c:v>104.7732</c:v>
                </c:pt>
                <c:pt idx="2333">
                  <c:v>104.75210000000001</c:v>
                </c:pt>
                <c:pt idx="2334">
                  <c:v>105.1681</c:v>
                </c:pt>
                <c:pt idx="2335">
                  <c:v>104.84439999999999</c:v>
                </c:pt>
                <c:pt idx="2336">
                  <c:v>104.7597</c:v>
                </c:pt>
                <c:pt idx="2337">
                  <c:v>104.8045</c:v>
                </c:pt>
                <c:pt idx="2338">
                  <c:v>104.5852</c:v>
                </c:pt>
                <c:pt idx="2339">
                  <c:v>104.57769999999999</c:v>
                </c:pt>
                <c:pt idx="2340">
                  <c:v>104.6835</c:v>
                </c:pt>
                <c:pt idx="2341">
                  <c:v>104.7859</c:v>
                </c:pt>
                <c:pt idx="2342">
                  <c:v>104.8497</c:v>
                </c:pt>
                <c:pt idx="2343">
                  <c:v>104.7529</c:v>
                </c:pt>
                <c:pt idx="2344">
                  <c:v>104.7397</c:v>
                </c:pt>
                <c:pt idx="2345">
                  <c:v>104.6386</c:v>
                </c:pt>
                <c:pt idx="2346">
                  <c:v>104.7063</c:v>
                </c:pt>
                <c:pt idx="2347">
                  <c:v>104.73609999999999</c:v>
                </c:pt>
                <c:pt idx="2348">
                  <c:v>104.6206</c:v>
                </c:pt>
                <c:pt idx="2349">
                  <c:v>104.42019999999999</c:v>
                </c:pt>
                <c:pt idx="2350">
                  <c:v>104.5341</c:v>
                </c:pt>
                <c:pt idx="2351">
                  <c:v>104.34640000000002</c:v>
                </c:pt>
                <c:pt idx="2352">
                  <c:v>104.26860000000001</c:v>
                </c:pt>
                <c:pt idx="2353">
                  <c:v>104.29170000000002</c:v>
                </c:pt>
                <c:pt idx="2354">
                  <c:v>104.1151</c:v>
                </c:pt>
                <c:pt idx="2355">
                  <c:v>104.52070000000002</c:v>
                </c:pt>
                <c:pt idx="2356">
                  <c:v>104.6233</c:v>
                </c:pt>
                <c:pt idx="2357">
                  <c:v>104.4922</c:v>
                </c:pt>
                <c:pt idx="2358">
                  <c:v>104.54640000000001</c:v>
                </c:pt>
                <c:pt idx="2359">
                  <c:v>104.55240000000001</c:v>
                </c:pt>
                <c:pt idx="2360">
                  <c:v>104.658</c:v>
                </c:pt>
                <c:pt idx="2361">
                  <c:v>104.3964</c:v>
                </c:pt>
                <c:pt idx="2362">
                  <c:v>104.7878</c:v>
                </c:pt>
                <c:pt idx="2363">
                  <c:v>104.7381</c:v>
                </c:pt>
                <c:pt idx="2364">
                  <c:v>104.5372</c:v>
                </c:pt>
                <c:pt idx="2365">
                  <c:v>105.38670000000002</c:v>
                </c:pt>
                <c:pt idx="2366">
                  <c:v>104.5419</c:v>
                </c:pt>
                <c:pt idx="2367">
                  <c:v>104.5882</c:v>
                </c:pt>
                <c:pt idx="2368">
                  <c:v>104.5134</c:v>
                </c:pt>
                <c:pt idx="2369">
                  <c:v>104.62909999999999</c:v>
                </c:pt>
                <c:pt idx="2370">
                  <c:v>104.7285</c:v>
                </c:pt>
                <c:pt idx="2371">
                  <c:v>104.7295</c:v>
                </c:pt>
                <c:pt idx="2372">
                  <c:v>104.5445</c:v>
                </c:pt>
                <c:pt idx="2373">
                  <c:v>104.67210000000001</c:v>
                </c:pt>
                <c:pt idx="2374">
                  <c:v>104.76739999999999</c:v>
                </c:pt>
                <c:pt idx="2375">
                  <c:v>104.667</c:v>
                </c:pt>
                <c:pt idx="2376">
                  <c:v>104.59400000000001</c:v>
                </c:pt>
                <c:pt idx="2377">
                  <c:v>105.09690000000001</c:v>
                </c:pt>
                <c:pt idx="2378">
                  <c:v>104.85240000000002</c:v>
                </c:pt>
                <c:pt idx="2379">
                  <c:v>104.98390000000001</c:v>
                </c:pt>
                <c:pt idx="2380">
                  <c:v>104.669</c:v>
                </c:pt>
                <c:pt idx="2381">
                  <c:v>104.70580000000001</c:v>
                </c:pt>
                <c:pt idx="2382">
                  <c:v>104.79130000000001</c:v>
                </c:pt>
                <c:pt idx="2383">
                  <c:v>104.79290000000002</c:v>
                </c:pt>
                <c:pt idx="2384">
                  <c:v>104.8336</c:v>
                </c:pt>
                <c:pt idx="2385">
                  <c:v>104.9802</c:v>
                </c:pt>
                <c:pt idx="2386">
                  <c:v>104.74379999999999</c:v>
                </c:pt>
                <c:pt idx="2387">
                  <c:v>104.7578</c:v>
                </c:pt>
                <c:pt idx="2388">
                  <c:v>104.7841</c:v>
                </c:pt>
                <c:pt idx="2389">
                  <c:v>105.24760000000001</c:v>
                </c:pt>
                <c:pt idx="2390">
                  <c:v>104.9794</c:v>
                </c:pt>
                <c:pt idx="2391">
                  <c:v>104.953</c:v>
                </c:pt>
                <c:pt idx="2392">
                  <c:v>104.7807</c:v>
                </c:pt>
                <c:pt idx="2393">
                  <c:v>104.78440000000001</c:v>
                </c:pt>
                <c:pt idx="2394">
                  <c:v>105.0179</c:v>
                </c:pt>
                <c:pt idx="2395">
                  <c:v>105.00750000000001</c:v>
                </c:pt>
                <c:pt idx="2396">
                  <c:v>104.93429999999999</c:v>
                </c:pt>
                <c:pt idx="2397">
                  <c:v>105.1567</c:v>
                </c:pt>
                <c:pt idx="2398">
                  <c:v>104.7071</c:v>
                </c:pt>
                <c:pt idx="2399">
                  <c:v>104.67829999999999</c:v>
                </c:pt>
                <c:pt idx="2400">
                  <c:v>104.81400000000001</c:v>
                </c:pt>
                <c:pt idx="2401">
                  <c:v>104.74420000000002</c:v>
                </c:pt>
                <c:pt idx="2402">
                  <c:v>104.84520000000002</c:v>
                </c:pt>
                <c:pt idx="2403">
                  <c:v>104.7612</c:v>
                </c:pt>
                <c:pt idx="2404">
                  <c:v>104.7967</c:v>
                </c:pt>
                <c:pt idx="2405">
                  <c:v>104.70189999999999</c:v>
                </c:pt>
                <c:pt idx="2406">
                  <c:v>104.6489</c:v>
                </c:pt>
                <c:pt idx="2407">
                  <c:v>104.499</c:v>
                </c:pt>
                <c:pt idx="2408">
                  <c:v>104.59340000000002</c:v>
                </c:pt>
                <c:pt idx="2409">
                  <c:v>104.5155</c:v>
                </c:pt>
                <c:pt idx="2410">
                  <c:v>104.54989999999999</c:v>
                </c:pt>
                <c:pt idx="2411">
                  <c:v>104.56059999999999</c:v>
                </c:pt>
                <c:pt idx="2412">
                  <c:v>104.65</c:v>
                </c:pt>
                <c:pt idx="2413">
                  <c:v>104.5607</c:v>
                </c:pt>
                <c:pt idx="2414">
                  <c:v>104.4687</c:v>
                </c:pt>
                <c:pt idx="2415">
                  <c:v>104.6088</c:v>
                </c:pt>
                <c:pt idx="2416">
                  <c:v>104.6347</c:v>
                </c:pt>
                <c:pt idx="2417">
                  <c:v>104.6199</c:v>
                </c:pt>
                <c:pt idx="2418">
                  <c:v>104.61790000000001</c:v>
                </c:pt>
                <c:pt idx="2419">
                  <c:v>104.6375</c:v>
                </c:pt>
                <c:pt idx="2420">
                  <c:v>104.63190000000002</c:v>
                </c:pt>
                <c:pt idx="2421">
                  <c:v>104.72029999999999</c:v>
                </c:pt>
                <c:pt idx="2422">
                  <c:v>104.66850000000001</c:v>
                </c:pt>
                <c:pt idx="2423">
                  <c:v>104.6454</c:v>
                </c:pt>
                <c:pt idx="2424">
                  <c:v>104.7457</c:v>
                </c:pt>
                <c:pt idx="2425">
                  <c:v>104.803</c:v>
                </c:pt>
                <c:pt idx="2426">
                  <c:v>104.8505</c:v>
                </c:pt>
                <c:pt idx="2427">
                  <c:v>104.78510000000001</c:v>
                </c:pt>
                <c:pt idx="2428">
                  <c:v>104.8561</c:v>
                </c:pt>
                <c:pt idx="2429">
                  <c:v>104.7978</c:v>
                </c:pt>
                <c:pt idx="2430">
                  <c:v>104.7826</c:v>
                </c:pt>
                <c:pt idx="2431">
                  <c:v>104.9748</c:v>
                </c:pt>
                <c:pt idx="2432">
                  <c:v>104.9256</c:v>
                </c:pt>
                <c:pt idx="2433">
                  <c:v>104.8887</c:v>
                </c:pt>
                <c:pt idx="2434">
                  <c:v>104.67659999999999</c:v>
                </c:pt>
                <c:pt idx="2435">
                  <c:v>104.59780000000001</c:v>
                </c:pt>
                <c:pt idx="2436">
                  <c:v>104.42700000000001</c:v>
                </c:pt>
                <c:pt idx="2437">
                  <c:v>104.357</c:v>
                </c:pt>
                <c:pt idx="2438">
                  <c:v>104.60600000000001</c:v>
                </c:pt>
                <c:pt idx="2439">
                  <c:v>104.5697</c:v>
                </c:pt>
                <c:pt idx="2440">
                  <c:v>104.41079999999999</c:v>
                </c:pt>
                <c:pt idx="2441">
                  <c:v>104.45</c:v>
                </c:pt>
                <c:pt idx="2442">
                  <c:v>104.35300000000001</c:v>
                </c:pt>
                <c:pt idx="2443">
                  <c:v>104.3526</c:v>
                </c:pt>
                <c:pt idx="2444">
                  <c:v>104.3556</c:v>
                </c:pt>
                <c:pt idx="2445">
                  <c:v>104.3599</c:v>
                </c:pt>
                <c:pt idx="2446">
                  <c:v>104.2694</c:v>
                </c:pt>
                <c:pt idx="2447">
                  <c:v>104.3438</c:v>
                </c:pt>
                <c:pt idx="2448">
                  <c:v>104.28330000000001</c:v>
                </c:pt>
                <c:pt idx="2449">
                  <c:v>104.50630000000001</c:v>
                </c:pt>
                <c:pt idx="2450">
                  <c:v>104.4572</c:v>
                </c:pt>
                <c:pt idx="2451">
                  <c:v>104.4983</c:v>
                </c:pt>
                <c:pt idx="2452">
                  <c:v>104.6862</c:v>
                </c:pt>
                <c:pt idx="2453">
                  <c:v>104.6007</c:v>
                </c:pt>
                <c:pt idx="2454">
                  <c:v>104.60250000000001</c:v>
                </c:pt>
                <c:pt idx="2455">
                  <c:v>104.6211</c:v>
                </c:pt>
                <c:pt idx="2456">
                  <c:v>104.80629999999999</c:v>
                </c:pt>
                <c:pt idx="2457">
                  <c:v>104.7458</c:v>
                </c:pt>
                <c:pt idx="2458">
                  <c:v>104.7814</c:v>
                </c:pt>
                <c:pt idx="2459">
                  <c:v>104.69929999999999</c:v>
                </c:pt>
                <c:pt idx="2460">
                  <c:v>104.7657</c:v>
                </c:pt>
                <c:pt idx="2461">
                  <c:v>104.8053</c:v>
                </c:pt>
                <c:pt idx="2462">
                  <c:v>104.73220000000002</c:v>
                </c:pt>
                <c:pt idx="2463">
                  <c:v>104.6225</c:v>
                </c:pt>
                <c:pt idx="2464">
                  <c:v>104.4889</c:v>
                </c:pt>
                <c:pt idx="2465">
                  <c:v>104.49540000000002</c:v>
                </c:pt>
                <c:pt idx="2466">
                  <c:v>104.2663</c:v>
                </c:pt>
                <c:pt idx="2467">
                  <c:v>104.40050000000001</c:v>
                </c:pt>
                <c:pt idx="2468">
                  <c:v>104.30540000000001</c:v>
                </c:pt>
                <c:pt idx="2469">
                  <c:v>104.53510000000001</c:v>
                </c:pt>
                <c:pt idx="2470">
                  <c:v>104.53919999999999</c:v>
                </c:pt>
                <c:pt idx="2471">
                  <c:v>104.6551</c:v>
                </c:pt>
                <c:pt idx="2472">
                  <c:v>104.6981</c:v>
                </c:pt>
                <c:pt idx="2473">
                  <c:v>104.42059999999999</c:v>
                </c:pt>
                <c:pt idx="2474">
                  <c:v>104.53619999999999</c:v>
                </c:pt>
                <c:pt idx="2475">
                  <c:v>103.7754</c:v>
                </c:pt>
                <c:pt idx="2476">
                  <c:v>104.6212</c:v>
                </c:pt>
                <c:pt idx="2477">
                  <c:v>104.6238</c:v>
                </c:pt>
                <c:pt idx="2478">
                  <c:v>104.5915</c:v>
                </c:pt>
                <c:pt idx="2479">
                  <c:v>104.5842</c:v>
                </c:pt>
                <c:pt idx="2480">
                  <c:v>104.8719</c:v>
                </c:pt>
                <c:pt idx="2481">
                  <c:v>104.7651</c:v>
                </c:pt>
                <c:pt idx="2482">
                  <c:v>104.77809999999999</c:v>
                </c:pt>
                <c:pt idx="2483">
                  <c:v>104.68340000000001</c:v>
                </c:pt>
                <c:pt idx="2484">
                  <c:v>104.79230000000001</c:v>
                </c:pt>
                <c:pt idx="2485">
                  <c:v>104.67930000000001</c:v>
                </c:pt>
                <c:pt idx="2486">
                  <c:v>104.73569999999999</c:v>
                </c:pt>
                <c:pt idx="2487">
                  <c:v>104.8413</c:v>
                </c:pt>
                <c:pt idx="2488">
                  <c:v>104.7688</c:v>
                </c:pt>
                <c:pt idx="2489">
                  <c:v>104.81310000000001</c:v>
                </c:pt>
                <c:pt idx="2490">
                  <c:v>104.7834</c:v>
                </c:pt>
                <c:pt idx="2491">
                  <c:v>104.8451</c:v>
                </c:pt>
                <c:pt idx="2492">
                  <c:v>104.82559999999999</c:v>
                </c:pt>
                <c:pt idx="2493">
                  <c:v>104.83929999999999</c:v>
                </c:pt>
                <c:pt idx="2494">
                  <c:v>104.40260000000001</c:v>
                </c:pt>
                <c:pt idx="2495">
                  <c:v>104.72369999999999</c:v>
                </c:pt>
                <c:pt idx="2496">
                  <c:v>104.7915</c:v>
                </c:pt>
                <c:pt idx="2497">
                  <c:v>104.80929999999999</c:v>
                </c:pt>
                <c:pt idx="2498">
                  <c:v>104.7837</c:v>
                </c:pt>
                <c:pt idx="2499">
                  <c:v>104.6776</c:v>
                </c:pt>
                <c:pt idx="2500">
                  <c:v>104.64660000000001</c:v>
                </c:pt>
                <c:pt idx="2501">
                  <c:v>104.5029</c:v>
                </c:pt>
                <c:pt idx="2502">
                  <c:v>104.8163</c:v>
                </c:pt>
                <c:pt idx="2503">
                  <c:v>104.7217</c:v>
                </c:pt>
                <c:pt idx="2504">
                  <c:v>104.7728</c:v>
                </c:pt>
                <c:pt idx="2505">
                  <c:v>104.6627</c:v>
                </c:pt>
                <c:pt idx="2506">
                  <c:v>104.9434</c:v>
                </c:pt>
                <c:pt idx="2507">
                  <c:v>104.7871</c:v>
                </c:pt>
                <c:pt idx="2508">
                  <c:v>104.7735</c:v>
                </c:pt>
                <c:pt idx="2509">
                  <c:v>104.97440000000002</c:v>
                </c:pt>
                <c:pt idx="2510">
                  <c:v>104.8473</c:v>
                </c:pt>
                <c:pt idx="2511">
                  <c:v>104.8854</c:v>
                </c:pt>
                <c:pt idx="2512">
                  <c:v>105.0491</c:v>
                </c:pt>
                <c:pt idx="2513">
                  <c:v>104.9234</c:v>
                </c:pt>
                <c:pt idx="2514">
                  <c:v>105.0668</c:v>
                </c:pt>
                <c:pt idx="2515">
                  <c:v>105.06100000000001</c:v>
                </c:pt>
                <c:pt idx="2516">
                  <c:v>104.9413</c:v>
                </c:pt>
                <c:pt idx="2517">
                  <c:v>104.8117</c:v>
                </c:pt>
                <c:pt idx="2518">
                  <c:v>104.77</c:v>
                </c:pt>
                <c:pt idx="2519">
                  <c:v>104.9062</c:v>
                </c:pt>
                <c:pt idx="2520">
                  <c:v>105.0215</c:v>
                </c:pt>
                <c:pt idx="2521">
                  <c:v>104.8635</c:v>
                </c:pt>
                <c:pt idx="2522">
                  <c:v>104.68590000000002</c:v>
                </c:pt>
                <c:pt idx="2523">
                  <c:v>104.7997</c:v>
                </c:pt>
                <c:pt idx="2524">
                  <c:v>104.6815</c:v>
                </c:pt>
                <c:pt idx="2525">
                  <c:v>104.79940000000001</c:v>
                </c:pt>
                <c:pt idx="2526">
                  <c:v>104.66610000000001</c:v>
                </c:pt>
                <c:pt idx="2527">
                  <c:v>104.8877</c:v>
                </c:pt>
                <c:pt idx="2528">
                  <c:v>104.77200000000001</c:v>
                </c:pt>
                <c:pt idx="2529">
                  <c:v>104.6225</c:v>
                </c:pt>
                <c:pt idx="2530">
                  <c:v>104.56</c:v>
                </c:pt>
                <c:pt idx="2531">
                  <c:v>104.91630000000001</c:v>
                </c:pt>
                <c:pt idx="2532">
                  <c:v>104.6592</c:v>
                </c:pt>
                <c:pt idx="2533">
                  <c:v>105.06019999999999</c:v>
                </c:pt>
                <c:pt idx="2534">
                  <c:v>104.905</c:v>
                </c:pt>
                <c:pt idx="2535">
                  <c:v>105.13310000000001</c:v>
                </c:pt>
                <c:pt idx="2536">
                  <c:v>104.8415</c:v>
                </c:pt>
                <c:pt idx="2537">
                  <c:v>104.75570000000002</c:v>
                </c:pt>
                <c:pt idx="2538">
                  <c:v>104.75930000000001</c:v>
                </c:pt>
                <c:pt idx="2539">
                  <c:v>104.86440000000002</c:v>
                </c:pt>
                <c:pt idx="2540">
                  <c:v>104.72450000000001</c:v>
                </c:pt>
                <c:pt idx="2541">
                  <c:v>104.73439999999999</c:v>
                </c:pt>
                <c:pt idx="2542">
                  <c:v>104.73439999999999</c:v>
                </c:pt>
                <c:pt idx="2543">
                  <c:v>104.81229999999999</c:v>
                </c:pt>
                <c:pt idx="2544">
                  <c:v>104.82240000000002</c:v>
                </c:pt>
                <c:pt idx="2545">
                  <c:v>104.7221</c:v>
                </c:pt>
                <c:pt idx="2546">
                  <c:v>104.68940000000001</c:v>
                </c:pt>
                <c:pt idx="2547">
                  <c:v>104.96980000000001</c:v>
                </c:pt>
                <c:pt idx="2548">
                  <c:v>104.8569</c:v>
                </c:pt>
                <c:pt idx="2549">
                  <c:v>104.8669</c:v>
                </c:pt>
                <c:pt idx="2550">
                  <c:v>104.8154</c:v>
                </c:pt>
                <c:pt idx="2551">
                  <c:v>104.7197</c:v>
                </c:pt>
                <c:pt idx="2552">
                  <c:v>104.72750000000001</c:v>
                </c:pt>
                <c:pt idx="2553">
                  <c:v>104.85480000000001</c:v>
                </c:pt>
                <c:pt idx="2554">
                  <c:v>104.4996</c:v>
                </c:pt>
                <c:pt idx="2555">
                  <c:v>104.66379999999999</c:v>
                </c:pt>
                <c:pt idx="2556">
                  <c:v>104.7135</c:v>
                </c:pt>
                <c:pt idx="2557">
                  <c:v>104.7085</c:v>
                </c:pt>
                <c:pt idx="2558">
                  <c:v>104.49540000000002</c:v>
                </c:pt>
                <c:pt idx="2559">
                  <c:v>104.69200000000001</c:v>
                </c:pt>
                <c:pt idx="2560">
                  <c:v>104.19800000000001</c:v>
                </c:pt>
                <c:pt idx="2561">
                  <c:v>103.6969</c:v>
                </c:pt>
                <c:pt idx="2562">
                  <c:v>104.82559999999999</c:v>
                </c:pt>
                <c:pt idx="2563">
                  <c:v>104.7997</c:v>
                </c:pt>
                <c:pt idx="2564">
                  <c:v>105.17750000000001</c:v>
                </c:pt>
                <c:pt idx="2565">
                  <c:v>104.14360000000001</c:v>
                </c:pt>
                <c:pt idx="2566">
                  <c:v>104.77730000000001</c:v>
                </c:pt>
                <c:pt idx="2567">
                  <c:v>104.21550000000001</c:v>
                </c:pt>
                <c:pt idx="2568">
                  <c:v>105.06489999999999</c:v>
                </c:pt>
                <c:pt idx="2569">
                  <c:v>104.779</c:v>
                </c:pt>
                <c:pt idx="2570">
                  <c:v>104.8643</c:v>
                </c:pt>
                <c:pt idx="2571">
                  <c:v>104.8</c:v>
                </c:pt>
                <c:pt idx="2572">
                  <c:v>104.6889</c:v>
                </c:pt>
                <c:pt idx="2573">
                  <c:v>104.8357</c:v>
                </c:pt>
                <c:pt idx="2574">
                  <c:v>104.7814</c:v>
                </c:pt>
                <c:pt idx="2575">
                  <c:v>104.79470000000002</c:v>
                </c:pt>
                <c:pt idx="2576">
                  <c:v>104.2128</c:v>
                </c:pt>
                <c:pt idx="2577">
                  <c:v>104.30589999999999</c:v>
                </c:pt>
                <c:pt idx="2578">
                  <c:v>104.295</c:v>
                </c:pt>
                <c:pt idx="2579">
                  <c:v>104.4889</c:v>
                </c:pt>
                <c:pt idx="2580">
                  <c:v>104.8122</c:v>
                </c:pt>
                <c:pt idx="2581">
                  <c:v>104.8113</c:v>
                </c:pt>
                <c:pt idx="2582">
                  <c:v>105.2658</c:v>
                </c:pt>
                <c:pt idx="2583">
                  <c:v>104.7996</c:v>
                </c:pt>
                <c:pt idx="2584">
                  <c:v>104.7814</c:v>
                </c:pt>
                <c:pt idx="2585">
                  <c:v>104.8103</c:v>
                </c:pt>
                <c:pt idx="2586">
                  <c:v>104.4435</c:v>
                </c:pt>
                <c:pt idx="2587">
                  <c:v>104.39579999999999</c:v>
                </c:pt>
                <c:pt idx="2588">
                  <c:v>104.8309</c:v>
                </c:pt>
                <c:pt idx="2589">
                  <c:v>104.8205</c:v>
                </c:pt>
                <c:pt idx="2590">
                  <c:v>104.6816</c:v>
                </c:pt>
                <c:pt idx="2591">
                  <c:v>104.682</c:v>
                </c:pt>
                <c:pt idx="2592">
                  <c:v>104.31440000000001</c:v>
                </c:pt>
                <c:pt idx="2593">
                  <c:v>104.7517</c:v>
                </c:pt>
                <c:pt idx="2594">
                  <c:v>104.8599</c:v>
                </c:pt>
                <c:pt idx="2595">
                  <c:v>104.4049</c:v>
                </c:pt>
                <c:pt idx="2596">
                  <c:v>104.95640000000002</c:v>
                </c:pt>
                <c:pt idx="2597">
                  <c:v>104.7697</c:v>
                </c:pt>
                <c:pt idx="2598">
                  <c:v>104.77379999999999</c:v>
                </c:pt>
                <c:pt idx="2599">
                  <c:v>104.77419999999999</c:v>
                </c:pt>
                <c:pt idx="2600">
                  <c:v>105.3353</c:v>
                </c:pt>
                <c:pt idx="2601">
                  <c:v>105.2872</c:v>
                </c:pt>
                <c:pt idx="2602">
                  <c:v>104.3522</c:v>
                </c:pt>
                <c:pt idx="2603">
                  <c:v>104.39360000000001</c:v>
                </c:pt>
                <c:pt idx="2604">
                  <c:v>104.78740000000001</c:v>
                </c:pt>
                <c:pt idx="2605">
                  <c:v>105.08150000000001</c:v>
                </c:pt>
                <c:pt idx="2606">
                  <c:v>105.1074</c:v>
                </c:pt>
                <c:pt idx="2607">
                  <c:v>104.895</c:v>
                </c:pt>
                <c:pt idx="2608">
                  <c:v>104.8437</c:v>
                </c:pt>
                <c:pt idx="2609">
                  <c:v>104.3</c:v>
                </c:pt>
                <c:pt idx="2610">
                  <c:v>104.79219999999999</c:v>
                </c:pt>
                <c:pt idx="2611">
                  <c:v>104.8925</c:v>
                </c:pt>
                <c:pt idx="2612">
                  <c:v>105.32850000000001</c:v>
                </c:pt>
                <c:pt idx="2613">
                  <c:v>105.2246</c:v>
                </c:pt>
                <c:pt idx="2614">
                  <c:v>104.7889</c:v>
                </c:pt>
                <c:pt idx="2615">
                  <c:v>104.7974</c:v>
                </c:pt>
                <c:pt idx="2616">
                  <c:v>104.75709999999999</c:v>
                </c:pt>
                <c:pt idx="2617">
                  <c:v>104.9374</c:v>
                </c:pt>
                <c:pt idx="2618">
                  <c:v>104.8172</c:v>
                </c:pt>
                <c:pt idx="2619">
                  <c:v>104.80310000000001</c:v>
                </c:pt>
                <c:pt idx="2620">
                  <c:v>104.21550000000001</c:v>
                </c:pt>
                <c:pt idx="2621">
                  <c:v>104.7795</c:v>
                </c:pt>
                <c:pt idx="2622">
                  <c:v>104.8913</c:v>
                </c:pt>
                <c:pt idx="2623">
                  <c:v>104.7324</c:v>
                </c:pt>
                <c:pt idx="2624">
                  <c:v>104.679</c:v>
                </c:pt>
                <c:pt idx="2625">
                  <c:v>104.1486</c:v>
                </c:pt>
                <c:pt idx="2626">
                  <c:v>104.1538</c:v>
                </c:pt>
                <c:pt idx="2627">
                  <c:v>104.34880000000001</c:v>
                </c:pt>
                <c:pt idx="2628">
                  <c:v>104.79389999999999</c:v>
                </c:pt>
                <c:pt idx="2629">
                  <c:v>104.8086</c:v>
                </c:pt>
                <c:pt idx="2630">
                  <c:v>103.7373</c:v>
                </c:pt>
                <c:pt idx="2631">
                  <c:v>104.36150000000001</c:v>
                </c:pt>
                <c:pt idx="2632">
                  <c:v>104.80419999999999</c:v>
                </c:pt>
                <c:pt idx="2633">
                  <c:v>104.7483</c:v>
                </c:pt>
                <c:pt idx="2634">
                  <c:v>104.79710000000001</c:v>
                </c:pt>
                <c:pt idx="2635">
                  <c:v>104.9222</c:v>
                </c:pt>
                <c:pt idx="2636">
                  <c:v>104.79950000000001</c:v>
                </c:pt>
                <c:pt idx="2637">
                  <c:v>104.7835</c:v>
                </c:pt>
                <c:pt idx="2638">
                  <c:v>104.77850000000001</c:v>
                </c:pt>
                <c:pt idx="2639">
                  <c:v>104.8758</c:v>
                </c:pt>
                <c:pt idx="2640">
                  <c:v>104.8926</c:v>
                </c:pt>
                <c:pt idx="2641">
                  <c:v>104.80459999999999</c:v>
                </c:pt>
                <c:pt idx="2642">
                  <c:v>104.81760000000001</c:v>
                </c:pt>
                <c:pt idx="2643">
                  <c:v>104.82600000000001</c:v>
                </c:pt>
                <c:pt idx="2644">
                  <c:v>104.7976</c:v>
                </c:pt>
                <c:pt idx="2645">
                  <c:v>105.3259</c:v>
                </c:pt>
                <c:pt idx="2646">
                  <c:v>104.8165</c:v>
                </c:pt>
                <c:pt idx="2647">
                  <c:v>104.8165</c:v>
                </c:pt>
                <c:pt idx="2648">
                  <c:v>104.8359</c:v>
                </c:pt>
                <c:pt idx="2649">
                  <c:v>104.82900000000001</c:v>
                </c:pt>
                <c:pt idx="2650">
                  <c:v>104.7679</c:v>
                </c:pt>
                <c:pt idx="2651">
                  <c:v>104.76430000000001</c:v>
                </c:pt>
                <c:pt idx="2652">
                  <c:v>105.027</c:v>
                </c:pt>
                <c:pt idx="2653">
                  <c:v>104.7163</c:v>
                </c:pt>
                <c:pt idx="2654">
                  <c:v>105.1833</c:v>
                </c:pt>
                <c:pt idx="2655">
                  <c:v>105.1118</c:v>
                </c:pt>
                <c:pt idx="2656">
                  <c:v>104.866</c:v>
                </c:pt>
                <c:pt idx="2657">
                  <c:v>104.7684</c:v>
                </c:pt>
                <c:pt idx="2658">
                  <c:v>104.8335</c:v>
                </c:pt>
                <c:pt idx="2659">
                  <c:v>104.80459999999999</c:v>
                </c:pt>
                <c:pt idx="2660">
                  <c:v>105.07559999999999</c:v>
                </c:pt>
                <c:pt idx="2661">
                  <c:v>105.11800000000001</c:v>
                </c:pt>
                <c:pt idx="2662">
                  <c:v>105.047</c:v>
                </c:pt>
                <c:pt idx="2663">
                  <c:v>104.79519999999999</c:v>
                </c:pt>
                <c:pt idx="2664">
                  <c:v>104.2281</c:v>
                </c:pt>
                <c:pt idx="2665">
                  <c:v>104.99769999999999</c:v>
                </c:pt>
                <c:pt idx="2666">
                  <c:v>105.1401</c:v>
                </c:pt>
                <c:pt idx="2667">
                  <c:v>104.53330000000001</c:v>
                </c:pt>
                <c:pt idx="2668">
                  <c:v>104.53330000000001</c:v>
                </c:pt>
                <c:pt idx="2669">
                  <c:v>104.54300000000001</c:v>
                </c:pt>
                <c:pt idx="2670">
                  <c:v>104.75660000000001</c:v>
                </c:pt>
                <c:pt idx="2671">
                  <c:v>104.3389</c:v>
                </c:pt>
                <c:pt idx="2672">
                  <c:v>104.5522</c:v>
                </c:pt>
                <c:pt idx="2673">
                  <c:v>105.0108</c:v>
                </c:pt>
                <c:pt idx="2674">
                  <c:v>105.17789999999999</c:v>
                </c:pt>
                <c:pt idx="2675">
                  <c:v>105.15389999999999</c:v>
                </c:pt>
                <c:pt idx="2676">
                  <c:v>105.0883</c:v>
                </c:pt>
                <c:pt idx="2677">
                  <c:v>105.08140000000002</c:v>
                </c:pt>
                <c:pt idx="2678">
                  <c:v>104.76900000000001</c:v>
                </c:pt>
                <c:pt idx="2679">
                  <c:v>105.01309999999999</c:v>
                </c:pt>
                <c:pt idx="2680">
                  <c:v>104.3373</c:v>
                </c:pt>
                <c:pt idx="2681">
                  <c:v>104.754</c:v>
                </c:pt>
                <c:pt idx="2682">
                  <c:v>104.754</c:v>
                </c:pt>
                <c:pt idx="2683">
                  <c:v>104.7577</c:v>
                </c:pt>
                <c:pt idx="2684">
                  <c:v>105.0998</c:v>
                </c:pt>
                <c:pt idx="2685">
                  <c:v>105.0607</c:v>
                </c:pt>
                <c:pt idx="2686">
                  <c:v>104.79470000000002</c:v>
                </c:pt>
                <c:pt idx="2687">
                  <c:v>104.7974</c:v>
                </c:pt>
                <c:pt idx="2688">
                  <c:v>104.21339999999999</c:v>
                </c:pt>
                <c:pt idx="2689">
                  <c:v>104.21339999999999</c:v>
                </c:pt>
                <c:pt idx="2690">
                  <c:v>104.5262</c:v>
                </c:pt>
                <c:pt idx="2691">
                  <c:v>104.81520000000002</c:v>
                </c:pt>
                <c:pt idx="2692">
                  <c:v>104.50750000000001</c:v>
                </c:pt>
                <c:pt idx="2693">
                  <c:v>104.3319</c:v>
                </c:pt>
                <c:pt idx="2694">
                  <c:v>105.16550000000001</c:v>
                </c:pt>
                <c:pt idx="2695">
                  <c:v>104.3954</c:v>
                </c:pt>
                <c:pt idx="2696">
                  <c:v>104.4195</c:v>
                </c:pt>
                <c:pt idx="2697">
                  <c:v>104.5257</c:v>
                </c:pt>
                <c:pt idx="2698">
                  <c:v>104.66630000000001</c:v>
                </c:pt>
                <c:pt idx="2699">
                  <c:v>105.3844</c:v>
                </c:pt>
                <c:pt idx="2700">
                  <c:v>104.5992</c:v>
                </c:pt>
                <c:pt idx="2701">
                  <c:v>104.8826</c:v>
                </c:pt>
                <c:pt idx="2702">
                  <c:v>105.21729999999999</c:v>
                </c:pt>
                <c:pt idx="2703">
                  <c:v>105.23340000000002</c:v>
                </c:pt>
                <c:pt idx="2704">
                  <c:v>104.93590000000002</c:v>
                </c:pt>
                <c:pt idx="2705">
                  <c:v>104.99840000000002</c:v>
                </c:pt>
                <c:pt idx="2706">
                  <c:v>104.8533</c:v>
                </c:pt>
                <c:pt idx="2707">
                  <c:v>104.5091</c:v>
                </c:pt>
                <c:pt idx="2708">
                  <c:v>104.94840000000001</c:v>
                </c:pt>
                <c:pt idx="2709">
                  <c:v>104.2081</c:v>
                </c:pt>
                <c:pt idx="2710">
                  <c:v>104.2273</c:v>
                </c:pt>
                <c:pt idx="2711">
                  <c:v>104.30629999999999</c:v>
                </c:pt>
                <c:pt idx="2712">
                  <c:v>104.61069999999999</c:v>
                </c:pt>
                <c:pt idx="2713">
                  <c:v>104.61069999999999</c:v>
                </c:pt>
                <c:pt idx="2714">
                  <c:v>104.4328</c:v>
                </c:pt>
                <c:pt idx="2715">
                  <c:v>105.2137</c:v>
                </c:pt>
                <c:pt idx="2716">
                  <c:v>104.7645</c:v>
                </c:pt>
                <c:pt idx="2717">
                  <c:v>104.7573</c:v>
                </c:pt>
                <c:pt idx="2718">
                  <c:v>104.7251</c:v>
                </c:pt>
                <c:pt idx="2719">
                  <c:v>104.77130000000001</c:v>
                </c:pt>
                <c:pt idx="2720">
                  <c:v>104.8473</c:v>
                </c:pt>
                <c:pt idx="2721">
                  <c:v>104.809</c:v>
                </c:pt>
                <c:pt idx="2722">
                  <c:v>104.8425</c:v>
                </c:pt>
                <c:pt idx="2723">
                  <c:v>104.7415</c:v>
                </c:pt>
                <c:pt idx="2724">
                  <c:v>104.7093</c:v>
                </c:pt>
                <c:pt idx="2725">
                  <c:v>104.77889999999999</c:v>
                </c:pt>
                <c:pt idx="2726">
                  <c:v>105.37950000000001</c:v>
                </c:pt>
                <c:pt idx="2727">
                  <c:v>105.0218</c:v>
                </c:pt>
                <c:pt idx="2728">
                  <c:v>104.83260000000001</c:v>
                </c:pt>
                <c:pt idx="2729">
                  <c:v>104.9301</c:v>
                </c:pt>
                <c:pt idx="2730">
                  <c:v>104.5107</c:v>
                </c:pt>
                <c:pt idx="2731">
                  <c:v>104.54290000000002</c:v>
                </c:pt>
                <c:pt idx="2732">
                  <c:v>104.5326</c:v>
                </c:pt>
                <c:pt idx="2733">
                  <c:v>104.8276</c:v>
                </c:pt>
                <c:pt idx="2734">
                  <c:v>104.17189999999999</c:v>
                </c:pt>
                <c:pt idx="2735">
                  <c:v>104.6229</c:v>
                </c:pt>
                <c:pt idx="2736">
                  <c:v>104.53489999999999</c:v>
                </c:pt>
                <c:pt idx="2737">
                  <c:v>104.6485</c:v>
                </c:pt>
                <c:pt idx="2738">
                  <c:v>104.65009999999999</c:v>
                </c:pt>
                <c:pt idx="2739">
                  <c:v>104.6332</c:v>
                </c:pt>
                <c:pt idx="2740">
                  <c:v>104.971</c:v>
                </c:pt>
                <c:pt idx="2741">
                  <c:v>104.84529999999999</c:v>
                </c:pt>
                <c:pt idx="2742">
                  <c:v>104.73779999999999</c:v>
                </c:pt>
                <c:pt idx="2743">
                  <c:v>106.08459999999999</c:v>
                </c:pt>
                <c:pt idx="2744">
                  <c:v>105.79890000000002</c:v>
                </c:pt>
                <c:pt idx="2745">
                  <c:v>105.9134</c:v>
                </c:pt>
                <c:pt idx="2746">
                  <c:v>105.95880000000001</c:v>
                </c:pt>
                <c:pt idx="2747">
                  <c:v>105.22669999999999</c:v>
                </c:pt>
                <c:pt idx="2748">
                  <c:v>105.2589</c:v>
                </c:pt>
                <c:pt idx="2749">
                  <c:v>105.54770000000002</c:v>
                </c:pt>
                <c:pt idx="2750">
                  <c:v>105.14810000000001</c:v>
                </c:pt>
                <c:pt idx="2751">
                  <c:v>104.6977</c:v>
                </c:pt>
                <c:pt idx="2752">
                  <c:v>104.6977</c:v>
                </c:pt>
                <c:pt idx="2753">
                  <c:v>104.82480000000001</c:v>
                </c:pt>
                <c:pt idx="2754">
                  <c:v>105.16550000000001</c:v>
                </c:pt>
                <c:pt idx="2755">
                  <c:v>105.2826</c:v>
                </c:pt>
                <c:pt idx="2756">
                  <c:v>105.26050000000001</c:v>
                </c:pt>
                <c:pt idx="2757">
                  <c:v>104.1476</c:v>
                </c:pt>
                <c:pt idx="2758">
                  <c:v>105.1849</c:v>
                </c:pt>
                <c:pt idx="2759">
                  <c:v>105.14530000000001</c:v>
                </c:pt>
                <c:pt idx="2760">
                  <c:v>105.1472</c:v>
                </c:pt>
                <c:pt idx="2761">
                  <c:v>105.3232</c:v>
                </c:pt>
                <c:pt idx="2762">
                  <c:v>105.3336</c:v>
                </c:pt>
                <c:pt idx="2763">
                  <c:v>104.4405</c:v>
                </c:pt>
                <c:pt idx="2764">
                  <c:v>105.5699</c:v>
                </c:pt>
                <c:pt idx="2765">
                  <c:v>104.973</c:v>
                </c:pt>
                <c:pt idx="2766">
                  <c:v>104.968</c:v>
                </c:pt>
                <c:pt idx="2767">
                  <c:v>104.9284</c:v>
                </c:pt>
                <c:pt idx="2768">
                  <c:v>104.4659</c:v>
                </c:pt>
                <c:pt idx="2769">
                  <c:v>105.4824</c:v>
                </c:pt>
                <c:pt idx="2770">
                  <c:v>105.352</c:v>
                </c:pt>
                <c:pt idx="2771">
                  <c:v>105.0436</c:v>
                </c:pt>
                <c:pt idx="2772">
                  <c:v>105.3459</c:v>
                </c:pt>
                <c:pt idx="2773">
                  <c:v>105.3459</c:v>
                </c:pt>
                <c:pt idx="2774">
                  <c:v>106.245</c:v>
                </c:pt>
                <c:pt idx="2775">
                  <c:v>105.3976</c:v>
                </c:pt>
                <c:pt idx="2776">
                  <c:v>105.8976</c:v>
                </c:pt>
                <c:pt idx="2777">
                  <c:v>105.172</c:v>
                </c:pt>
                <c:pt idx="2778">
                  <c:v>104.9547</c:v>
                </c:pt>
                <c:pt idx="2779">
                  <c:v>104.6474</c:v>
                </c:pt>
                <c:pt idx="2780">
                  <c:v>104.64919999999999</c:v>
                </c:pt>
                <c:pt idx="2781">
                  <c:v>104.66970000000002</c:v>
                </c:pt>
                <c:pt idx="2782">
                  <c:v>105.3998</c:v>
                </c:pt>
                <c:pt idx="2783">
                  <c:v>105.4941</c:v>
                </c:pt>
                <c:pt idx="2784">
                  <c:v>104.75920000000001</c:v>
                </c:pt>
                <c:pt idx="2785">
                  <c:v>105.11860000000001</c:v>
                </c:pt>
                <c:pt idx="2786">
                  <c:v>105.3104</c:v>
                </c:pt>
                <c:pt idx="2787">
                  <c:v>105.32900000000001</c:v>
                </c:pt>
                <c:pt idx="2788">
                  <c:v>105.25620000000001</c:v>
                </c:pt>
                <c:pt idx="2789">
                  <c:v>104.89810000000001</c:v>
                </c:pt>
                <c:pt idx="2790">
                  <c:v>105.2886</c:v>
                </c:pt>
                <c:pt idx="2791">
                  <c:v>104.84780000000001</c:v>
                </c:pt>
                <c:pt idx="2792">
                  <c:v>105.2831</c:v>
                </c:pt>
                <c:pt idx="2793">
                  <c:v>104.43290000000002</c:v>
                </c:pt>
                <c:pt idx="2794">
                  <c:v>104.4332</c:v>
                </c:pt>
                <c:pt idx="2795">
                  <c:v>105.01260000000001</c:v>
                </c:pt>
                <c:pt idx="2796">
                  <c:v>105.02889999999999</c:v>
                </c:pt>
                <c:pt idx="2797">
                  <c:v>105.8267</c:v>
                </c:pt>
                <c:pt idx="2798">
                  <c:v>105.72500000000001</c:v>
                </c:pt>
                <c:pt idx="2799">
                  <c:v>104.7183</c:v>
                </c:pt>
                <c:pt idx="2800">
                  <c:v>105.693</c:v>
                </c:pt>
                <c:pt idx="2801">
                  <c:v>105.693</c:v>
                </c:pt>
                <c:pt idx="2802">
                  <c:v>105.25810000000001</c:v>
                </c:pt>
                <c:pt idx="2803">
                  <c:v>105.19880000000001</c:v>
                </c:pt>
                <c:pt idx="2804">
                  <c:v>105.3105</c:v>
                </c:pt>
                <c:pt idx="2805">
                  <c:v>105.27800000000001</c:v>
                </c:pt>
                <c:pt idx="2806">
                  <c:v>105.04430000000001</c:v>
                </c:pt>
                <c:pt idx="2807">
                  <c:v>105.63339999999999</c:v>
                </c:pt>
                <c:pt idx="2808">
                  <c:v>105.6238</c:v>
                </c:pt>
                <c:pt idx="2809">
                  <c:v>105.63730000000001</c:v>
                </c:pt>
                <c:pt idx="2810">
                  <c:v>105.8301</c:v>
                </c:pt>
                <c:pt idx="2811">
                  <c:v>105.0968</c:v>
                </c:pt>
                <c:pt idx="2812">
                  <c:v>106.2488</c:v>
                </c:pt>
                <c:pt idx="2813">
                  <c:v>105.25530000000001</c:v>
                </c:pt>
                <c:pt idx="2814">
                  <c:v>105.3616</c:v>
                </c:pt>
                <c:pt idx="2815">
                  <c:v>105.38079999999999</c:v>
                </c:pt>
                <c:pt idx="2816">
                  <c:v>105.4242</c:v>
                </c:pt>
                <c:pt idx="2817">
                  <c:v>105.4268</c:v>
                </c:pt>
                <c:pt idx="2818">
                  <c:v>105.3629</c:v>
                </c:pt>
                <c:pt idx="2819">
                  <c:v>105.36409999999999</c:v>
                </c:pt>
                <c:pt idx="2820">
                  <c:v>105.0575</c:v>
                </c:pt>
                <c:pt idx="2821">
                  <c:v>105.2758</c:v>
                </c:pt>
                <c:pt idx="2822">
                  <c:v>105.2758</c:v>
                </c:pt>
                <c:pt idx="2823">
                  <c:v>105.5217</c:v>
                </c:pt>
                <c:pt idx="2824">
                  <c:v>105.3694</c:v>
                </c:pt>
                <c:pt idx="2825">
                  <c:v>105.375</c:v>
                </c:pt>
                <c:pt idx="2826">
                  <c:v>105.38509999999999</c:v>
                </c:pt>
                <c:pt idx="2827">
                  <c:v>105.4324</c:v>
                </c:pt>
                <c:pt idx="2828">
                  <c:v>105.9996</c:v>
                </c:pt>
                <c:pt idx="2829">
                  <c:v>105.9996</c:v>
                </c:pt>
                <c:pt idx="2830">
                  <c:v>105.89450000000001</c:v>
                </c:pt>
                <c:pt idx="2831">
                  <c:v>105.5149</c:v>
                </c:pt>
                <c:pt idx="2832">
                  <c:v>105.55759999999999</c:v>
                </c:pt>
                <c:pt idx="2833">
                  <c:v>105.50709999999999</c:v>
                </c:pt>
                <c:pt idx="2834">
                  <c:v>105.65089999999999</c:v>
                </c:pt>
                <c:pt idx="2835">
                  <c:v>105.0517</c:v>
                </c:pt>
                <c:pt idx="2836">
                  <c:v>105.01390000000001</c:v>
                </c:pt>
                <c:pt idx="2837">
                  <c:v>105.00810000000001</c:v>
                </c:pt>
                <c:pt idx="2838">
                  <c:v>105.2894</c:v>
                </c:pt>
                <c:pt idx="2839">
                  <c:v>105.00109999999999</c:v>
                </c:pt>
                <c:pt idx="2840">
                  <c:v>104.834</c:v>
                </c:pt>
                <c:pt idx="2841">
                  <c:v>105.2642</c:v>
                </c:pt>
                <c:pt idx="2842">
                  <c:v>105.37530000000001</c:v>
                </c:pt>
                <c:pt idx="2843">
                  <c:v>105.383</c:v>
                </c:pt>
                <c:pt idx="2844">
                  <c:v>105.36980000000001</c:v>
                </c:pt>
                <c:pt idx="2845">
                  <c:v>105.29</c:v>
                </c:pt>
                <c:pt idx="2846">
                  <c:v>105.28579999999999</c:v>
                </c:pt>
                <c:pt idx="2847">
                  <c:v>104.95959999999999</c:v>
                </c:pt>
                <c:pt idx="2848">
                  <c:v>105.0236</c:v>
                </c:pt>
                <c:pt idx="2849">
                  <c:v>105.4104</c:v>
                </c:pt>
                <c:pt idx="2850">
                  <c:v>105.36239999999999</c:v>
                </c:pt>
                <c:pt idx="2851">
                  <c:v>105.3766</c:v>
                </c:pt>
                <c:pt idx="2852">
                  <c:v>105.3433</c:v>
                </c:pt>
                <c:pt idx="2853">
                  <c:v>105.3098</c:v>
                </c:pt>
                <c:pt idx="2854">
                  <c:v>105.0076</c:v>
                </c:pt>
                <c:pt idx="2855">
                  <c:v>105.4015</c:v>
                </c:pt>
                <c:pt idx="2856">
                  <c:v>105.54389999999999</c:v>
                </c:pt>
                <c:pt idx="2857">
                  <c:v>105.54389999999999</c:v>
                </c:pt>
                <c:pt idx="2858">
                  <c:v>105.5132</c:v>
                </c:pt>
                <c:pt idx="2859">
                  <c:v>105.25990000000002</c:v>
                </c:pt>
                <c:pt idx="2860">
                  <c:v>105.2236</c:v>
                </c:pt>
                <c:pt idx="2861">
                  <c:v>105.48390000000001</c:v>
                </c:pt>
                <c:pt idx="2862">
                  <c:v>105.1255</c:v>
                </c:pt>
                <c:pt idx="2863">
                  <c:v>105.62090000000001</c:v>
                </c:pt>
                <c:pt idx="2864">
                  <c:v>105.62090000000001</c:v>
                </c:pt>
                <c:pt idx="2865">
                  <c:v>105.50450000000001</c:v>
                </c:pt>
                <c:pt idx="2866">
                  <c:v>105.2119</c:v>
                </c:pt>
                <c:pt idx="2867">
                  <c:v>105.12609999999999</c:v>
                </c:pt>
                <c:pt idx="2868">
                  <c:v>105.16250000000001</c:v>
                </c:pt>
                <c:pt idx="2869">
                  <c:v>105.1217</c:v>
                </c:pt>
                <c:pt idx="2870">
                  <c:v>104.8691</c:v>
                </c:pt>
                <c:pt idx="2871">
                  <c:v>104.7392</c:v>
                </c:pt>
                <c:pt idx="2872">
                  <c:v>104.23609999999999</c:v>
                </c:pt>
                <c:pt idx="2873">
                  <c:v>105.35000000000001</c:v>
                </c:pt>
                <c:pt idx="2874">
                  <c:v>104.6161</c:v>
                </c:pt>
                <c:pt idx="2875">
                  <c:v>105.4222</c:v>
                </c:pt>
                <c:pt idx="2876">
                  <c:v>105.2371</c:v>
                </c:pt>
                <c:pt idx="2877">
                  <c:v>105.4391</c:v>
                </c:pt>
                <c:pt idx="2878">
                  <c:v>105.4391</c:v>
                </c:pt>
                <c:pt idx="2879">
                  <c:v>105.4374</c:v>
                </c:pt>
                <c:pt idx="2880">
                  <c:v>105.6814</c:v>
                </c:pt>
                <c:pt idx="2881">
                  <c:v>105.2162</c:v>
                </c:pt>
                <c:pt idx="2882">
                  <c:v>104.7756</c:v>
                </c:pt>
                <c:pt idx="2883">
                  <c:v>105.27809999999999</c:v>
                </c:pt>
                <c:pt idx="2884">
                  <c:v>105.2321</c:v>
                </c:pt>
                <c:pt idx="2885">
                  <c:v>105.2303</c:v>
                </c:pt>
                <c:pt idx="2886">
                  <c:v>104.746</c:v>
                </c:pt>
                <c:pt idx="2887">
                  <c:v>105.8245</c:v>
                </c:pt>
                <c:pt idx="2888">
                  <c:v>105.7771</c:v>
                </c:pt>
                <c:pt idx="2889">
                  <c:v>105.3904</c:v>
                </c:pt>
                <c:pt idx="2890">
                  <c:v>105.32600000000001</c:v>
                </c:pt>
                <c:pt idx="2891">
                  <c:v>105.40219999999999</c:v>
                </c:pt>
                <c:pt idx="2892">
                  <c:v>105.40219999999999</c:v>
                </c:pt>
                <c:pt idx="2893">
                  <c:v>105.39190000000001</c:v>
                </c:pt>
                <c:pt idx="2894">
                  <c:v>105.4</c:v>
                </c:pt>
                <c:pt idx="2895">
                  <c:v>105.7354</c:v>
                </c:pt>
                <c:pt idx="2896">
                  <c:v>105.5594</c:v>
                </c:pt>
                <c:pt idx="2897">
                  <c:v>105.4295</c:v>
                </c:pt>
                <c:pt idx="2898">
                  <c:v>105.9</c:v>
                </c:pt>
                <c:pt idx="2899">
                  <c:v>105.7273</c:v>
                </c:pt>
                <c:pt idx="2900">
                  <c:v>105.768</c:v>
                </c:pt>
                <c:pt idx="2901">
                  <c:v>107.6122</c:v>
                </c:pt>
                <c:pt idx="2902">
                  <c:v>108.9554</c:v>
                </c:pt>
                <c:pt idx="2903">
                  <c:v>108.6725</c:v>
                </c:pt>
                <c:pt idx="2904">
                  <c:v>110.27610000000001</c:v>
                </c:pt>
                <c:pt idx="2905">
                  <c:v>110.3325</c:v>
                </c:pt>
                <c:pt idx="2906">
                  <c:v>110.3325</c:v>
                </c:pt>
                <c:pt idx="2907">
                  <c:v>110.24060000000001</c:v>
                </c:pt>
                <c:pt idx="2908">
                  <c:v>109.9691</c:v>
                </c:pt>
                <c:pt idx="2909">
                  <c:v>110.32389999999999</c:v>
                </c:pt>
                <c:pt idx="2910">
                  <c:v>110.5498</c:v>
                </c:pt>
                <c:pt idx="2911">
                  <c:v>110.66310000000001</c:v>
                </c:pt>
                <c:pt idx="2912">
                  <c:v>110.59990000000001</c:v>
                </c:pt>
                <c:pt idx="2913">
                  <c:v>110.60000000000001</c:v>
                </c:pt>
                <c:pt idx="2914">
                  <c:v>110.5945</c:v>
                </c:pt>
                <c:pt idx="2915">
                  <c:v>110.50920000000001</c:v>
                </c:pt>
                <c:pt idx="2916">
                  <c:v>110.64</c:v>
                </c:pt>
                <c:pt idx="2917">
                  <c:v>110.65050000000001</c:v>
                </c:pt>
                <c:pt idx="2918">
                  <c:v>110.65590000000002</c:v>
                </c:pt>
                <c:pt idx="2919">
                  <c:v>110.5228</c:v>
                </c:pt>
                <c:pt idx="2920">
                  <c:v>110.5228</c:v>
                </c:pt>
                <c:pt idx="2921">
                  <c:v>110.55610000000001</c:v>
                </c:pt>
                <c:pt idx="2922">
                  <c:v>110.4126</c:v>
                </c:pt>
                <c:pt idx="2923">
                  <c:v>110.7458</c:v>
                </c:pt>
                <c:pt idx="2924">
                  <c:v>110.74809999999999</c:v>
                </c:pt>
                <c:pt idx="2925">
                  <c:v>110.6448</c:v>
                </c:pt>
                <c:pt idx="2926">
                  <c:v>110.9503</c:v>
                </c:pt>
                <c:pt idx="2927">
                  <c:v>110.9503</c:v>
                </c:pt>
                <c:pt idx="2928">
                  <c:v>110.87340000000002</c:v>
                </c:pt>
                <c:pt idx="2929">
                  <c:v>110.88010000000001</c:v>
                </c:pt>
                <c:pt idx="2930">
                  <c:v>110.65350000000001</c:v>
                </c:pt>
                <c:pt idx="2931">
                  <c:v>110.64660000000001</c:v>
                </c:pt>
                <c:pt idx="2932">
                  <c:v>110.729</c:v>
                </c:pt>
                <c:pt idx="2933">
                  <c:v>110.54810000000001</c:v>
                </c:pt>
                <c:pt idx="2934">
                  <c:v>110.5457</c:v>
                </c:pt>
                <c:pt idx="2935">
                  <c:v>110.1326</c:v>
                </c:pt>
                <c:pt idx="2936">
                  <c:v>110.67810000000001</c:v>
                </c:pt>
                <c:pt idx="2937">
                  <c:v>110.3322</c:v>
                </c:pt>
                <c:pt idx="2938">
                  <c:v>110.94329999999999</c:v>
                </c:pt>
                <c:pt idx="2939">
                  <c:v>110.71559999999999</c:v>
                </c:pt>
                <c:pt idx="2940">
                  <c:v>110.55010000000001</c:v>
                </c:pt>
                <c:pt idx="2941">
                  <c:v>110.55010000000001</c:v>
                </c:pt>
                <c:pt idx="2942">
                  <c:v>111.06520000000002</c:v>
                </c:pt>
                <c:pt idx="2943">
                  <c:v>110.7465</c:v>
                </c:pt>
                <c:pt idx="2944">
                  <c:v>110.7546</c:v>
                </c:pt>
                <c:pt idx="2945">
                  <c:v>110.5476</c:v>
                </c:pt>
                <c:pt idx="2946">
                  <c:v>110.6473</c:v>
                </c:pt>
                <c:pt idx="2947">
                  <c:v>110.54689999999999</c:v>
                </c:pt>
                <c:pt idx="2948">
                  <c:v>110.54689999999999</c:v>
                </c:pt>
                <c:pt idx="2949">
                  <c:v>110.55029999999999</c:v>
                </c:pt>
                <c:pt idx="2950">
                  <c:v>110.55159999999999</c:v>
                </c:pt>
                <c:pt idx="2951">
                  <c:v>110.7492</c:v>
                </c:pt>
                <c:pt idx="2952">
                  <c:v>110.5746</c:v>
                </c:pt>
                <c:pt idx="2953">
                  <c:v>110.64409999999999</c:v>
                </c:pt>
                <c:pt idx="2954">
                  <c:v>110.5493</c:v>
                </c:pt>
                <c:pt idx="2955">
                  <c:v>110.55</c:v>
                </c:pt>
                <c:pt idx="2956">
                  <c:v>110.68219999999999</c:v>
                </c:pt>
                <c:pt idx="2957">
                  <c:v>110.551</c:v>
                </c:pt>
                <c:pt idx="2958">
                  <c:v>110.7195</c:v>
                </c:pt>
                <c:pt idx="2959">
                  <c:v>110.7658</c:v>
                </c:pt>
                <c:pt idx="2960">
                  <c:v>110.59760000000001</c:v>
                </c:pt>
                <c:pt idx="2961">
                  <c:v>110.75960000000001</c:v>
                </c:pt>
                <c:pt idx="2962">
                  <c:v>110.76</c:v>
                </c:pt>
                <c:pt idx="2963">
                  <c:v>110.78690000000002</c:v>
                </c:pt>
                <c:pt idx="2964">
                  <c:v>110.7332</c:v>
                </c:pt>
                <c:pt idx="2965">
                  <c:v>110.5476</c:v>
                </c:pt>
                <c:pt idx="2966">
                  <c:v>110.69840000000001</c:v>
                </c:pt>
                <c:pt idx="2967">
                  <c:v>110.66200000000001</c:v>
                </c:pt>
                <c:pt idx="2968">
                  <c:v>110.59950000000001</c:v>
                </c:pt>
                <c:pt idx="2969">
                  <c:v>110.6001</c:v>
                </c:pt>
                <c:pt idx="2970">
                  <c:v>110.7253</c:v>
                </c:pt>
                <c:pt idx="2971">
                  <c:v>110.7067</c:v>
                </c:pt>
                <c:pt idx="2972">
                  <c:v>110.60000000000001</c:v>
                </c:pt>
                <c:pt idx="2973">
                  <c:v>110.6828</c:v>
                </c:pt>
                <c:pt idx="2974">
                  <c:v>110.6035</c:v>
                </c:pt>
                <c:pt idx="2975">
                  <c:v>110.60000000000001</c:v>
                </c:pt>
                <c:pt idx="2976">
                  <c:v>110.8676</c:v>
                </c:pt>
                <c:pt idx="2977">
                  <c:v>110.7942</c:v>
                </c:pt>
                <c:pt idx="2978">
                  <c:v>110.54689999999999</c:v>
                </c:pt>
                <c:pt idx="2979">
                  <c:v>110.7024</c:v>
                </c:pt>
                <c:pt idx="2980">
                  <c:v>110.6532</c:v>
                </c:pt>
                <c:pt idx="2981">
                  <c:v>110.69580000000001</c:v>
                </c:pt>
                <c:pt idx="2982">
                  <c:v>110.65</c:v>
                </c:pt>
                <c:pt idx="2983">
                  <c:v>110.6477</c:v>
                </c:pt>
                <c:pt idx="2984">
                  <c:v>110.65</c:v>
                </c:pt>
                <c:pt idx="2985">
                  <c:v>110.6527</c:v>
                </c:pt>
                <c:pt idx="2986">
                  <c:v>110.6604</c:v>
                </c:pt>
                <c:pt idx="2987">
                  <c:v>110.7266</c:v>
                </c:pt>
                <c:pt idx="2988">
                  <c:v>110.6999</c:v>
                </c:pt>
                <c:pt idx="2989">
                  <c:v>110.72580000000001</c:v>
                </c:pt>
                <c:pt idx="2990">
                  <c:v>110.72580000000001</c:v>
                </c:pt>
                <c:pt idx="2991">
                  <c:v>110.7289</c:v>
                </c:pt>
                <c:pt idx="2992">
                  <c:v>110.6641</c:v>
                </c:pt>
                <c:pt idx="2993">
                  <c:v>110.43660000000001</c:v>
                </c:pt>
                <c:pt idx="2994">
                  <c:v>110.6579</c:v>
                </c:pt>
                <c:pt idx="2995">
                  <c:v>110.65600000000001</c:v>
                </c:pt>
                <c:pt idx="2996">
                  <c:v>110.625</c:v>
                </c:pt>
                <c:pt idx="2997">
                  <c:v>110.625</c:v>
                </c:pt>
                <c:pt idx="2998">
                  <c:v>110.8839</c:v>
                </c:pt>
                <c:pt idx="2999">
                  <c:v>110.54179999999999</c:v>
                </c:pt>
                <c:pt idx="3000">
                  <c:v>110.5973</c:v>
                </c:pt>
                <c:pt idx="3001">
                  <c:v>115.1352</c:v>
                </c:pt>
                <c:pt idx="3002">
                  <c:v>115.7107</c:v>
                </c:pt>
                <c:pt idx="3003">
                  <c:v>115.5506</c:v>
                </c:pt>
                <c:pt idx="3004">
                  <c:v>115.4819</c:v>
                </c:pt>
                <c:pt idx="3005">
                  <c:v>115.49550000000001</c:v>
                </c:pt>
                <c:pt idx="3006">
                  <c:v>115.5016</c:v>
                </c:pt>
                <c:pt idx="3007">
                  <c:v>115.59610000000001</c:v>
                </c:pt>
                <c:pt idx="3008">
                  <c:v>115.63930000000001</c:v>
                </c:pt>
                <c:pt idx="3009">
                  <c:v>115.6185</c:v>
                </c:pt>
                <c:pt idx="3010">
                  <c:v>115.7097</c:v>
                </c:pt>
                <c:pt idx="3011">
                  <c:v>115.7131</c:v>
                </c:pt>
                <c:pt idx="3012">
                  <c:v>115.6247</c:v>
                </c:pt>
                <c:pt idx="3013">
                  <c:v>115.727</c:v>
                </c:pt>
                <c:pt idx="3014">
                  <c:v>115.6874</c:v>
                </c:pt>
                <c:pt idx="3015">
                  <c:v>115.7009</c:v>
                </c:pt>
                <c:pt idx="3016">
                  <c:v>115.7602</c:v>
                </c:pt>
                <c:pt idx="3017">
                  <c:v>115.50069999999999</c:v>
                </c:pt>
                <c:pt idx="3018">
                  <c:v>115.50369999999999</c:v>
                </c:pt>
                <c:pt idx="3019">
                  <c:v>115.69070000000002</c:v>
                </c:pt>
                <c:pt idx="3020">
                  <c:v>115.3759</c:v>
                </c:pt>
                <c:pt idx="3021">
                  <c:v>115.52550000000001</c:v>
                </c:pt>
                <c:pt idx="3022">
                  <c:v>115.4933</c:v>
                </c:pt>
                <c:pt idx="3023">
                  <c:v>115.6482</c:v>
                </c:pt>
                <c:pt idx="3024">
                  <c:v>115.59990000000001</c:v>
                </c:pt>
                <c:pt idx="3025">
                  <c:v>115.59990000000001</c:v>
                </c:pt>
                <c:pt idx="3026">
                  <c:v>115.6011</c:v>
                </c:pt>
                <c:pt idx="3027">
                  <c:v>115.7624</c:v>
                </c:pt>
                <c:pt idx="3028">
                  <c:v>115.5517</c:v>
                </c:pt>
                <c:pt idx="3029">
                  <c:v>115.66079999999999</c:v>
                </c:pt>
                <c:pt idx="3030">
                  <c:v>115.72329999999999</c:v>
                </c:pt>
                <c:pt idx="3031">
                  <c:v>115.55010000000001</c:v>
                </c:pt>
                <c:pt idx="3032">
                  <c:v>115.68</c:v>
                </c:pt>
                <c:pt idx="3033">
                  <c:v>115.65770000000002</c:v>
                </c:pt>
                <c:pt idx="3034">
                  <c:v>115.75109999999999</c:v>
                </c:pt>
                <c:pt idx="3035">
                  <c:v>115.75239999999999</c:v>
                </c:pt>
                <c:pt idx="3036">
                  <c:v>115.68830000000001</c:v>
                </c:pt>
                <c:pt idx="3037">
                  <c:v>115.72969999999999</c:v>
                </c:pt>
                <c:pt idx="3038">
                  <c:v>115.5998</c:v>
                </c:pt>
                <c:pt idx="3039">
                  <c:v>115.5998</c:v>
                </c:pt>
                <c:pt idx="3040">
                  <c:v>115.7015</c:v>
                </c:pt>
                <c:pt idx="3041">
                  <c:v>115.7846</c:v>
                </c:pt>
                <c:pt idx="3042">
                  <c:v>115.91330000000001</c:v>
                </c:pt>
                <c:pt idx="3043">
                  <c:v>115.71939999999999</c:v>
                </c:pt>
                <c:pt idx="3044">
                  <c:v>115.60000000000001</c:v>
                </c:pt>
                <c:pt idx="3045">
                  <c:v>115.7754</c:v>
                </c:pt>
                <c:pt idx="3046">
                  <c:v>115.68470000000002</c:v>
                </c:pt>
                <c:pt idx="3047">
                  <c:v>115.64230000000001</c:v>
                </c:pt>
                <c:pt idx="3048">
                  <c:v>115.6746</c:v>
                </c:pt>
                <c:pt idx="3049">
                  <c:v>115.7315</c:v>
                </c:pt>
                <c:pt idx="3050">
                  <c:v>115.67359999999999</c:v>
                </c:pt>
                <c:pt idx="3051">
                  <c:v>115.7771</c:v>
                </c:pt>
                <c:pt idx="3052">
                  <c:v>115.55010000000001</c:v>
                </c:pt>
                <c:pt idx="3053">
                  <c:v>115.5468</c:v>
                </c:pt>
                <c:pt idx="3054">
                  <c:v>115.59880000000001</c:v>
                </c:pt>
                <c:pt idx="3055">
                  <c:v>115.67619999999999</c:v>
                </c:pt>
                <c:pt idx="3056">
                  <c:v>115.7667</c:v>
                </c:pt>
                <c:pt idx="3057">
                  <c:v>115.7296</c:v>
                </c:pt>
                <c:pt idx="3058">
                  <c:v>115.81740000000001</c:v>
                </c:pt>
                <c:pt idx="3059">
                  <c:v>115.77930000000001</c:v>
                </c:pt>
                <c:pt idx="3060">
                  <c:v>115.68590000000002</c:v>
                </c:pt>
                <c:pt idx="3061">
                  <c:v>115.6876</c:v>
                </c:pt>
                <c:pt idx="3062">
                  <c:v>115.65</c:v>
                </c:pt>
                <c:pt idx="3063">
                  <c:v>115.595</c:v>
                </c:pt>
                <c:pt idx="3064">
                  <c:v>115.6016</c:v>
                </c:pt>
                <c:pt idx="3065">
                  <c:v>115.67529999999999</c:v>
                </c:pt>
                <c:pt idx="3066">
                  <c:v>115.59990000000001</c:v>
                </c:pt>
                <c:pt idx="3067">
                  <c:v>115.60039999999999</c:v>
                </c:pt>
                <c:pt idx="3068">
                  <c:v>115.5998</c:v>
                </c:pt>
                <c:pt idx="3069">
                  <c:v>115.8075</c:v>
                </c:pt>
                <c:pt idx="3070">
                  <c:v>115.78830000000001</c:v>
                </c:pt>
                <c:pt idx="3071">
                  <c:v>115.66930000000001</c:v>
                </c:pt>
                <c:pt idx="3072">
                  <c:v>115.7021</c:v>
                </c:pt>
                <c:pt idx="3073">
                  <c:v>115.59950000000001</c:v>
                </c:pt>
                <c:pt idx="3074">
                  <c:v>116.17230000000001</c:v>
                </c:pt>
                <c:pt idx="3075">
                  <c:v>116.17230000000001</c:v>
                </c:pt>
                <c:pt idx="3076">
                  <c:v>115.8763</c:v>
                </c:pt>
                <c:pt idx="3077">
                  <c:v>115.5955</c:v>
                </c:pt>
                <c:pt idx="3078">
                  <c:v>115.70040000000002</c:v>
                </c:pt>
                <c:pt idx="3079">
                  <c:v>115.71259999999999</c:v>
                </c:pt>
                <c:pt idx="3080">
                  <c:v>115.6985</c:v>
                </c:pt>
                <c:pt idx="3081">
                  <c:v>115.6955</c:v>
                </c:pt>
                <c:pt idx="3082">
                  <c:v>115.34780000000001</c:v>
                </c:pt>
                <c:pt idx="3083">
                  <c:v>115.76230000000001</c:v>
                </c:pt>
                <c:pt idx="3084">
                  <c:v>115.59950000000001</c:v>
                </c:pt>
                <c:pt idx="3085">
                  <c:v>118.03090000000002</c:v>
                </c:pt>
                <c:pt idx="3086">
                  <c:v>117.1591</c:v>
                </c:pt>
                <c:pt idx="3087">
                  <c:v>119.8745</c:v>
                </c:pt>
                <c:pt idx="3088">
                  <c:v>119.8745</c:v>
                </c:pt>
                <c:pt idx="3089">
                  <c:v>119.875</c:v>
                </c:pt>
                <c:pt idx="3090">
                  <c:v>119.82850000000001</c:v>
                </c:pt>
                <c:pt idx="3091">
                  <c:v>121.24760000000001</c:v>
                </c:pt>
                <c:pt idx="3092">
                  <c:v>121.5308</c:v>
                </c:pt>
                <c:pt idx="3093">
                  <c:v>121.64630000000001</c:v>
                </c:pt>
                <c:pt idx="3094">
                  <c:v>121.60169999999999</c:v>
                </c:pt>
                <c:pt idx="3095">
                  <c:v>121.60169999999999</c:v>
                </c:pt>
                <c:pt idx="3096">
                  <c:v>121.6086</c:v>
                </c:pt>
                <c:pt idx="3097">
                  <c:v>121.5733</c:v>
                </c:pt>
                <c:pt idx="3098">
                  <c:v>121.6422</c:v>
                </c:pt>
                <c:pt idx="3099">
                  <c:v>121.5449</c:v>
                </c:pt>
                <c:pt idx="3100">
                  <c:v>121.7285</c:v>
                </c:pt>
                <c:pt idx="3101">
                  <c:v>121.7375</c:v>
                </c:pt>
                <c:pt idx="3102">
                  <c:v>121.73309999999999</c:v>
                </c:pt>
                <c:pt idx="3103">
                  <c:v>121.6576</c:v>
                </c:pt>
                <c:pt idx="3104">
                  <c:v>121.6824</c:v>
                </c:pt>
                <c:pt idx="3105">
                  <c:v>121.7282</c:v>
                </c:pt>
                <c:pt idx="3106">
                  <c:v>121.755</c:v>
                </c:pt>
                <c:pt idx="3107">
                  <c:v>121.5956</c:v>
                </c:pt>
                <c:pt idx="3108">
                  <c:v>121.6001</c:v>
                </c:pt>
                <c:pt idx="3109">
                  <c:v>121.5998</c:v>
                </c:pt>
                <c:pt idx="3110">
                  <c:v>121.22929999999999</c:v>
                </c:pt>
                <c:pt idx="3111">
                  <c:v>121.55</c:v>
                </c:pt>
                <c:pt idx="3112">
                  <c:v>121.5932</c:v>
                </c:pt>
                <c:pt idx="3113">
                  <c:v>121.5522</c:v>
                </c:pt>
                <c:pt idx="3114">
                  <c:v>121.5467</c:v>
                </c:pt>
                <c:pt idx="3115">
                  <c:v>121.5498</c:v>
                </c:pt>
                <c:pt idx="3116">
                  <c:v>121.5479</c:v>
                </c:pt>
                <c:pt idx="3117">
                  <c:v>121.64700000000001</c:v>
                </c:pt>
                <c:pt idx="3118">
                  <c:v>121.5121</c:v>
                </c:pt>
                <c:pt idx="3119">
                  <c:v>127.3635</c:v>
                </c:pt>
                <c:pt idx="3120">
                  <c:v>127.6551</c:v>
                </c:pt>
                <c:pt idx="3121">
                  <c:v>128.88</c:v>
                </c:pt>
                <c:pt idx="3122">
                  <c:v>128.5</c:v>
                </c:pt>
                <c:pt idx="3123">
                  <c:v>128.31549999999999</c:v>
                </c:pt>
                <c:pt idx="3124">
                  <c:v>128.3134</c:v>
                </c:pt>
                <c:pt idx="3125">
                  <c:v>129.1867</c:v>
                </c:pt>
                <c:pt idx="3126">
                  <c:v>129.1575</c:v>
                </c:pt>
                <c:pt idx="3127">
                  <c:v>129.1189</c:v>
                </c:pt>
                <c:pt idx="3128">
                  <c:v>129.0044</c:v>
                </c:pt>
                <c:pt idx="3129">
                  <c:v>128.99979999999999</c:v>
                </c:pt>
                <c:pt idx="3130">
                  <c:v>128.99979999999999</c:v>
                </c:pt>
                <c:pt idx="3131">
                  <c:v>128.5333</c:v>
                </c:pt>
                <c:pt idx="3132">
                  <c:v>121.5767</c:v>
                </c:pt>
                <c:pt idx="3133">
                  <c:v>123.48340000000002</c:v>
                </c:pt>
                <c:pt idx="3134">
                  <c:v>123.4971</c:v>
                </c:pt>
                <c:pt idx="3135">
                  <c:v>123.15430000000001</c:v>
                </c:pt>
                <c:pt idx="3136">
                  <c:v>124.10000000000001</c:v>
                </c:pt>
                <c:pt idx="3137">
                  <c:v>124.10000000000001</c:v>
                </c:pt>
                <c:pt idx="3138">
                  <c:v>123.3475</c:v>
                </c:pt>
                <c:pt idx="3139">
                  <c:v>124.122</c:v>
                </c:pt>
                <c:pt idx="3140">
                  <c:v>123.50690000000002</c:v>
                </c:pt>
                <c:pt idx="3141">
                  <c:v>123.51290000000002</c:v>
                </c:pt>
                <c:pt idx="3142">
                  <c:v>123.39830000000001</c:v>
                </c:pt>
                <c:pt idx="3143">
                  <c:v>123.95</c:v>
                </c:pt>
                <c:pt idx="3144">
                  <c:v>123.95</c:v>
                </c:pt>
                <c:pt idx="3145">
                  <c:v>123.3111</c:v>
                </c:pt>
                <c:pt idx="3146">
                  <c:v>123.75810000000001</c:v>
                </c:pt>
                <c:pt idx="3147">
                  <c:v>124</c:v>
                </c:pt>
                <c:pt idx="3148">
                  <c:v>123.5287</c:v>
                </c:pt>
                <c:pt idx="3149">
                  <c:v>122.75560000000002</c:v>
                </c:pt>
                <c:pt idx="3150">
                  <c:v>123.68340000000001</c:v>
                </c:pt>
                <c:pt idx="3151">
                  <c:v>123.68340000000001</c:v>
                </c:pt>
                <c:pt idx="3152">
                  <c:v>122.9538</c:v>
                </c:pt>
                <c:pt idx="3153">
                  <c:v>123.10339999999999</c:v>
                </c:pt>
                <c:pt idx="3154">
                  <c:v>122.7717</c:v>
                </c:pt>
                <c:pt idx="3155">
                  <c:v>122.7433</c:v>
                </c:pt>
                <c:pt idx="3156">
                  <c:v>123.131</c:v>
                </c:pt>
                <c:pt idx="3157">
                  <c:v>122.07600000000001</c:v>
                </c:pt>
                <c:pt idx="3158">
                  <c:v>122.07600000000001</c:v>
                </c:pt>
                <c:pt idx="3159">
                  <c:v>122.07559999999999</c:v>
                </c:pt>
                <c:pt idx="3160">
                  <c:v>123.05110000000001</c:v>
                </c:pt>
                <c:pt idx="3161">
                  <c:v>123.08440000000002</c:v>
                </c:pt>
                <c:pt idx="3162">
                  <c:v>123.10550000000001</c:v>
                </c:pt>
                <c:pt idx="3163">
                  <c:v>123.0316</c:v>
                </c:pt>
                <c:pt idx="3164">
                  <c:v>122.99000000000001</c:v>
                </c:pt>
                <c:pt idx="3165">
                  <c:v>122.99000000000001</c:v>
                </c:pt>
                <c:pt idx="3166">
                  <c:v>123.0753</c:v>
                </c:pt>
                <c:pt idx="3167">
                  <c:v>123.1056</c:v>
                </c:pt>
                <c:pt idx="3168">
                  <c:v>123.1814</c:v>
                </c:pt>
                <c:pt idx="3169">
                  <c:v>123.1807</c:v>
                </c:pt>
                <c:pt idx="3170">
                  <c:v>123.11060000000001</c:v>
                </c:pt>
                <c:pt idx="3171">
                  <c:v>123.2174</c:v>
                </c:pt>
                <c:pt idx="3172">
                  <c:v>123.21900000000001</c:v>
                </c:pt>
                <c:pt idx="3173">
                  <c:v>123.23580000000001</c:v>
                </c:pt>
                <c:pt idx="3174">
                  <c:v>123.4255</c:v>
                </c:pt>
                <c:pt idx="3175">
                  <c:v>123.1113</c:v>
                </c:pt>
                <c:pt idx="3176">
                  <c:v>123.1155</c:v>
                </c:pt>
                <c:pt idx="3177">
                  <c:v>123.53930000000001</c:v>
                </c:pt>
                <c:pt idx="3178">
                  <c:v>123.87439999999999</c:v>
                </c:pt>
                <c:pt idx="3179">
                  <c:v>123.87439999999999</c:v>
                </c:pt>
                <c:pt idx="3180">
                  <c:v>123.4002</c:v>
                </c:pt>
                <c:pt idx="3181">
                  <c:v>123.51650000000001</c:v>
                </c:pt>
                <c:pt idx="3182">
                  <c:v>123.30410000000001</c:v>
                </c:pt>
                <c:pt idx="3183">
                  <c:v>123.3762</c:v>
                </c:pt>
                <c:pt idx="3184">
                  <c:v>123.4477</c:v>
                </c:pt>
                <c:pt idx="3185">
                  <c:v>123.74979999999999</c:v>
                </c:pt>
                <c:pt idx="3186">
                  <c:v>123.1495</c:v>
                </c:pt>
                <c:pt idx="3187">
                  <c:v>123.154</c:v>
                </c:pt>
                <c:pt idx="3188">
                  <c:v>123.298</c:v>
                </c:pt>
                <c:pt idx="3189">
                  <c:v>123.7542</c:v>
                </c:pt>
                <c:pt idx="3190">
                  <c:v>123.4237</c:v>
                </c:pt>
                <c:pt idx="3191">
                  <c:v>123.44260000000001</c:v>
                </c:pt>
                <c:pt idx="3192">
                  <c:v>123.6001</c:v>
                </c:pt>
                <c:pt idx="3193">
                  <c:v>123.6001</c:v>
                </c:pt>
                <c:pt idx="3194">
                  <c:v>123.30010000000001</c:v>
                </c:pt>
                <c:pt idx="3195">
                  <c:v>123.19750000000001</c:v>
                </c:pt>
                <c:pt idx="3196">
                  <c:v>123.357</c:v>
                </c:pt>
                <c:pt idx="3197">
                  <c:v>123.5535</c:v>
                </c:pt>
                <c:pt idx="3198">
                  <c:v>123.5005</c:v>
                </c:pt>
                <c:pt idx="3199">
                  <c:v>123.5599</c:v>
                </c:pt>
                <c:pt idx="3200">
                  <c:v>122.84</c:v>
                </c:pt>
                <c:pt idx="3201">
                  <c:v>122.9855</c:v>
                </c:pt>
                <c:pt idx="3202">
                  <c:v>123.1982</c:v>
                </c:pt>
                <c:pt idx="3203">
                  <c:v>122.9496</c:v>
                </c:pt>
                <c:pt idx="3204">
                  <c:v>127.9863</c:v>
                </c:pt>
                <c:pt idx="3205">
                  <c:v>131.91679999999999</c:v>
                </c:pt>
                <c:pt idx="3206">
                  <c:v>133.2499</c:v>
                </c:pt>
                <c:pt idx="3207">
                  <c:v>133.2499</c:v>
                </c:pt>
                <c:pt idx="3208">
                  <c:v>133.08600000000001</c:v>
                </c:pt>
                <c:pt idx="3209">
                  <c:v>131.99119999999999</c:v>
                </c:pt>
                <c:pt idx="3210">
                  <c:v>132.08160000000001</c:v>
                </c:pt>
                <c:pt idx="3211">
                  <c:v>132.77879999999999</c:v>
                </c:pt>
                <c:pt idx="3212">
                  <c:v>132.91990000000001</c:v>
                </c:pt>
                <c:pt idx="3213">
                  <c:v>133.34479999999999</c:v>
                </c:pt>
                <c:pt idx="3214">
                  <c:v>133.34479999999999</c:v>
                </c:pt>
                <c:pt idx="3215">
                  <c:v>133.34</c:v>
                </c:pt>
                <c:pt idx="3216">
                  <c:v>132.9425</c:v>
                </c:pt>
                <c:pt idx="3217">
                  <c:v>133.62129999999999</c:v>
                </c:pt>
                <c:pt idx="3218">
                  <c:v>133.54990000000001</c:v>
                </c:pt>
                <c:pt idx="3219">
                  <c:v>132.05340000000004</c:v>
                </c:pt>
                <c:pt idx="3220">
                  <c:v>133.51010000000002</c:v>
                </c:pt>
                <c:pt idx="3221">
                  <c:v>133.51400000000001</c:v>
                </c:pt>
                <c:pt idx="3222">
                  <c:v>132.8903</c:v>
                </c:pt>
                <c:pt idx="3223">
                  <c:v>132.86619999999999</c:v>
                </c:pt>
                <c:pt idx="3224">
                  <c:v>132.5487</c:v>
                </c:pt>
                <c:pt idx="3225">
                  <c:v>133.52209999999999</c:v>
                </c:pt>
                <c:pt idx="3226">
                  <c:v>133.32030000000003</c:v>
                </c:pt>
                <c:pt idx="3227">
                  <c:v>133.3502</c:v>
                </c:pt>
                <c:pt idx="3228">
                  <c:v>133.3502</c:v>
                </c:pt>
                <c:pt idx="3229">
                  <c:v>133.51779999999999</c:v>
                </c:pt>
                <c:pt idx="3230">
                  <c:v>133.60329999999999</c:v>
                </c:pt>
                <c:pt idx="3231">
                  <c:v>133.6319</c:v>
                </c:pt>
                <c:pt idx="3232">
                  <c:v>133.65479999999999</c:v>
                </c:pt>
                <c:pt idx="3233">
                  <c:v>133.18719999999999</c:v>
                </c:pt>
                <c:pt idx="3234">
                  <c:v>133.9999</c:v>
                </c:pt>
                <c:pt idx="3235">
                  <c:v>134.00219999999999</c:v>
                </c:pt>
                <c:pt idx="3236">
                  <c:v>133.92120000000003</c:v>
                </c:pt>
                <c:pt idx="3237">
                  <c:v>134.17869999999999</c:v>
                </c:pt>
                <c:pt idx="3238">
                  <c:v>132.99789999999999</c:v>
                </c:pt>
                <c:pt idx="3239">
                  <c:v>134.24799999999999</c:v>
                </c:pt>
                <c:pt idx="3240">
                  <c:v>133.99510000000001</c:v>
                </c:pt>
                <c:pt idx="3241">
                  <c:v>133.99940000000001</c:v>
                </c:pt>
                <c:pt idx="3242">
                  <c:v>133.37379999999999</c:v>
                </c:pt>
                <c:pt idx="3243">
                  <c:v>133.49959999999999</c:v>
                </c:pt>
                <c:pt idx="3244">
                  <c:v>134.12809999999999</c:v>
                </c:pt>
                <c:pt idx="3245">
                  <c:v>134.39519999999999</c:v>
                </c:pt>
                <c:pt idx="3246">
                  <c:v>134.34460000000001</c:v>
                </c:pt>
                <c:pt idx="3247">
                  <c:v>134.55070000000001</c:v>
                </c:pt>
                <c:pt idx="3248">
                  <c:v>134.43020000000001</c:v>
                </c:pt>
                <c:pt idx="3249">
                  <c:v>134.43010000000001</c:v>
                </c:pt>
                <c:pt idx="3250">
                  <c:v>134.45349999999999</c:v>
                </c:pt>
                <c:pt idx="3251">
                  <c:v>134.44749999999999</c:v>
                </c:pt>
                <c:pt idx="3252">
                  <c:v>134.62809999999999</c:v>
                </c:pt>
                <c:pt idx="3253">
                  <c:v>134.55510000000001</c:v>
                </c:pt>
                <c:pt idx="3254">
                  <c:v>134.31280000000001</c:v>
                </c:pt>
                <c:pt idx="3255">
                  <c:v>134.1902</c:v>
                </c:pt>
                <c:pt idx="3256">
                  <c:v>134.18469999999999</c:v>
                </c:pt>
                <c:pt idx="3257">
                  <c:v>139.56559999999999</c:v>
                </c:pt>
                <c:pt idx="3258">
                  <c:v>138.9462</c:v>
                </c:pt>
                <c:pt idx="3259">
                  <c:v>137.59670000000003</c:v>
                </c:pt>
                <c:pt idx="3260">
                  <c:v>138.5471</c:v>
                </c:pt>
                <c:pt idx="3261">
                  <c:v>138.62979999999999</c:v>
                </c:pt>
                <c:pt idx="3262">
                  <c:v>138.75020000000001</c:v>
                </c:pt>
                <c:pt idx="3263">
                  <c:v>138.75020000000001</c:v>
                </c:pt>
                <c:pt idx="3264">
                  <c:v>138.92529999999999</c:v>
                </c:pt>
                <c:pt idx="3265">
                  <c:v>138.9701</c:v>
                </c:pt>
                <c:pt idx="3266">
                  <c:v>139.45670000000001</c:v>
                </c:pt>
                <c:pt idx="3267">
                  <c:v>139.05199999999999</c:v>
                </c:pt>
                <c:pt idx="3268">
                  <c:v>139.51610000000002</c:v>
                </c:pt>
                <c:pt idx="3269">
                  <c:v>139.09979999999999</c:v>
                </c:pt>
                <c:pt idx="3270">
                  <c:v>139.09979999999999</c:v>
                </c:pt>
                <c:pt idx="3271">
                  <c:v>139.5231</c:v>
                </c:pt>
                <c:pt idx="3272">
                  <c:v>139.56139999999999</c:v>
                </c:pt>
                <c:pt idx="3273">
                  <c:v>139.69579999999999</c:v>
                </c:pt>
                <c:pt idx="3274">
                  <c:v>139.58230000000003</c:v>
                </c:pt>
                <c:pt idx="3275">
                  <c:v>138.9999</c:v>
                </c:pt>
                <c:pt idx="3276">
                  <c:v>139.15</c:v>
                </c:pt>
                <c:pt idx="3277">
                  <c:v>139.15049999999999</c:v>
                </c:pt>
                <c:pt idx="3278">
                  <c:v>139.5735</c:v>
                </c:pt>
                <c:pt idx="3279">
                  <c:v>139.6335</c:v>
                </c:pt>
                <c:pt idx="3280">
                  <c:v>139.5549</c:v>
                </c:pt>
                <c:pt idx="3281">
                  <c:v>139.786</c:v>
                </c:pt>
                <c:pt idx="3282">
                  <c:v>139.2765</c:v>
                </c:pt>
                <c:pt idx="3283">
                  <c:v>139.12469999999999</c:v>
                </c:pt>
                <c:pt idx="3284">
                  <c:v>139.12469999999999</c:v>
                </c:pt>
                <c:pt idx="3285">
                  <c:v>139.12719999999999</c:v>
                </c:pt>
                <c:pt idx="3286">
                  <c:v>139.8502</c:v>
                </c:pt>
                <c:pt idx="3287">
                  <c:v>139.54060000000001</c:v>
                </c:pt>
                <c:pt idx="3288">
                  <c:v>139.54140000000004</c:v>
                </c:pt>
                <c:pt idx="3289">
                  <c:v>139.0471</c:v>
                </c:pt>
                <c:pt idx="3290">
                  <c:v>138.99430000000001</c:v>
                </c:pt>
                <c:pt idx="3291">
                  <c:v>138.99610000000001</c:v>
                </c:pt>
                <c:pt idx="3292">
                  <c:v>139.00420000000003</c:v>
                </c:pt>
                <c:pt idx="3293">
                  <c:v>139.02510000000001</c:v>
                </c:pt>
                <c:pt idx="3294">
                  <c:v>139.3733</c:v>
                </c:pt>
                <c:pt idx="3295">
                  <c:v>139.96610000000001</c:v>
                </c:pt>
                <c:pt idx="3296">
                  <c:v>139.76679999999999</c:v>
                </c:pt>
                <c:pt idx="3297">
                  <c:v>139.87550000000002</c:v>
                </c:pt>
                <c:pt idx="3298">
                  <c:v>139.8741</c:v>
                </c:pt>
                <c:pt idx="3299">
                  <c:v>139.86089999999999</c:v>
                </c:pt>
                <c:pt idx="3300">
                  <c:v>140.08350000000002</c:v>
                </c:pt>
                <c:pt idx="3301">
                  <c:v>138.9999</c:v>
                </c:pt>
                <c:pt idx="3302">
                  <c:v>139.6996</c:v>
                </c:pt>
                <c:pt idx="3303">
                  <c:v>139.59569999999999</c:v>
                </c:pt>
                <c:pt idx="3304">
                  <c:v>139.19970000000001</c:v>
                </c:pt>
                <c:pt idx="3305">
                  <c:v>139.19970000000001</c:v>
                </c:pt>
                <c:pt idx="3306">
                  <c:v>139.20000000000002</c:v>
                </c:pt>
                <c:pt idx="3307">
                  <c:v>139.92150000000001</c:v>
                </c:pt>
                <c:pt idx="3308">
                  <c:v>139.87729999999999</c:v>
                </c:pt>
                <c:pt idx="3309">
                  <c:v>139.5872</c:v>
                </c:pt>
                <c:pt idx="3310">
                  <c:v>139.58969999999999</c:v>
                </c:pt>
                <c:pt idx="3311">
                  <c:v>139.12459999999999</c:v>
                </c:pt>
                <c:pt idx="3312">
                  <c:v>139.21080000000003</c:v>
                </c:pt>
                <c:pt idx="3313">
                  <c:v>139.215</c:v>
                </c:pt>
                <c:pt idx="3314">
                  <c:v>139.1516</c:v>
                </c:pt>
                <c:pt idx="3315">
                  <c:v>139.58760000000001</c:v>
                </c:pt>
                <c:pt idx="3316">
                  <c:v>139.46289999999999</c:v>
                </c:pt>
                <c:pt idx="3317">
                  <c:v>139.8126</c:v>
                </c:pt>
                <c:pt idx="3318">
                  <c:v>138.44710000000001</c:v>
                </c:pt>
                <c:pt idx="3319">
                  <c:v>138.44710000000001</c:v>
                </c:pt>
                <c:pt idx="3320">
                  <c:v>139.10939999999999</c:v>
                </c:pt>
                <c:pt idx="3321">
                  <c:v>139.4084</c:v>
                </c:pt>
                <c:pt idx="3322">
                  <c:v>138.8518</c:v>
                </c:pt>
                <c:pt idx="3323">
                  <c:v>139.22050000000002</c:v>
                </c:pt>
                <c:pt idx="3324">
                  <c:v>139.2484</c:v>
                </c:pt>
                <c:pt idx="3325">
                  <c:v>138.7996</c:v>
                </c:pt>
                <c:pt idx="3326">
                  <c:v>139.6497</c:v>
                </c:pt>
                <c:pt idx="3327">
                  <c:v>139.47989999999999</c:v>
                </c:pt>
                <c:pt idx="3328">
                  <c:v>139.54069999999999</c:v>
                </c:pt>
                <c:pt idx="3329">
                  <c:v>139.4845</c:v>
                </c:pt>
                <c:pt idx="3330">
                  <c:v>139.7989</c:v>
                </c:pt>
                <c:pt idx="3331">
                  <c:v>139.59360000000001</c:v>
                </c:pt>
                <c:pt idx="3332">
                  <c:v>139.15090000000001</c:v>
                </c:pt>
                <c:pt idx="3333">
                  <c:v>139.1491</c:v>
                </c:pt>
                <c:pt idx="3334">
                  <c:v>139.42529999999999</c:v>
                </c:pt>
                <c:pt idx="3335">
                  <c:v>139.52080000000001</c:v>
                </c:pt>
                <c:pt idx="3336">
                  <c:v>139.1276</c:v>
                </c:pt>
                <c:pt idx="3337">
                  <c:v>139.0934</c:v>
                </c:pt>
                <c:pt idx="3338">
                  <c:v>139.56900000000002</c:v>
                </c:pt>
                <c:pt idx="3339">
                  <c:v>139.73010000000002</c:v>
                </c:pt>
                <c:pt idx="3340">
                  <c:v>139.685</c:v>
                </c:pt>
                <c:pt idx="3341">
                  <c:v>139.69290000000004</c:v>
                </c:pt>
                <c:pt idx="3342">
                  <c:v>139.39349999999999</c:v>
                </c:pt>
                <c:pt idx="3343">
                  <c:v>139.40710000000001</c:v>
                </c:pt>
                <c:pt idx="3344">
                  <c:v>139.3081</c:v>
                </c:pt>
                <c:pt idx="3345">
                  <c:v>139.64840000000004</c:v>
                </c:pt>
                <c:pt idx="3346">
                  <c:v>138.625</c:v>
                </c:pt>
                <c:pt idx="3347">
                  <c:v>138.6277</c:v>
                </c:pt>
                <c:pt idx="3348">
                  <c:v>139.69669999999999</c:v>
                </c:pt>
                <c:pt idx="3349">
                  <c:v>139.61879999999999</c:v>
                </c:pt>
                <c:pt idx="3350">
                  <c:v>139.09739999999999</c:v>
                </c:pt>
                <c:pt idx="3351">
                  <c:v>139.04560000000001</c:v>
                </c:pt>
                <c:pt idx="3352">
                  <c:v>139.67179999999999</c:v>
                </c:pt>
                <c:pt idx="3353">
                  <c:v>139.75060000000002</c:v>
                </c:pt>
                <c:pt idx="3354">
                  <c:v>139.74930000000003</c:v>
                </c:pt>
                <c:pt idx="3355">
                  <c:v>139.37119999999999</c:v>
                </c:pt>
                <c:pt idx="3356">
                  <c:v>139.51370000000003</c:v>
                </c:pt>
                <c:pt idx="3357">
                  <c:v>139.75360000000001</c:v>
                </c:pt>
                <c:pt idx="3358">
                  <c:v>139.29759999999999</c:v>
                </c:pt>
                <c:pt idx="3359">
                  <c:v>139.85990000000004</c:v>
                </c:pt>
                <c:pt idx="3360">
                  <c:v>139.24459999999999</c:v>
                </c:pt>
                <c:pt idx="3361">
                  <c:v>139.24459999999999</c:v>
                </c:pt>
                <c:pt idx="3362">
                  <c:v>139.61689999999999</c:v>
                </c:pt>
                <c:pt idx="3363">
                  <c:v>140.3381</c:v>
                </c:pt>
                <c:pt idx="3364">
                  <c:v>139.8313</c:v>
                </c:pt>
                <c:pt idx="3365">
                  <c:v>140.06720000000001</c:v>
                </c:pt>
                <c:pt idx="3366">
                  <c:v>139.88589999999999</c:v>
                </c:pt>
                <c:pt idx="3367">
                  <c:v>139.6497</c:v>
                </c:pt>
                <c:pt idx="3368">
                  <c:v>139.98500000000001</c:v>
                </c:pt>
                <c:pt idx="3369">
                  <c:v>139.91880000000003</c:v>
                </c:pt>
                <c:pt idx="3370">
                  <c:v>140.1942</c:v>
                </c:pt>
                <c:pt idx="3371">
                  <c:v>140.54230000000001</c:v>
                </c:pt>
                <c:pt idx="3372">
                  <c:v>140.5548</c:v>
                </c:pt>
                <c:pt idx="3373">
                  <c:v>140.56460000000001</c:v>
                </c:pt>
                <c:pt idx="3374">
                  <c:v>140.82400000000001</c:v>
                </c:pt>
                <c:pt idx="3375">
                  <c:v>140.8252</c:v>
                </c:pt>
                <c:pt idx="3376">
                  <c:v>140.67269999999999</c:v>
                </c:pt>
                <c:pt idx="3377">
                  <c:v>140.83760000000001</c:v>
                </c:pt>
                <c:pt idx="3378">
                  <c:v>140.3449</c:v>
                </c:pt>
                <c:pt idx="3379">
                  <c:v>141.60249999999999</c:v>
                </c:pt>
                <c:pt idx="3380">
                  <c:v>141.52950000000001</c:v>
                </c:pt>
                <c:pt idx="3381">
                  <c:v>141.43960000000001</c:v>
                </c:pt>
                <c:pt idx="3382">
                  <c:v>141.43960000000001</c:v>
                </c:pt>
                <c:pt idx="3383">
                  <c:v>141.61859999999999</c:v>
                </c:pt>
                <c:pt idx="3384">
                  <c:v>141.6293</c:v>
                </c:pt>
                <c:pt idx="3385">
                  <c:v>141.54949999999999</c:v>
                </c:pt>
                <c:pt idx="3386">
                  <c:v>141.62800000000001</c:v>
                </c:pt>
                <c:pt idx="3387">
                  <c:v>141.9648</c:v>
                </c:pt>
                <c:pt idx="3388">
                  <c:v>141.3502</c:v>
                </c:pt>
                <c:pt idx="3389">
                  <c:v>142.13839999999999</c:v>
                </c:pt>
                <c:pt idx="3390">
                  <c:v>141.54679999999999</c:v>
                </c:pt>
                <c:pt idx="3391">
                  <c:v>141.72669999999999</c:v>
                </c:pt>
                <c:pt idx="3392">
                  <c:v>141.6499</c:v>
                </c:pt>
                <c:pt idx="3393">
                  <c:v>141.6499</c:v>
                </c:pt>
                <c:pt idx="3394">
                  <c:v>141.65039999999999</c:v>
                </c:pt>
                <c:pt idx="3395">
                  <c:v>141.59960000000001</c:v>
                </c:pt>
                <c:pt idx="3396">
                  <c:v>141.59960000000001</c:v>
                </c:pt>
                <c:pt idx="3397">
                  <c:v>141.76689999999999</c:v>
                </c:pt>
                <c:pt idx="3398">
                  <c:v>141.73480000000001</c:v>
                </c:pt>
                <c:pt idx="3399">
                  <c:v>141.614</c:v>
                </c:pt>
                <c:pt idx="3400">
                  <c:v>141.5958</c:v>
                </c:pt>
                <c:pt idx="3401">
                  <c:v>141.61359999999999</c:v>
                </c:pt>
                <c:pt idx="3402">
                  <c:v>141.5284</c:v>
                </c:pt>
                <c:pt idx="3403">
                  <c:v>141.5257</c:v>
                </c:pt>
                <c:pt idx="3404">
                  <c:v>141.33750000000001</c:v>
                </c:pt>
                <c:pt idx="3405">
                  <c:v>141.53890000000001</c:v>
                </c:pt>
                <c:pt idx="3406">
                  <c:v>141.62129999999999</c:v>
                </c:pt>
                <c:pt idx="3407">
                  <c:v>141.6146</c:v>
                </c:pt>
                <c:pt idx="3408">
                  <c:v>141.47020000000001</c:v>
                </c:pt>
                <c:pt idx="3409">
                  <c:v>141.44990000000001</c:v>
                </c:pt>
                <c:pt idx="3410">
                  <c:v>141.44990000000001</c:v>
                </c:pt>
                <c:pt idx="3411">
                  <c:v>141.50749999999999</c:v>
                </c:pt>
                <c:pt idx="3412">
                  <c:v>141.52029999999999</c:v>
                </c:pt>
                <c:pt idx="3413">
                  <c:v>141.4461</c:v>
                </c:pt>
                <c:pt idx="3414">
                  <c:v>141.58150000000001</c:v>
                </c:pt>
                <c:pt idx="3415">
                  <c:v>141.5266</c:v>
                </c:pt>
                <c:pt idx="3416">
                  <c:v>141.62310000000002</c:v>
                </c:pt>
                <c:pt idx="3417">
                  <c:v>141.62310000000002</c:v>
                </c:pt>
                <c:pt idx="3418">
                  <c:v>141.5848</c:v>
                </c:pt>
                <c:pt idx="3419">
                  <c:v>141.59100000000001</c:v>
                </c:pt>
                <c:pt idx="3420">
                  <c:v>141.66319999999999</c:v>
                </c:pt>
                <c:pt idx="3421">
                  <c:v>141.83320000000001</c:v>
                </c:pt>
                <c:pt idx="3422">
                  <c:v>141.54949999999999</c:v>
                </c:pt>
                <c:pt idx="3423">
                  <c:v>143.93</c:v>
                </c:pt>
                <c:pt idx="3424">
                  <c:v>143.93</c:v>
                </c:pt>
                <c:pt idx="3425">
                  <c:v>148.22370000000001</c:v>
                </c:pt>
                <c:pt idx="3426">
                  <c:v>147.91040000000004</c:v>
                </c:pt>
                <c:pt idx="3427">
                  <c:v>150.834</c:v>
                </c:pt>
                <c:pt idx="3428">
                  <c:v>152.28569999999999</c:v>
                </c:pt>
                <c:pt idx="3429">
                  <c:v>151.95310000000001</c:v>
                </c:pt>
                <c:pt idx="3430">
                  <c:v>151.9999</c:v>
                </c:pt>
                <c:pt idx="3431">
                  <c:v>151.46549999999999</c:v>
                </c:pt>
                <c:pt idx="3432">
                  <c:v>151.56630000000001</c:v>
                </c:pt>
                <c:pt idx="3433">
                  <c:v>150.87049999999999</c:v>
                </c:pt>
                <c:pt idx="3434">
                  <c:v>150.99340000000001</c:v>
                </c:pt>
                <c:pt idx="3435">
                  <c:v>150.00060000000002</c:v>
                </c:pt>
                <c:pt idx="3436">
                  <c:v>151.0335</c:v>
                </c:pt>
                <c:pt idx="3437">
                  <c:v>146.8604</c:v>
                </c:pt>
                <c:pt idx="3438">
                  <c:v>146.8604</c:v>
                </c:pt>
                <c:pt idx="3439">
                  <c:v>146.30070000000001</c:v>
                </c:pt>
                <c:pt idx="3440">
                  <c:v>146.84610000000001</c:v>
                </c:pt>
                <c:pt idx="3441">
                  <c:v>147.45439999999999</c:v>
                </c:pt>
                <c:pt idx="3442">
                  <c:v>147.29050000000001</c:v>
                </c:pt>
                <c:pt idx="3443">
                  <c:v>147.53319999999999</c:v>
                </c:pt>
                <c:pt idx="3444">
                  <c:v>149.53980000000001</c:v>
                </c:pt>
                <c:pt idx="3445">
                  <c:v>149.53980000000001</c:v>
                </c:pt>
                <c:pt idx="3446">
                  <c:v>147.7047</c:v>
                </c:pt>
                <c:pt idx="3447">
                  <c:v>150.66730000000001</c:v>
                </c:pt>
                <c:pt idx="3448">
                  <c:v>151.38</c:v>
                </c:pt>
                <c:pt idx="3449">
                  <c:v>151.51439999999999</c:v>
                </c:pt>
                <c:pt idx="3450">
                  <c:v>151.9958</c:v>
                </c:pt>
                <c:pt idx="3451">
                  <c:v>153.49959999999999</c:v>
                </c:pt>
                <c:pt idx="3452">
                  <c:v>153.4999</c:v>
                </c:pt>
                <c:pt idx="3453">
                  <c:v>153.5035</c:v>
                </c:pt>
                <c:pt idx="3454">
                  <c:v>156.8768</c:v>
                </c:pt>
                <c:pt idx="3455">
                  <c:v>157.0838</c:v>
                </c:pt>
                <c:pt idx="3456">
                  <c:v>157.07069999999999</c:v>
                </c:pt>
                <c:pt idx="3457">
                  <c:v>157.07150000000001</c:v>
                </c:pt>
                <c:pt idx="3458">
                  <c:v>157.14019999999999</c:v>
                </c:pt>
                <c:pt idx="3459">
                  <c:v>157.14019999999999</c:v>
                </c:pt>
                <c:pt idx="3460">
                  <c:v>157.16329999999999</c:v>
                </c:pt>
                <c:pt idx="3461">
                  <c:v>157.24860000000001</c:v>
                </c:pt>
                <c:pt idx="3462">
                  <c:v>157.24940000000001</c:v>
                </c:pt>
                <c:pt idx="3463">
                  <c:v>156.95000000000002</c:v>
                </c:pt>
                <c:pt idx="3464">
                  <c:v>160.90100000000001</c:v>
                </c:pt>
                <c:pt idx="3465">
                  <c:v>163.00040000000001</c:v>
                </c:pt>
                <c:pt idx="3466">
                  <c:v>163.00040000000001</c:v>
                </c:pt>
                <c:pt idx="3467">
                  <c:v>163.7568</c:v>
                </c:pt>
                <c:pt idx="3468">
                  <c:v>162.3038</c:v>
                </c:pt>
                <c:pt idx="3469">
                  <c:v>156.49879999999999</c:v>
                </c:pt>
                <c:pt idx="3470">
                  <c:v>158.61869999999999</c:v>
                </c:pt>
                <c:pt idx="3471">
                  <c:v>158.06809999999999</c:v>
                </c:pt>
                <c:pt idx="3472">
                  <c:v>156.9006</c:v>
                </c:pt>
                <c:pt idx="3473">
                  <c:v>156.8999</c:v>
                </c:pt>
                <c:pt idx="3474">
                  <c:v>156.90010000000001</c:v>
                </c:pt>
                <c:pt idx="3475">
                  <c:v>158.24940000000001</c:v>
                </c:pt>
                <c:pt idx="3476">
                  <c:v>158.357</c:v>
                </c:pt>
                <c:pt idx="3477">
                  <c:v>158.24420000000001</c:v>
                </c:pt>
                <c:pt idx="3478">
                  <c:v>158.5549</c:v>
                </c:pt>
                <c:pt idx="3479">
                  <c:v>157.99969999999999</c:v>
                </c:pt>
                <c:pt idx="3480">
                  <c:v>157.99969999999999</c:v>
                </c:pt>
                <c:pt idx="3481">
                  <c:v>158.92099999999999</c:v>
                </c:pt>
                <c:pt idx="3482">
                  <c:v>159.52930000000003</c:v>
                </c:pt>
                <c:pt idx="3483">
                  <c:v>159.66569999999999</c:v>
                </c:pt>
                <c:pt idx="3484">
                  <c:v>159.53370000000001</c:v>
                </c:pt>
                <c:pt idx="3485">
                  <c:v>159.49109999999999</c:v>
                </c:pt>
                <c:pt idx="3486">
                  <c:v>159.93440000000004</c:v>
                </c:pt>
                <c:pt idx="3487">
                  <c:v>159.94</c:v>
                </c:pt>
                <c:pt idx="3488">
                  <c:v>159.93889999999999</c:v>
                </c:pt>
                <c:pt idx="3489">
                  <c:v>160.08510000000001</c:v>
                </c:pt>
                <c:pt idx="3490">
                  <c:v>160.49799999999999</c:v>
                </c:pt>
                <c:pt idx="3491">
                  <c:v>160.75210000000001</c:v>
                </c:pt>
                <c:pt idx="3492">
                  <c:v>161.02510000000001</c:v>
                </c:pt>
                <c:pt idx="3493">
                  <c:v>160.7508</c:v>
                </c:pt>
                <c:pt idx="3494">
                  <c:v>160.7508</c:v>
                </c:pt>
                <c:pt idx="3495">
                  <c:v>161.08590000000004</c:v>
                </c:pt>
                <c:pt idx="3496">
                  <c:v>161.22970000000001</c:v>
                </c:pt>
                <c:pt idx="3497">
                  <c:v>160.9965</c:v>
                </c:pt>
                <c:pt idx="3498">
                  <c:v>160.75479999999999</c:v>
                </c:pt>
                <c:pt idx="3499">
                  <c:v>160.6645</c:v>
                </c:pt>
                <c:pt idx="3500">
                  <c:v>159.55009999999999</c:v>
                </c:pt>
                <c:pt idx="3501">
                  <c:v>159.55009999999999</c:v>
                </c:pt>
                <c:pt idx="3502">
                  <c:v>160.04300000000001</c:v>
                </c:pt>
                <c:pt idx="3503">
                  <c:v>159.85839999999999</c:v>
                </c:pt>
                <c:pt idx="3504">
                  <c:v>159.24109999999999</c:v>
                </c:pt>
                <c:pt idx="3505">
                  <c:v>159.77619999999999</c:v>
                </c:pt>
                <c:pt idx="3506">
                  <c:v>159.52850000000001</c:v>
                </c:pt>
                <c:pt idx="3507">
                  <c:v>157.95720000000003</c:v>
                </c:pt>
                <c:pt idx="3508">
                  <c:v>157.95720000000003</c:v>
                </c:pt>
                <c:pt idx="3509">
                  <c:v>157.95099999999999</c:v>
                </c:pt>
                <c:pt idx="3510">
                  <c:v>160.26900000000001</c:v>
                </c:pt>
                <c:pt idx="3511">
                  <c:v>160.26</c:v>
                </c:pt>
                <c:pt idx="3512">
                  <c:v>160.2336</c:v>
                </c:pt>
                <c:pt idx="3513">
                  <c:v>160.22319999999999</c:v>
                </c:pt>
                <c:pt idx="3514">
                  <c:v>159.76500000000001</c:v>
                </c:pt>
                <c:pt idx="3515">
                  <c:v>159.76500000000001</c:v>
                </c:pt>
                <c:pt idx="3516">
                  <c:v>160.5925</c:v>
                </c:pt>
                <c:pt idx="3517">
                  <c:v>158.29910000000001</c:v>
                </c:pt>
                <c:pt idx="3518">
                  <c:v>160.22829999999999</c:v>
                </c:pt>
                <c:pt idx="3519">
                  <c:v>160.05279999999999</c:v>
                </c:pt>
                <c:pt idx="3520">
                  <c:v>160.36920000000001</c:v>
                </c:pt>
                <c:pt idx="3521">
                  <c:v>160.04</c:v>
                </c:pt>
                <c:pt idx="3522">
                  <c:v>160.04020000000003</c:v>
                </c:pt>
                <c:pt idx="3523">
                  <c:v>157.00819999999999</c:v>
                </c:pt>
                <c:pt idx="3524">
                  <c:v>158.905</c:v>
                </c:pt>
                <c:pt idx="3525">
                  <c:v>159.11230000000003</c:v>
                </c:pt>
                <c:pt idx="3526">
                  <c:v>158.57650000000001</c:v>
                </c:pt>
                <c:pt idx="3527">
                  <c:v>158.232</c:v>
                </c:pt>
                <c:pt idx="3528">
                  <c:v>157.50020000000001</c:v>
                </c:pt>
                <c:pt idx="3529">
                  <c:v>157.50020000000001</c:v>
                </c:pt>
                <c:pt idx="3530">
                  <c:v>156.83449999999999</c:v>
                </c:pt>
                <c:pt idx="3531">
                  <c:v>156.75290000000004</c:v>
                </c:pt>
                <c:pt idx="3532">
                  <c:v>156.7269</c:v>
                </c:pt>
                <c:pt idx="3533">
                  <c:v>156.7458</c:v>
                </c:pt>
                <c:pt idx="3534">
                  <c:v>156.88510000000002</c:v>
                </c:pt>
                <c:pt idx="3535">
                  <c:v>156.21870000000001</c:v>
                </c:pt>
                <c:pt idx="3536">
                  <c:v>156.21940000000001</c:v>
                </c:pt>
                <c:pt idx="3537">
                  <c:v>155.64930000000001</c:v>
                </c:pt>
                <c:pt idx="3538">
                  <c:v>156.4615</c:v>
                </c:pt>
                <c:pt idx="3539">
                  <c:v>156.72810000000001</c:v>
                </c:pt>
                <c:pt idx="3540">
                  <c:v>156.50530000000003</c:v>
                </c:pt>
                <c:pt idx="3541">
                  <c:v>156.70500000000001</c:v>
                </c:pt>
                <c:pt idx="3542">
                  <c:v>156.65010000000001</c:v>
                </c:pt>
                <c:pt idx="3543">
                  <c:v>156.65020000000001</c:v>
                </c:pt>
                <c:pt idx="3544">
                  <c:v>156.52889999999999</c:v>
                </c:pt>
                <c:pt idx="3545">
                  <c:v>155.74619999999999</c:v>
                </c:pt>
                <c:pt idx="3546">
                  <c:v>156.5701</c:v>
                </c:pt>
                <c:pt idx="3547">
                  <c:v>156.8648</c:v>
                </c:pt>
                <c:pt idx="3548">
                  <c:v>156.78380000000001</c:v>
                </c:pt>
                <c:pt idx="3549">
                  <c:v>156.83410000000001</c:v>
                </c:pt>
                <c:pt idx="3550">
                  <c:v>156.83410000000001</c:v>
                </c:pt>
                <c:pt idx="3551">
                  <c:v>156.38679999999999</c:v>
                </c:pt>
                <c:pt idx="3552">
                  <c:v>156.68129999999999</c:v>
                </c:pt>
                <c:pt idx="3553">
                  <c:v>156.56120000000001</c:v>
                </c:pt>
                <c:pt idx="3554">
                  <c:v>156.6557</c:v>
                </c:pt>
                <c:pt idx="3555">
                  <c:v>157.28290000000004</c:v>
                </c:pt>
                <c:pt idx="3556">
                  <c:v>156.85</c:v>
                </c:pt>
                <c:pt idx="3557">
                  <c:v>156.82490000000001</c:v>
                </c:pt>
                <c:pt idx="3558">
                  <c:v>156.75050000000002</c:v>
                </c:pt>
                <c:pt idx="3559">
                  <c:v>157.23089999999999</c:v>
                </c:pt>
                <c:pt idx="3560">
                  <c:v>156.36259999999999</c:v>
                </c:pt>
                <c:pt idx="3561">
                  <c:v>156.32689999999999</c:v>
                </c:pt>
                <c:pt idx="3562">
                  <c:v>156.6739</c:v>
                </c:pt>
                <c:pt idx="3563">
                  <c:v>156.37550000000002</c:v>
                </c:pt>
                <c:pt idx="3564">
                  <c:v>157.10470000000001</c:v>
                </c:pt>
                <c:pt idx="3565">
                  <c:v>156.8802</c:v>
                </c:pt>
                <c:pt idx="3566">
                  <c:v>156.53319999999999</c:v>
                </c:pt>
                <c:pt idx="3567">
                  <c:v>156.77770000000001</c:v>
                </c:pt>
                <c:pt idx="3568">
                  <c:v>156.90809999999999</c:v>
                </c:pt>
                <c:pt idx="3569">
                  <c:v>156.59049999999999</c:v>
                </c:pt>
                <c:pt idx="3570">
                  <c:v>156.50030000000001</c:v>
                </c:pt>
                <c:pt idx="3571">
                  <c:v>156.50030000000001</c:v>
                </c:pt>
                <c:pt idx="3572">
                  <c:v>156.77809999999999</c:v>
                </c:pt>
                <c:pt idx="3573">
                  <c:v>156.81379999999999</c:v>
                </c:pt>
                <c:pt idx="3574">
                  <c:v>156.33000000000001</c:v>
                </c:pt>
                <c:pt idx="3575">
                  <c:v>156.06960000000001</c:v>
                </c:pt>
                <c:pt idx="3576">
                  <c:v>156.03880000000001</c:v>
                </c:pt>
                <c:pt idx="3577">
                  <c:v>155.94919999999999</c:v>
                </c:pt>
                <c:pt idx="3578">
                  <c:v>155.94919999999999</c:v>
                </c:pt>
                <c:pt idx="3579">
                  <c:v>156.27460000000002</c:v>
                </c:pt>
                <c:pt idx="3580">
                  <c:v>155.99639999999999</c:v>
                </c:pt>
                <c:pt idx="3581">
                  <c:v>156.31829999999999</c:v>
                </c:pt>
                <c:pt idx="3582">
                  <c:v>156.04339999999999</c:v>
                </c:pt>
                <c:pt idx="3583">
                  <c:v>155.97229999999999</c:v>
                </c:pt>
                <c:pt idx="3584">
                  <c:v>155.79400000000001</c:v>
                </c:pt>
                <c:pt idx="3585">
                  <c:v>155.79990000000001</c:v>
                </c:pt>
                <c:pt idx="3586">
                  <c:v>156.1919</c:v>
                </c:pt>
                <c:pt idx="3587">
                  <c:v>155.85480000000001</c:v>
                </c:pt>
                <c:pt idx="3588">
                  <c:v>155.67930000000001</c:v>
                </c:pt>
                <c:pt idx="3589">
                  <c:v>155.60270000000003</c:v>
                </c:pt>
                <c:pt idx="3590">
                  <c:v>155.5016</c:v>
                </c:pt>
                <c:pt idx="3591">
                  <c:v>154.95779999999999</c:v>
                </c:pt>
                <c:pt idx="3592">
                  <c:v>154.9622</c:v>
                </c:pt>
                <c:pt idx="3593">
                  <c:v>154.95760000000001</c:v>
                </c:pt>
                <c:pt idx="3594">
                  <c:v>155.62520000000001</c:v>
                </c:pt>
                <c:pt idx="3595">
                  <c:v>156.108</c:v>
                </c:pt>
                <c:pt idx="3596">
                  <c:v>156.15889999999999</c:v>
                </c:pt>
                <c:pt idx="3597">
                  <c:v>156.03790000000001</c:v>
                </c:pt>
                <c:pt idx="3598">
                  <c:v>156</c:v>
                </c:pt>
                <c:pt idx="3599">
                  <c:v>156</c:v>
                </c:pt>
                <c:pt idx="3600">
                  <c:v>156.10159999999999</c:v>
                </c:pt>
                <c:pt idx="3601">
                  <c:v>155.90389999999999</c:v>
                </c:pt>
                <c:pt idx="3602">
                  <c:v>155.9288</c:v>
                </c:pt>
                <c:pt idx="3603">
                  <c:v>155.79239999999999</c:v>
                </c:pt>
                <c:pt idx="3604">
                  <c:v>155.90440000000004</c:v>
                </c:pt>
                <c:pt idx="3605">
                  <c:v>155.4939</c:v>
                </c:pt>
                <c:pt idx="3606">
                  <c:v>155.4939</c:v>
                </c:pt>
                <c:pt idx="3607">
                  <c:v>155.12790000000004</c:v>
                </c:pt>
                <c:pt idx="3608">
                  <c:v>155.87</c:v>
                </c:pt>
                <c:pt idx="3609">
                  <c:v>155.87190000000004</c:v>
                </c:pt>
                <c:pt idx="3610">
                  <c:v>155.87710000000001</c:v>
                </c:pt>
                <c:pt idx="3611">
                  <c:v>155.29599999999999</c:v>
                </c:pt>
                <c:pt idx="3612">
                  <c:v>155.5</c:v>
                </c:pt>
                <c:pt idx="3613">
                  <c:v>155.5</c:v>
                </c:pt>
                <c:pt idx="3614">
                  <c:v>155.3886</c:v>
                </c:pt>
                <c:pt idx="3615">
                  <c:v>155.7901</c:v>
                </c:pt>
                <c:pt idx="3616">
                  <c:v>155.39930000000001</c:v>
                </c:pt>
                <c:pt idx="3617">
                  <c:v>155.29589999999999</c:v>
                </c:pt>
                <c:pt idx="3618">
                  <c:v>155.2627</c:v>
                </c:pt>
                <c:pt idx="3619">
                  <c:v>155.369</c:v>
                </c:pt>
                <c:pt idx="3620">
                  <c:v>154.93180000000001</c:v>
                </c:pt>
                <c:pt idx="3621">
                  <c:v>155.02430000000001</c:v>
                </c:pt>
                <c:pt idx="3622">
                  <c:v>155.26769999999999</c:v>
                </c:pt>
                <c:pt idx="3623">
                  <c:v>155.20419999999999</c:v>
                </c:pt>
                <c:pt idx="3624">
                  <c:v>155.14070000000001</c:v>
                </c:pt>
                <c:pt idx="3625">
                  <c:v>155.03749999999999</c:v>
                </c:pt>
                <c:pt idx="3626">
                  <c:v>154.7799</c:v>
                </c:pt>
                <c:pt idx="3627">
                  <c:v>154.7799</c:v>
                </c:pt>
                <c:pt idx="3628">
                  <c:v>154.91</c:v>
                </c:pt>
                <c:pt idx="3629">
                  <c:v>155.05840000000001</c:v>
                </c:pt>
                <c:pt idx="3630">
                  <c:v>154.9973</c:v>
                </c:pt>
                <c:pt idx="3631">
                  <c:v>155.03739999999999</c:v>
                </c:pt>
                <c:pt idx="3632">
                  <c:v>154.97579999999999</c:v>
                </c:pt>
                <c:pt idx="3633">
                  <c:v>154.95250000000001</c:v>
                </c:pt>
                <c:pt idx="3634">
                  <c:v>154.95250000000001</c:v>
                </c:pt>
                <c:pt idx="3635">
                  <c:v>154.9854</c:v>
                </c:pt>
                <c:pt idx="3636">
                  <c:v>155.03739999999999</c:v>
                </c:pt>
                <c:pt idx="3637">
                  <c:v>155.03489999999999</c:v>
                </c:pt>
                <c:pt idx="3638">
                  <c:v>154.90450000000001</c:v>
                </c:pt>
                <c:pt idx="3639">
                  <c:v>154.5412</c:v>
                </c:pt>
                <c:pt idx="3640">
                  <c:v>154.869</c:v>
                </c:pt>
                <c:pt idx="3641">
                  <c:v>154.869</c:v>
                </c:pt>
                <c:pt idx="3642">
                  <c:v>154.5266</c:v>
                </c:pt>
                <c:pt idx="3643">
                  <c:v>154.9349</c:v>
                </c:pt>
                <c:pt idx="3644">
                  <c:v>154.80770000000001</c:v>
                </c:pt>
                <c:pt idx="3645">
                  <c:v>154.75810000000001</c:v>
                </c:pt>
                <c:pt idx="3646">
                  <c:v>154.7664</c:v>
                </c:pt>
                <c:pt idx="3647">
                  <c:v>154.85</c:v>
                </c:pt>
                <c:pt idx="3648">
                  <c:v>154.85</c:v>
                </c:pt>
                <c:pt idx="3649">
                  <c:v>154.87119999999999</c:v>
                </c:pt>
                <c:pt idx="3650">
                  <c:v>154.88750000000002</c:v>
                </c:pt>
                <c:pt idx="3651">
                  <c:v>154.87880000000001</c:v>
                </c:pt>
                <c:pt idx="3652">
                  <c:v>155.66239999999999</c:v>
                </c:pt>
                <c:pt idx="3653">
                  <c:v>154.83760000000001</c:v>
                </c:pt>
                <c:pt idx="3654">
                  <c:v>154.89400000000001</c:v>
                </c:pt>
                <c:pt idx="3655">
                  <c:v>154.89400000000001</c:v>
                </c:pt>
                <c:pt idx="3656">
                  <c:v>154.88910000000001</c:v>
                </c:pt>
                <c:pt idx="3657">
                  <c:v>155.07550000000001</c:v>
                </c:pt>
                <c:pt idx="3658">
                  <c:v>155.01490000000004</c:v>
                </c:pt>
                <c:pt idx="3659">
                  <c:v>154.8982</c:v>
                </c:pt>
                <c:pt idx="3660">
                  <c:v>154.6968</c:v>
                </c:pt>
                <c:pt idx="3661">
                  <c:v>154.8751</c:v>
                </c:pt>
                <c:pt idx="3662">
                  <c:v>154.51500000000001</c:v>
                </c:pt>
                <c:pt idx="3663">
                  <c:v>154.5898</c:v>
                </c:pt>
                <c:pt idx="3664">
                  <c:v>154.8571</c:v>
                </c:pt>
                <c:pt idx="3665">
                  <c:v>154.87469999999999</c:v>
                </c:pt>
                <c:pt idx="3666">
                  <c:v>154.7552</c:v>
                </c:pt>
                <c:pt idx="3667">
                  <c:v>154.67400000000001</c:v>
                </c:pt>
                <c:pt idx="3668">
                  <c:v>154.5934</c:v>
                </c:pt>
                <c:pt idx="3669">
                  <c:v>154.5934</c:v>
                </c:pt>
                <c:pt idx="3670">
                  <c:v>154.60409999999999</c:v>
                </c:pt>
                <c:pt idx="3671">
                  <c:v>154.6789</c:v>
                </c:pt>
                <c:pt idx="3672">
                  <c:v>154.62029999999999</c:v>
                </c:pt>
                <c:pt idx="3673">
                  <c:v>154.56649999999999</c:v>
                </c:pt>
                <c:pt idx="3674">
                  <c:v>154.68219999999999</c:v>
                </c:pt>
                <c:pt idx="3675">
                  <c:v>154.6268</c:v>
                </c:pt>
                <c:pt idx="3676">
                  <c:v>154.6268</c:v>
                </c:pt>
                <c:pt idx="3677">
                  <c:v>154.6208</c:v>
                </c:pt>
                <c:pt idx="3678">
                  <c:v>154.5224</c:v>
                </c:pt>
                <c:pt idx="3679">
                  <c:v>154.5</c:v>
                </c:pt>
                <c:pt idx="3680">
                  <c:v>154.42060000000001</c:v>
                </c:pt>
                <c:pt idx="3681">
                  <c:v>154.52359999999999</c:v>
                </c:pt>
                <c:pt idx="3682">
                  <c:v>154.44530000000003</c:v>
                </c:pt>
                <c:pt idx="3683">
                  <c:v>154.44530000000003</c:v>
                </c:pt>
                <c:pt idx="3684">
                  <c:v>154.44540000000001</c:v>
                </c:pt>
                <c:pt idx="3685">
                  <c:v>154.4743</c:v>
                </c:pt>
                <c:pt idx="3686">
                  <c:v>154.49210000000002</c:v>
                </c:pt>
                <c:pt idx="3687">
                  <c:v>154.40119999999999</c:v>
                </c:pt>
                <c:pt idx="3688">
                  <c:v>154.46930000000003</c:v>
                </c:pt>
                <c:pt idx="3689">
                  <c:v>154.5624</c:v>
                </c:pt>
                <c:pt idx="3690">
                  <c:v>154.5624</c:v>
                </c:pt>
                <c:pt idx="3691">
                  <c:v>154.52000000000001</c:v>
                </c:pt>
                <c:pt idx="3692">
                  <c:v>154.6225</c:v>
                </c:pt>
                <c:pt idx="3693">
                  <c:v>154.51070000000001</c:v>
                </c:pt>
                <c:pt idx="3694">
                  <c:v>154.42480000000003</c:v>
                </c:pt>
                <c:pt idx="3695">
                  <c:v>154.36179999999999</c:v>
                </c:pt>
                <c:pt idx="3696">
                  <c:v>154.35120000000001</c:v>
                </c:pt>
                <c:pt idx="3697">
                  <c:v>154.35120000000001</c:v>
                </c:pt>
                <c:pt idx="3698">
                  <c:v>154.33279999999999</c:v>
                </c:pt>
                <c:pt idx="3699">
                  <c:v>154.39960000000002</c:v>
                </c:pt>
                <c:pt idx="3700">
                  <c:v>154.33760000000001</c:v>
                </c:pt>
                <c:pt idx="3701">
                  <c:v>154.19659999999999</c:v>
                </c:pt>
                <c:pt idx="3702">
                  <c:v>154.31710000000001</c:v>
                </c:pt>
                <c:pt idx="3703">
                  <c:v>154.29990000000001</c:v>
                </c:pt>
                <c:pt idx="3704">
                  <c:v>154.29990000000001</c:v>
                </c:pt>
                <c:pt idx="3705">
                  <c:v>154.3588</c:v>
                </c:pt>
                <c:pt idx="3706">
                  <c:v>154.2587</c:v>
                </c:pt>
                <c:pt idx="3707">
                  <c:v>154.2501</c:v>
                </c:pt>
                <c:pt idx="3708">
                  <c:v>154.22770000000003</c:v>
                </c:pt>
                <c:pt idx="3709">
                  <c:v>154.25970000000001</c:v>
                </c:pt>
                <c:pt idx="3710">
                  <c:v>154.29349999999999</c:v>
                </c:pt>
                <c:pt idx="3711">
                  <c:v>154.29390000000001</c:v>
                </c:pt>
                <c:pt idx="3712">
                  <c:v>154.29419999999999</c:v>
                </c:pt>
                <c:pt idx="3713">
                  <c:v>154.3459</c:v>
                </c:pt>
                <c:pt idx="3714">
                  <c:v>154.20439999999999</c:v>
                </c:pt>
                <c:pt idx="3715">
                  <c:v>154.27719999999999</c:v>
                </c:pt>
                <c:pt idx="3716">
                  <c:v>154.24330000000003</c:v>
                </c:pt>
                <c:pt idx="3717">
                  <c:v>154.29409999999999</c:v>
                </c:pt>
                <c:pt idx="3718">
                  <c:v>154.28819999999999</c:v>
                </c:pt>
                <c:pt idx="3719">
                  <c:v>154.4502</c:v>
                </c:pt>
                <c:pt idx="3720">
                  <c:v>157.14240000000004</c:v>
                </c:pt>
                <c:pt idx="3721">
                  <c:v>157.07510000000002</c:v>
                </c:pt>
                <c:pt idx="3722">
                  <c:v>159.34739999999999</c:v>
                </c:pt>
                <c:pt idx="3723">
                  <c:v>159.0033</c:v>
                </c:pt>
                <c:pt idx="3724">
                  <c:v>156.7593</c:v>
                </c:pt>
                <c:pt idx="3725">
                  <c:v>156.76010000000002</c:v>
                </c:pt>
                <c:pt idx="3726">
                  <c:v>157.5232</c:v>
                </c:pt>
                <c:pt idx="3727">
                  <c:v>158.73779999999999</c:v>
                </c:pt>
                <c:pt idx="3728">
                  <c:v>159.12710000000001</c:v>
                </c:pt>
                <c:pt idx="3729">
                  <c:v>159.02780000000001</c:v>
                </c:pt>
                <c:pt idx="3730">
                  <c:v>159.01509999999999</c:v>
                </c:pt>
                <c:pt idx="3731">
                  <c:v>158.92960000000002</c:v>
                </c:pt>
                <c:pt idx="3732">
                  <c:v>158.72499999999999</c:v>
                </c:pt>
                <c:pt idx="3733">
                  <c:v>159.1191</c:v>
                </c:pt>
                <c:pt idx="3734">
                  <c:v>157.8381</c:v>
                </c:pt>
                <c:pt idx="3735">
                  <c:v>158.83110000000002</c:v>
                </c:pt>
                <c:pt idx="3736">
                  <c:v>159.58760000000001</c:v>
                </c:pt>
                <c:pt idx="3737">
                  <c:v>162.7201</c:v>
                </c:pt>
                <c:pt idx="3738">
                  <c:v>161.46430000000001</c:v>
                </c:pt>
                <c:pt idx="3739">
                  <c:v>161.46450000000002</c:v>
                </c:pt>
                <c:pt idx="3740">
                  <c:v>163.7484</c:v>
                </c:pt>
                <c:pt idx="3741">
                  <c:v>166.01669999999999</c:v>
                </c:pt>
                <c:pt idx="3742">
                  <c:v>166.40320000000003</c:v>
                </c:pt>
                <c:pt idx="3743">
                  <c:v>166.42429999999999</c:v>
                </c:pt>
                <c:pt idx="3744">
                  <c:v>166.57660000000001</c:v>
                </c:pt>
                <c:pt idx="3745">
                  <c:v>166.53</c:v>
                </c:pt>
                <c:pt idx="3746">
                  <c:v>166.53</c:v>
                </c:pt>
                <c:pt idx="3747">
                  <c:v>167.0719</c:v>
                </c:pt>
                <c:pt idx="3748">
                  <c:v>167.04620000000003</c:v>
                </c:pt>
                <c:pt idx="3749">
                  <c:v>167.4289</c:v>
                </c:pt>
                <c:pt idx="3750">
                  <c:v>167.60810000000001</c:v>
                </c:pt>
                <c:pt idx="3751">
                  <c:v>167.53559999999999</c:v>
                </c:pt>
                <c:pt idx="3752">
                  <c:v>166.50380000000001</c:v>
                </c:pt>
                <c:pt idx="3753">
                  <c:v>166.5001</c:v>
                </c:pt>
                <c:pt idx="3754">
                  <c:v>166.4716</c:v>
                </c:pt>
                <c:pt idx="3755">
                  <c:v>166.4676</c:v>
                </c:pt>
                <c:pt idx="3756">
                  <c:v>166.70070000000001</c:v>
                </c:pt>
                <c:pt idx="3757">
                  <c:v>166.8929</c:v>
                </c:pt>
                <c:pt idx="3758">
                  <c:v>167.31829999999999</c:v>
                </c:pt>
                <c:pt idx="3759">
                  <c:v>166.64340000000001</c:v>
                </c:pt>
                <c:pt idx="3760">
                  <c:v>166.64340000000001</c:v>
                </c:pt>
                <c:pt idx="3761">
                  <c:v>163.59440000000001</c:v>
                </c:pt>
                <c:pt idx="3762">
                  <c:v>163.5916</c:v>
                </c:pt>
                <c:pt idx="3763">
                  <c:v>161.35579999999999</c:v>
                </c:pt>
                <c:pt idx="3764">
                  <c:v>160.40960000000001</c:v>
                </c:pt>
                <c:pt idx="3765">
                  <c:v>159.97309999999999</c:v>
                </c:pt>
                <c:pt idx="3766">
                  <c:v>161.0001</c:v>
                </c:pt>
                <c:pt idx="3767">
                  <c:v>161.0001</c:v>
                </c:pt>
                <c:pt idx="3768">
                  <c:v>161.0104</c:v>
                </c:pt>
                <c:pt idx="3769">
                  <c:v>160.94520000000003</c:v>
                </c:pt>
                <c:pt idx="3770">
                  <c:v>161.15560000000002</c:v>
                </c:pt>
                <c:pt idx="3771">
                  <c:v>161.54599999999999</c:v>
                </c:pt>
                <c:pt idx="3772">
                  <c:v>160.4479</c:v>
                </c:pt>
                <c:pt idx="3773">
                  <c:v>160.375</c:v>
                </c:pt>
                <c:pt idx="3774">
                  <c:v>160.375</c:v>
                </c:pt>
                <c:pt idx="3775">
                  <c:v>159.80250000000001</c:v>
                </c:pt>
                <c:pt idx="3776">
                  <c:v>158.4734</c:v>
                </c:pt>
                <c:pt idx="3777">
                  <c:v>159.5865</c:v>
                </c:pt>
                <c:pt idx="3778">
                  <c:v>159.26</c:v>
                </c:pt>
                <c:pt idx="3779">
                  <c:v>160.30340000000004</c:v>
                </c:pt>
                <c:pt idx="3780">
                  <c:v>159.6499</c:v>
                </c:pt>
                <c:pt idx="3781">
                  <c:v>159.6499</c:v>
                </c:pt>
                <c:pt idx="3782">
                  <c:v>159.749</c:v>
                </c:pt>
                <c:pt idx="3783">
                  <c:v>159.93260000000001</c:v>
                </c:pt>
                <c:pt idx="3784">
                  <c:v>160.27170000000001</c:v>
                </c:pt>
                <c:pt idx="3785">
                  <c:v>160.6661</c:v>
                </c:pt>
                <c:pt idx="3786">
                  <c:v>160.3578</c:v>
                </c:pt>
                <c:pt idx="3787">
                  <c:v>159.99600000000001</c:v>
                </c:pt>
                <c:pt idx="3788">
                  <c:v>159.99600000000001</c:v>
                </c:pt>
                <c:pt idx="3789">
                  <c:v>160.0504</c:v>
                </c:pt>
                <c:pt idx="3790">
                  <c:v>160.47999999999999</c:v>
                </c:pt>
                <c:pt idx="3791">
                  <c:v>160.5155</c:v>
                </c:pt>
                <c:pt idx="3792">
                  <c:v>160.5</c:v>
                </c:pt>
                <c:pt idx="3793">
                  <c:v>160.5385</c:v>
                </c:pt>
                <c:pt idx="3794">
                  <c:v>160.6045</c:v>
                </c:pt>
                <c:pt idx="3795">
                  <c:v>160.60079999999999</c:v>
                </c:pt>
                <c:pt idx="3796">
                  <c:v>160.4913</c:v>
                </c:pt>
                <c:pt idx="3797">
                  <c:v>161.23099999999999</c:v>
                </c:pt>
                <c:pt idx="3798">
                  <c:v>161.1626</c:v>
                </c:pt>
                <c:pt idx="3799">
                  <c:v>160.88499999999999</c:v>
                </c:pt>
                <c:pt idx="3800">
                  <c:v>161.12649999999999</c:v>
                </c:pt>
                <c:pt idx="3801">
                  <c:v>160.95650000000001</c:v>
                </c:pt>
                <c:pt idx="3802">
                  <c:v>160.95650000000001</c:v>
                </c:pt>
                <c:pt idx="3803">
                  <c:v>162.86600000000001</c:v>
                </c:pt>
                <c:pt idx="3804">
                  <c:v>163.05220000000003</c:v>
                </c:pt>
                <c:pt idx="3805">
                  <c:v>165.5</c:v>
                </c:pt>
                <c:pt idx="3806">
                  <c:v>164.99279999999999</c:v>
                </c:pt>
                <c:pt idx="3807">
                  <c:v>163.5539</c:v>
                </c:pt>
                <c:pt idx="3808">
                  <c:v>163.46870000000001</c:v>
                </c:pt>
                <c:pt idx="3809">
                  <c:v>163.46870000000001</c:v>
                </c:pt>
                <c:pt idx="3810">
                  <c:v>163.34829999999999</c:v>
                </c:pt>
                <c:pt idx="3811">
                  <c:v>163.3348</c:v>
                </c:pt>
                <c:pt idx="3812">
                  <c:v>163.91149999999999</c:v>
                </c:pt>
                <c:pt idx="3813">
                  <c:v>164.49080000000001</c:v>
                </c:pt>
                <c:pt idx="3814">
                  <c:v>164.54589999999999</c:v>
                </c:pt>
                <c:pt idx="3815">
                  <c:v>164.49350000000001</c:v>
                </c:pt>
                <c:pt idx="3816">
                  <c:v>164.49350000000001</c:v>
                </c:pt>
                <c:pt idx="3817">
                  <c:v>164.8724</c:v>
                </c:pt>
                <c:pt idx="3818">
                  <c:v>164.827</c:v>
                </c:pt>
                <c:pt idx="3819">
                  <c:v>165.04040000000001</c:v>
                </c:pt>
                <c:pt idx="3820">
                  <c:v>165.5361</c:v>
                </c:pt>
                <c:pt idx="3821">
                  <c:v>166.32490000000001</c:v>
                </c:pt>
                <c:pt idx="3822">
                  <c:v>166.86199999999999</c:v>
                </c:pt>
                <c:pt idx="3823">
                  <c:v>166.86199999999999</c:v>
                </c:pt>
                <c:pt idx="3824">
                  <c:v>167.0231</c:v>
                </c:pt>
                <c:pt idx="3825">
                  <c:v>166.66880000000003</c:v>
                </c:pt>
                <c:pt idx="3826">
                  <c:v>167.17529999999999</c:v>
                </c:pt>
                <c:pt idx="3827">
                  <c:v>167.90310000000002</c:v>
                </c:pt>
                <c:pt idx="3828">
                  <c:v>167.92230000000001</c:v>
                </c:pt>
                <c:pt idx="3829">
                  <c:v>167.54320000000001</c:v>
                </c:pt>
                <c:pt idx="3830">
                  <c:v>167.54320000000001</c:v>
                </c:pt>
                <c:pt idx="3831">
                  <c:v>167.5171</c:v>
                </c:pt>
                <c:pt idx="3832">
                  <c:v>168.15</c:v>
                </c:pt>
                <c:pt idx="3833">
                  <c:v>167.86439999999999</c:v>
                </c:pt>
                <c:pt idx="3834">
                  <c:v>167.89160000000001</c:v>
                </c:pt>
                <c:pt idx="3835">
                  <c:v>167.9288</c:v>
                </c:pt>
                <c:pt idx="3836">
                  <c:v>167.57429999999999</c:v>
                </c:pt>
                <c:pt idx="3837">
                  <c:v>167.5744</c:v>
                </c:pt>
                <c:pt idx="3838">
                  <c:v>167.15800000000002</c:v>
                </c:pt>
                <c:pt idx="3839">
                  <c:v>166.31020000000001</c:v>
                </c:pt>
                <c:pt idx="3840">
                  <c:v>167.06550000000001</c:v>
                </c:pt>
                <c:pt idx="3841">
                  <c:v>167.08869999999999</c:v>
                </c:pt>
                <c:pt idx="3842">
                  <c:v>167.11830000000003</c:v>
                </c:pt>
                <c:pt idx="3843">
                  <c:v>166.44589999999999</c:v>
                </c:pt>
                <c:pt idx="3844">
                  <c:v>166.12729999999999</c:v>
                </c:pt>
                <c:pt idx="3845">
                  <c:v>166.21109999999999</c:v>
                </c:pt>
                <c:pt idx="3846">
                  <c:v>167.01589999999999</c:v>
                </c:pt>
                <c:pt idx="3847">
                  <c:v>166.97280000000003</c:v>
                </c:pt>
                <c:pt idx="3848">
                  <c:v>166.87719999999999</c:v>
                </c:pt>
                <c:pt idx="3849">
                  <c:v>167.0377</c:v>
                </c:pt>
                <c:pt idx="3850">
                  <c:v>167.3775</c:v>
                </c:pt>
                <c:pt idx="3851">
                  <c:v>167.3775</c:v>
                </c:pt>
                <c:pt idx="3852">
                  <c:v>167.47810000000001</c:v>
                </c:pt>
                <c:pt idx="3853">
                  <c:v>167.6053</c:v>
                </c:pt>
                <c:pt idx="3854">
                  <c:v>167.58700000000002</c:v>
                </c:pt>
                <c:pt idx="3855">
                  <c:v>167.94659999999999</c:v>
                </c:pt>
                <c:pt idx="3856">
                  <c:v>167.95730000000003</c:v>
                </c:pt>
                <c:pt idx="3857">
                  <c:v>167.44390000000001</c:v>
                </c:pt>
                <c:pt idx="3858">
                  <c:v>167.4435</c:v>
                </c:pt>
                <c:pt idx="3859">
                  <c:v>167.83760000000001</c:v>
                </c:pt>
                <c:pt idx="3860">
                  <c:v>166.8186</c:v>
                </c:pt>
                <c:pt idx="3861">
                  <c:v>166.44069999999999</c:v>
                </c:pt>
                <c:pt idx="3862">
                  <c:v>166.91849999999999</c:v>
                </c:pt>
                <c:pt idx="3863">
                  <c:v>167.07069999999999</c:v>
                </c:pt>
                <c:pt idx="3864">
                  <c:v>167.6336</c:v>
                </c:pt>
                <c:pt idx="3865">
                  <c:v>167.6345</c:v>
                </c:pt>
                <c:pt idx="3866">
                  <c:v>167.50060000000002</c:v>
                </c:pt>
                <c:pt idx="3867">
                  <c:v>167.0128</c:v>
                </c:pt>
                <c:pt idx="3868">
                  <c:v>167.59649999999999</c:v>
                </c:pt>
                <c:pt idx="3869">
                  <c:v>168.18570000000003</c:v>
                </c:pt>
                <c:pt idx="3870">
                  <c:v>168.66890000000001</c:v>
                </c:pt>
                <c:pt idx="3871">
                  <c:v>167.8973</c:v>
                </c:pt>
                <c:pt idx="3872">
                  <c:v>168.8777</c:v>
                </c:pt>
                <c:pt idx="3873">
                  <c:v>168.70429999999999</c:v>
                </c:pt>
                <c:pt idx="3874">
                  <c:v>168.41400000000002</c:v>
                </c:pt>
                <c:pt idx="3875">
                  <c:v>168.5479</c:v>
                </c:pt>
                <c:pt idx="3876">
                  <c:v>168.4204</c:v>
                </c:pt>
                <c:pt idx="3877">
                  <c:v>168.17439999999999</c:v>
                </c:pt>
                <c:pt idx="3878">
                  <c:v>168.0772</c:v>
                </c:pt>
                <c:pt idx="3879">
                  <c:v>168.83250000000001</c:v>
                </c:pt>
                <c:pt idx="3880">
                  <c:v>168.072</c:v>
                </c:pt>
                <c:pt idx="3881">
                  <c:v>167.91970000000001</c:v>
                </c:pt>
                <c:pt idx="3882">
                  <c:v>168.04620000000003</c:v>
                </c:pt>
                <c:pt idx="3883">
                  <c:v>168.44800000000001</c:v>
                </c:pt>
                <c:pt idx="3884">
                  <c:v>168.70160000000001</c:v>
                </c:pt>
                <c:pt idx="3885">
                  <c:v>168.57570000000001</c:v>
                </c:pt>
                <c:pt idx="3886">
                  <c:v>168.57570000000001</c:v>
                </c:pt>
                <c:pt idx="3887">
                  <c:v>168.53380000000001</c:v>
                </c:pt>
                <c:pt idx="3888">
                  <c:v>168.5617</c:v>
                </c:pt>
                <c:pt idx="3889">
                  <c:v>168.48939999999999</c:v>
                </c:pt>
                <c:pt idx="3890">
                  <c:v>168.5556</c:v>
                </c:pt>
                <c:pt idx="3891">
                  <c:v>167.44919999999999</c:v>
                </c:pt>
                <c:pt idx="3892">
                  <c:v>167.29159999999999</c:v>
                </c:pt>
                <c:pt idx="3893">
                  <c:v>167.29159999999999</c:v>
                </c:pt>
                <c:pt idx="3894">
                  <c:v>167.42720000000003</c:v>
                </c:pt>
                <c:pt idx="3895">
                  <c:v>165.48480000000001</c:v>
                </c:pt>
                <c:pt idx="3896">
                  <c:v>165.37560000000002</c:v>
                </c:pt>
                <c:pt idx="3897">
                  <c:v>165.43510000000001</c:v>
                </c:pt>
                <c:pt idx="3898">
                  <c:v>166.0461</c:v>
                </c:pt>
                <c:pt idx="3899">
                  <c:v>165.9503</c:v>
                </c:pt>
                <c:pt idx="3900">
                  <c:v>165.94990000000001</c:v>
                </c:pt>
                <c:pt idx="3901">
                  <c:v>165.74100000000001</c:v>
                </c:pt>
                <c:pt idx="3902">
                  <c:v>165.65270000000001</c:v>
                </c:pt>
                <c:pt idx="3903">
                  <c:v>166.3244</c:v>
                </c:pt>
                <c:pt idx="3904">
                  <c:v>166.29130000000001</c:v>
                </c:pt>
                <c:pt idx="3905">
                  <c:v>166.39070000000001</c:v>
                </c:pt>
                <c:pt idx="3906">
                  <c:v>166.0001</c:v>
                </c:pt>
                <c:pt idx="3907">
                  <c:v>166.0001</c:v>
                </c:pt>
                <c:pt idx="3908">
                  <c:v>166.114</c:v>
                </c:pt>
                <c:pt idx="3909">
                  <c:v>166.12710000000001</c:v>
                </c:pt>
                <c:pt idx="3910">
                  <c:v>166.37670000000003</c:v>
                </c:pt>
                <c:pt idx="3911">
                  <c:v>166.20930000000001</c:v>
                </c:pt>
                <c:pt idx="3912">
                  <c:v>166.26509999999999</c:v>
                </c:pt>
                <c:pt idx="3913">
                  <c:v>166.50630000000001</c:v>
                </c:pt>
                <c:pt idx="3914">
                  <c:v>166.50630000000001</c:v>
                </c:pt>
                <c:pt idx="3915">
                  <c:v>166.05590000000001</c:v>
                </c:pt>
                <c:pt idx="3916">
                  <c:v>166.09209999999999</c:v>
                </c:pt>
                <c:pt idx="3917">
                  <c:v>166.19520000000003</c:v>
                </c:pt>
                <c:pt idx="3918">
                  <c:v>166.1944</c:v>
                </c:pt>
                <c:pt idx="3919">
                  <c:v>165.92160000000001</c:v>
                </c:pt>
                <c:pt idx="3920">
                  <c:v>165.6499</c:v>
                </c:pt>
                <c:pt idx="3921">
                  <c:v>165.6499</c:v>
                </c:pt>
                <c:pt idx="3922">
                  <c:v>165.70079999999999</c:v>
                </c:pt>
                <c:pt idx="3923">
                  <c:v>166.02799999999999</c:v>
                </c:pt>
                <c:pt idx="3924">
                  <c:v>165.9486</c:v>
                </c:pt>
                <c:pt idx="3925">
                  <c:v>165.64859999999999</c:v>
                </c:pt>
                <c:pt idx="3926">
                  <c:v>165.06530000000001</c:v>
                </c:pt>
                <c:pt idx="3927">
                  <c:v>164.94370000000001</c:v>
                </c:pt>
                <c:pt idx="3928">
                  <c:v>164.9564</c:v>
                </c:pt>
                <c:pt idx="3929">
                  <c:v>164.5266</c:v>
                </c:pt>
                <c:pt idx="3930">
                  <c:v>164.66280000000003</c:v>
                </c:pt>
                <c:pt idx="3931">
                  <c:v>164.30220000000003</c:v>
                </c:pt>
                <c:pt idx="3932">
                  <c:v>164.21889999999999</c:v>
                </c:pt>
                <c:pt idx="3933">
                  <c:v>163.99379999999999</c:v>
                </c:pt>
                <c:pt idx="3934">
                  <c:v>163.75660000000002</c:v>
                </c:pt>
                <c:pt idx="3935">
                  <c:v>163.80619999999999</c:v>
                </c:pt>
                <c:pt idx="3936">
                  <c:v>163.80410000000001</c:v>
                </c:pt>
                <c:pt idx="3937">
                  <c:v>163.84360000000001</c:v>
                </c:pt>
                <c:pt idx="3938">
                  <c:v>163.88910000000001</c:v>
                </c:pt>
                <c:pt idx="3939">
                  <c:v>163.80520000000001</c:v>
                </c:pt>
                <c:pt idx="3940">
                  <c:v>162.94659999999999</c:v>
                </c:pt>
                <c:pt idx="3941">
                  <c:v>162.75030000000001</c:v>
                </c:pt>
                <c:pt idx="3942">
                  <c:v>162.7499</c:v>
                </c:pt>
                <c:pt idx="3943">
                  <c:v>162.58150000000001</c:v>
                </c:pt>
                <c:pt idx="3944">
                  <c:v>162.47170000000003</c:v>
                </c:pt>
                <c:pt idx="3945">
                  <c:v>162.31060000000002</c:v>
                </c:pt>
                <c:pt idx="3946">
                  <c:v>162.30179999999999</c:v>
                </c:pt>
                <c:pt idx="3947">
                  <c:v>161.80019999999999</c:v>
                </c:pt>
                <c:pt idx="3948">
                  <c:v>161.78110000000001</c:v>
                </c:pt>
                <c:pt idx="3949">
                  <c:v>161.78110000000001</c:v>
                </c:pt>
                <c:pt idx="3950">
                  <c:v>161.43190000000001</c:v>
                </c:pt>
                <c:pt idx="3951">
                  <c:v>161.1199</c:v>
                </c:pt>
                <c:pt idx="3952">
                  <c:v>160.75120000000001</c:v>
                </c:pt>
                <c:pt idx="3953">
                  <c:v>160.5711</c:v>
                </c:pt>
                <c:pt idx="3954">
                  <c:v>160.65049999999999</c:v>
                </c:pt>
                <c:pt idx="3955">
                  <c:v>160.4504</c:v>
                </c:pt>
                <c:pt idx="3956">
                  <c:v>160.45000000000002</c:v>
                </c:pt>
                <c:pt idx="3957">
                  <c:v>160.4736</c:v>
                </c:pt>
                <c:pt idx="3958">
                  <c:v>160.11429999999999</c:v>
                </c:pt>
                <c:pt idx="3959">
                  <c:v>159.84800000000001</c:v>
                </c:pt>
                <c:pt idx="3960">
                  <c:v>159.5994</c:v>
                </c:pt>
                <c:pt idx="3961">
                  <c:v>159.58750000000001</c:v>
                </c:pt>
                <c:pt idx="3962">
                  <c:v>159.15039999999999</c:v>
                </c:pt>
                <c:pt idx="3963">
                  <c:v>159.15600000000001</c:v>
                </c:pt>
                <c:pt idx="3964">
                  <c:v>159.10599999999999</c:v>
                </c:pt>
                <c:pt idx="3965">
                  <c:v>159.09299999999999</c:v>
                </c:pt>
                <c:pt idx="3966">
                  <c:v>158.9759</c:v>
                </c:pt>
                <c:pt idx="3967">
                  <c:v>158.52600000000001</c:v>
                </c:pt>
                <c:pt idx="3968">
                  <c:v>158.32919999999999</c:v>
                </c:pt>
                <c:pt idx="3969">
                  <c:v>158.375</c:v>
                </c:pt>
                <c:pt idx="3970">
                  <c:v>158.33750000000001</c:v>
                </c:pt>
                <c:pt idx="3971">
                  <c:v>158.29990000000001</c:v>
                </c:pt>
                <c:pt idx="3972">
                  <c:v>158.1465</c:v>
                </c:pt>
                <c:pt idx="3973">
                  <c:v>158.19640000000004</c:v>
                </c:pt>
                <c:pt idx="3974">
                  <c:v>158.88120000000001</c:v>
                </c:pt>
                <c:pt idx="3975">
                  <c:v>158.8639</c:v>
                </c:pt>
                <c:pt idx="3976">
                  <c:v>160.756</c:v>
                </c:pt>
                <c:pt idx="3977">
                  <c:v>160.74810000000002</c:v>
                </c:pt>
                <c:pt idx="3978">
                  <c:v>160.57730000000001</c:v>
                </c:pt>
                <c:pt idx="3979">
                  <c:v>160.9881</c:v>
                </c:pt>
                <c:pt idx="3980">
                  <c:v>160.03720000000001</c:v>
                </c:pt>
                <c:pt idx="3981">
                  <c:v>159.32089999999999</c:v>
                </c:pt>
                <c:pt idx="3982">
                  <c:v>159.18289999999999</c:v>
                </c:pt>
                <c:pt idx="3983">
                  <c:v>159.34450000000001</c:v>
                </c:pt>
                <c:pt idx="3984">
                  <c:v>159.44410000000002</c:v>
                </c:pt>
                <c:pt idx="3985">
                  <c:v>159.39120000000003</c:v>
                </c:pt>
                <c:pt idx="3986">
                  <c:v>159.4631</c:v>
                </c:pt>
                <c:pt idx="3987">
                  <c:v>159.62700000000001</c:v>
                </c:pt>
                <c:pt idx="3988">
                  <c:v>160.18530000000001</c:v>
                </c:pt>
                <c:pt idx="3989">
                  <c:v>160.33680000000001</c:v>
                </c:pt>
                <c:pt idx="3990">
                  <c:v>160.04990000000001</c:v>
                </c:pt>
                <c:pt idx="3991">
                  <c:v>160.04409999999999</c:v>
                </c:pt>
                <c:pt idx="3992">
                  <c:v>160.03389999999999</c:v>
                </c:pt>
                <c:pt idx="3993">
                  <c:v>160.25300000000001</c:v>
                </c:pt>
                <c:pt idx="3994">
                  <c:v>160.3184</c:v>
                </c:pt>
                <c:pt idx="3995">
                  <c:v>160.41290000000001</c:v>
                </c:pt>
                <c:pt idx="3996">
                  <c:v>160.48179999999999</c:v>
                </c:pt>
                <c:pt idx="3997">
                  <c:v>160.15010000000001</c:v>
                </c:pt>
                <c:pt idx="3998">
                  <c:v>160.14400000000001</c:v>
                </c:pt>
                <c:pt idx="3999">
                  <c:v>160.19479999999999</c:v>
                </c:pt>
                <c:pt idx="4000">
                  <c:v>160.34280000000001</c:v>
                </c:pt>
                <c:pt idx="4001">
                  <c:v>160.54419999999999</c:v>
                </c:pt>
                <c:pt idx="4002">
                  <c:v>160.4145</c:v>
                </c:pt>
                <c:pt idx="4003">
                  <c:v>160.18170000000001</c:v>
                </c:pt>
                <c:pt idx="4004">
                  <c:v>160.1096</c:v>
                </c:pt>
                <c:pt idx="4005">
                  <c:v>160.0941</c:v>
                </c:pt>
                <c:pt idx="4006">
                  <c:v>160.15020000000001</c:v>
                </c:pt>
                <c:pt idx="4007">
                  <c:v>160.44170000000003</c:v>
                </c:pt>
                <c:pt idx="4008">
                  <c:v>160.53440000000001</c:v>
                </c:pt>
                <c:pt idx="4009">
                  <c:v>160.63820000000001</c:v>
                </c:pt>
                <c:pt idx="4010">
                  <c:v>160.3021</c:v>
                </c:pt>
                <c:pt idx="4011">
                  <c:v>160.3124</c:v>
                </c:pt>
                <c:pt idx="4012">
                  <c:v>160.30770000000001</c:v>
                </c:pt>
                <c:pt idx="4013">
                  <c:v>160.31450000000001</c:v>
                </c:pt>
                <c:pt idx="4014">
                  <c:v>160.4554</c:v>
                </c:pt>
                <c:pt idx="4015">
                  <c:v>160.6131</c:v>
                </c:pt>
                <c:pt idx="4016">
                  <c:v>160.47149999999999</c:v>
                </c:pt>
                <c:pt idx="4017">
                  <c:v>160.16679999999999</c:v>
                </c:pt>
                <c:pt idx="4018">
                  <c:v>160.99690000000004</c:v>
                </c:pt>
                <c:pt idx="4019">
                  <c:v>160.99299999999999</c:v>
                </c:pt>
                <c:pt idx="4020">
                  <c:v>160.97630000000001</c:v>
                </c:pt>
                <c:pt idx="4021">
                  <c:v>160.0744</c:v>
                </c:pt>
                <c:pt idx="4022">
                  <c:v>160.63319999999999</c:v>
                </c:pt>
                <c:pt idx="4023">
                  <c:v>160.43870000000001</c:v>
                </c:pt>
                <c:pt idx="4024">
                  <c:v>160.44200000000001</c:v>
                </c:pt>
                <c:pt idx="4025">
                  <c:v>160.24969999999999</c:v>
                </c:pt>
                <c:pt idx="4026">
                  <c:v>160.5933</c:v>
                </c:pt>
                <c:pt idx="4027">
                  <c:v>160.62700000000001</c:v>
                </c:pt>
                <c:pt idx="4028">
                  <c:v>160.43969999999999</c:v>
                </c:pt>
                <c:pt idx="4029">
                  <c:v>160.42080000000001</c:v>
                </c:pt>
                <c:pt idx="4030">
                  <c:v>160.52189999999999</c:v>
                </c:pt>
                <c:pt idx="4031">
                  <c:v>160.37350000000001</c:v>
                </c:pt>
                <c:pt idx="4032">
                  <c:v>160.25040000000001</c:v>
                </c:pt>
                <c:pt idx="4033">
                  <c:v>161.13030000000003</c:v>
                </c:pt>
                <c:pt idx="4034">
                  <c:v>161.03120000000001</c:v>
                </c:pt>
                <c:pt idx="4035">
                  <c:v>160.6549</c:v>
                </c:pt>
                <c:pt idx="4036">
                  <c:v>160.67779999999999</c:v>
                </c:pt>
                <c:pt idx="4037">
                  <c:v>160.554</c:v>
                </c:pt>
                <c:pt idx="4038">
                  <c:v>160.64940000000001</c:v>
                </c:pt>
                <c:pt idx="4039">
                  <c:v>160.64519999999999</c:v>
                </c:pt>
                <c:pt idx="4040">
                  <c:v>160.64519999999999</c:v>
                </c:pt>
                <c:pt idx="4041">
                  <c:v>160.75479999999999</c:v>
                </c:pt>
                <c:pt idx="4042">
                  <c:v>160.80240000000001</c:v>
                </c:pt>
                <c:pt idx="4043">
                  <c:v>160.72190000000001</c:v>
                </c:pt>
                <c:pt idx="4044">
                  <c:v>160.72880000000001</c:v>
                </c:pt>
                <c:pt idx="4045">
                  <c:v>160.68989999999999</c:v>
                </c:pt>
                <c:pt idx="4046">
                  <c:v>160.2534</c:v>
                </c:pt>
                <c:pt idx="4047">
                  <c:v>160.36439999999999</c:v>
                </c:pt>
                <c:pt idx="4048">
                  <c:v>160.36019999999999</c:v>
                </c:pt>
                <c:pt idx="4049">
                  <c:v>160.31190000000001</c:v>
                </c:pt>
                <c:pt idx="4050">
                  <c:v>160.40629999999999</c:v>
                </c:pt>
                <c:pt idx="4051">
                  <c:v>160.45760000000001</c:v>
                </c:pt>
                <c:pt idx="4052">
                  <c:v>160.3253</c:v>
                </c:pt>
                <c:pt idx="4053">
                  <c:v>160.0557</c:v>
                </c:pt>
                <c:pt idx="4054">
                  <c:v>160.0557</c:v>
                </c:pt>
                <c:pt idx="4055">
                  <c:v>160.17960000000002</c:v>
                </c:pt>
                <c:pt idx="4056">
                  <c:v>159.9151</c:v>
                </c:pt>
                <c:pt idx="4057">
                  <c:v>160.01740000000004</c:v>
                </c:pt>
                <c:pt idx="4058">
                  <c:v>159.87299999999999</c:v>
                </c:pt>
                <c:pt idx="4059">
                  <c:v>159.4547</c:v>
                </c:pt>
                <c:pt idx="4060">
                  <c:v>158.8466</c:v>
                </c:pt>
                <c:pt idx="4061">
                  <c:v>158.85</c:v>
                </c:pt>
                <c:pt idx="4062">
                  <c:v>158.9101</c:v>
                </c:pt>
                <c:pt idx="4063">
                  <c:v>159.36699999999999</c:v>
                </c:pt>
                <c:pt idx="4064">
                  <c:v>159.9024</c:v>
                </c:pt>
                <c:pt idx="4065">
                  <c:v>159.75829999999999</c:v>
                </c:pt>
                <c:pt idx="4066">
                  <c:v>158.91419999999999</c:v>
                </c:pt>
                <c:pt idx="4067">
                  <c:v>159.05549999999999</c:v>
                </c:pt>
                <c:pt idx="4068">
                  <c:v>159.3682</c:v>
                </c:pt>
                <c:pt idx="4069">
                  <c:v>159.25530000000003</c:v>
                </c:pt>
                <c:pt idx="4070">
                  <c:v>159.0532</c:v>
                </c:pt>
                <c:pt idx="4071">
                  <c:v>158.85849999999999</c:v>
                </c:pt>
                <c:pt idx="4072">
                  <c:v>158.9162</c:v>
                </c:pt>
                <c:pt idx="4073">
                  <c:v>158.43379999999999</c:v>
                </c:pt>
                <c:pt idx="4074">
                  <c:v>158.39340000000001</c:v>
                </c:pt>
                <c:pt idx="4075">
                  <c:v>158.3954</c:v>
                </c:pt>
                <c:pt idx="4076">
                  <c:v>157.8038</c:v>
                </c:pt>
                <c:pt idx="4077">
                  <c:v>157.994</c:v>
                </c:pt>
                <c:pt idx="4078">
                  <c:v>157.7816</c:v>
                </c:pt>
                <c:pt idx="4079">
                  <c:v>157.20230000000001</c:v>
                </c:pt>
                <c:pt idx="4080">
                  <c:v>157.18639999999999</c:v>
                </c:pt>
                <c:pt idx="4081">
                  <c:v>157.00360000000001</c:v>
                </c:pt>
                <c:pt idx="4082">
                  <c:v>157.00360000000001</c:v>
                </c:pt>
                <c:pt idx="4083">
                  <c:v>156.99</c:v>
                </c:pt>
                <c:pt idx="4084">
                  <c:v>157.23240000000001</c:v>
                </c:pt>
                <c:pt idx="4085">
                  <c:v>157.0521</c:v>
                </c:pt>
                <c:pt idx="4086">
                  <c:v>157.0581</c:v>
                </c:pt>
                <c:pt idx="4087">
                  <c:v>157.14070000000001</c:v>
                </c:pt>
                <c:pt idx="4088">
                  <c:v>157.0504</c:v>
                </c:pt>
                <c:pt idx="4089">
                  <c:v>157.04860000000002</c:v>
                </c:pt>
                <c:pt idx="4090">
                  <c:v>156.71680000000003</c:v>
                </c:pt>
                <c:pt idx="4091">
                  <c:v>157.02629999999999</c:v>
                </c:pt>
                <c:pt idx="4092">
                  <c:v>156.72300000000001</c:v>
                </c:pt>
                <c:pt idx="4093">
                  <c:v>156.03749999999999</c:v>
                </c:pt>
                <c:pt idx="4094">
                  <c:v>155.5796</c:v>
                </c:pt>
                <c:pt idx="4095">
                  <c:v>155.9991</c:v>
                </c:pt>
                <c:pt idx="4096">
                  <c:v>155.9999</c:v>
                </c:pt>
                <c:pt idx="4097">
                  <c:v>155.8561</c:v>
                </c:pt>
                <c:pt idx="4098">
                  <c:v>155.68450000000001</c:v>
                </c:pt>
                <c:pt idx="4099">
                  <c:v>156.1148</c:v>
                </c:pt>
                <c:pt idx="4100">
                  <c:v>155.3708</c:v>
                </c:pt>
                <c:pt idx="4101">
                  <c:v>154.8237</c:v>
                </c:pt>
                <c:pt idx="4102">
                  <c:v>155.00489999999999</c:v>
                </c:pt>
                <c:pt idx="4103">
                  <c:v>155.00989999999999</c:v>
                </c:pt>
                <c:pt idx="4104">
                  <c:v>154.62479999999999</c:v>
                </c:pt>
                <c:pt idx="4105">
                  <c:v>153.9333</c:v>
                </c:pt>
                <c:pt idx="4106">
                  <c:v>153.0849</c:v>
                </c:pt>
                <c:pt idx="4107">
                  <c:v>152.64959999999999</c:v>
                </c:pt>
                <c:pt idx="4108">
                  <c:v>152.78039999999999</c:v>
                </c:pt>
                <c:pt idx="4109">
                  <c:v>153.55029999999999</c:v>
                </c:pt>
                <c:pt idx="4110">
                  <c:v>153.55549999999999</c:v>
                </c:pt>
                <c:pt idx="4111">
                  <c:v>152.81399999999999</c:v>
                </c:pt>
                <c:pt idx="4112">
                  <c:v>152.57740000000001</c:v>
                </c:pt>
                <c:pt idx="4113">
                  <c:v>153.221</c:v>
                </c:pt>
                <c:pt idx="4114">
                  <c:v>153.1713</c:v>
                </c:pt>
                <c:pt idx="4115">
                  <c:v>152.7688</c:v>
                </c:pt>
                <c:pt idx="4116">
                  <c:v>152.74039999999999</c:v>
                </c:pt>
                <c:pt idx="4117">
                  <c:v>152.88059999999999</c:v>
                </c:pt>
                <c:pt idx="4118">
                  <c:v>152.7526</c:v>
                </c:pt>
                <c:pt idx="4119">
                  <c:v>152.5462</c:v>
                </c:pt>
                <c:pt idx="4120">
                  <c:v>152.9008</c:v>
                </c:pt>
                <c:pt idx="4121">
                  <c:v>152.89590000000001</c:v>
                </c:pt>
                <c:pt idx="4122">
                  <c:v>152.7054</c:v>
                </c:pt>
                <c:pt idx="4123">
                  <c:v>152.8023</c:v>
                </c:pt>
                <c:pt idx="4124">
                  <c:v>152.80549999999999</c:v>
                </c:pt>
                <c:pt idx="4125">
                  <c:v>153.37889999999999</c:v>
                </c:pt>
                <c:pt idx="4126">
                  <c:v>153.26179999999999</c:v>
                </c:pt>
                <c:pt idx="4127">
                  <c:v>152.90289999999999</c:v>
                </c:pt>
                <c:pt idx="4128">
                  <c:v>153.25389999999999</c:v>
                </c:pt>
                <c:pt idx="4129">
                  <c:v>153.5136</c:v>
                </c:pt>
                <c:pt idx="4130">
                  <c:v>153.4468</c:v>
                </c:pt>
                <c:pt idx="4131">
                  <c:v>153.11510000000001</c:v>
                </c:pt>
                <c:pt idx="4132">
                  <c:v>153.27430000000001</c:v>
                </c:pt>
                <c:pt idx="4133">
                  <c:v>154.00839999999999</c:v>
                </c:pt>
                <c:pt idx="4134">
                  <c:v>154.36099999999999</c:v>
                </c:pt>
                <c:pt idx="4135">
                  <c:v>153.72389999999999</c:v>
                </c:pt>
                <c:pt idx="4136">
                  <c:v>153.50749999999999</c:v>
                </c:pt>
                <c:pt idx="4137">
                  <c:v>153.81950000000001</c:v>
                </c:pt>
                <c:pt idx="4138">
                  <c:v>153.9151</c:v>
                </c:pt>
                <c:pt idx="4139">
                  <c:v>153.89959999999999</c:v>
                </c:pt>
                <c:pt idx="4140">
                  <c:v>153.21270000000001</c:v>
                </c:pt>
                <c:pt idx="4141">
                  <c:v>153.35120000000001</c:v>
                </c:pt>
                <c:pt idx="4142">
                  <c:v>152.87880000000001</c:v>
                </c:pt>
                <c:pt idx="4143">
                  <c:v>153.28899999999999</c:v>
                </c:pt>
                <c:pt idx="4144">
                  <c:v>152.67490000000001</c:v>
                </c:pt>
                <c:pt idx="4145">
                  <c:v>152.24160000000001</c:v>
                </c:pt>
                <c:pt idx="4146">
                  <c:v>151.1746</c:v>
                </c:pt>
                <c:pt idx="4147">
                  <c:v>152.23390000000001</c:v>
                </c:pt>
                <c:pt idx="4148">
                  <c:v>152.43879999999999</c:v>
                </c:pt>
                <c:pt idx="4149">
                  <c:v>152.12100000000001</c:v>
                </c:pt>
                <c:pt idx="4150">
                  <c:v>152.0505</c:v>
                </c:pt>
                <c:pt idx="4151">
                  <c:v>152.251</c:v>
                </c:pt>
                <c:pt idx="4152">
                  <c:v>152.251</c:v>
                </c:pt>
                <c:pt idx="4153">
                  <c:v>152.2081</c:v>
                </c:pt>
                <c:pt idx="4154">
                  <c:v>152.59450000000001</c:v>
                </c:pt>
                <c:pt idx="4155">
                  <c:v>152.8877</c:v>
                </c:pt>
                <c:pt idx="4156">
                  <c:v>153.2176</c:v>
                </c:pt>
                <c:pt idx="4157">
                  <c:v>153.4023</c:v>
                </c:pt>
                <c:pt idx="4158">
                  <c:v>153.4554</c:v>
                </c:pt>
                <c:pt idx="4159">
                  <c:v>153.4554</c:v>
                </c:pt>
                <c:pt idx="4160">
                  <c:v>153.49289999999999</c:v>
                </c:pt>
                <c:pt idx="4161">
                  <c:v>153.8108</c:v>
                </c:pt>
                <c:pt idx="4162">
                  <c:v>154.29050000000001</c:v>
                </c:pt>
                <c:pt idx="4163">
                  <c:v>155.09209999999999</c:v>
                </c:pt>
                <c:pt idx="4164">
                  <c:v>155.2885</c:v>
                </c:pt>
                <c:pt idx="4165">
                  <c:v>154.6053</c:v>
                </c:pt>
                <c:pt idx="4166">
                  <c:v>154.6053</c:v>
                </c:pt>
                <c:pt idx="4167">
                  <c:v>154.93879999999999</c:v>
                </c:pt>
                <c:pt idx="4168">
                  <c:v>154.1704</c:v>
                </c:pt>
                <c:pt idx="4169">
                  <c:v>154.40430000000001</c:v>
                </c:pt>
                <c:pt idx="4170">
                  <c:v>154.98869999999999</c:v>
                </c:pt>
                <c:pt idx="4171">
                  <c:v>154.74289999999999</c:v>
                </c:pt>
                <c:pt idx="4172">
                  <c:v>154.4966</c:v>
                </c:pt>
                <c:pt idx="4173">
                  <c:v>154.4966</c:v>
                </c:pt>
                <c:pt idx="4174">
                  <c:v>154.4914</c:v>
                </c:pt>
                <c:pt idx="4175">
                  <c:v>155.0701</c:v>
                </c:pt>
                <c:pt idx="4176">
                  <c:v>155.56880000000001</c:v>
                </c:pt>
                <c:pt idx="4177">
                  <c:v>155.78049999999999</c:v>
                </c:pt>
                <c:pt idx="4178">
                  <c:v>155.7336</c:v>
                </c:pt>
                <c:pt idx="4179">
                  <c:v>156.7038</c:v>
                </c:pt>
                <c:pt idx="4180">
                  <c:v>155.90549999999999</c:v>
                </c:pt>
                <c:pt idx="4181">
                  <c:v>155.98580000000001</c:v>
                </c:pt>
                <c:pt idx="4182">
                  <c:v>155.85820000000001</c:v>
                </c:pt>
                <c:pt idx="4183">
                  <c:v>155.73869999999999</c:v>
                </c:pt>
                <c:pt idx="4184">
                  <c:v>156.48349999999999</c:v>
                </c:pt>
                <c:pt idx="4185">
                  <c:v>157.10650000000001</c:v>
                </c:pt>
                <c:pt idx="4186">
                  <c:v>156.8552</c:v>
                </c:pt>
                <c:pt idx="4187">
                  <c:v>156.84440000000001</c:v>
                </c:pt>
                <c:pt idx="4188">
                  <c:v>157.11859999999999</c:v>
                </c:pt>
                <c:pt idx="4189">
                  <c:v>157.58170000000001</c:v>
                </c:pt>
                <c:pt idx="4190">
                  <c:v>157.80770000000001</c:v>
                </c:pt>
                <c:pt idx="4191">
                  <c:v>158.2398</c:v>
                </c:pt>
                <c:pt idx="4192">
                  <c:v>157.83799999999999</c:v>
                </c:pt>
                <c:pt idx="4193">
                  <c:v>157.59989999999999</c:v>
                </c:pt>
                <c:pt idx="4194">
                  <c:v>157.59989999999999</c:v>
                </c:pt>
                <c:pt idx="4195">
                  <c:v>157.88999999999999</c:v>
                </c:pt>
                <c:pt idx="4196">
                  <c:v>157.87190000000001</c:v>
                </c:pt>
                <c:pt idx="4197">
                  <c:v>157.86850000000001</c:v>
                </c:pt>
                <c:pt idx="4198">
                  <c:v>157.6574</c:v>
                </c:pt>
                <c:pt idx="4199">
                  <c:v>158.0685</c:v>
                </c:pt>
                <c:pt idx="4200">
                  <c:v>157.75049999999999</c:v>
                </c:pt>
                <c:pt idx="4201">
                  <c:v>158.01929999999999</c:v>
                </c:pt>
                <c:pt idx="4202">
                  <c:v>157.0609</c:v>
                </c:pt>
                <c:pt idx="4203">
                  <c:v>158.04669999999999</c:v>
                </c:pt>
                <c:pt idx="4204">
                  <c:v>158.8433</c:v>
                </c:pt>
                <c:pt idx="4205">
                  <c:v>158.9049</c:v>
                </c:pt>
                <c:pt idx="4206">
                  <c:v>159.2199</c:v>
                </c:pt>
                <c:pt idx="4207">
                  <c:v>159.4023</c:v>
                </c:pt>
                <c:pt idx="4208">
                  <c:v>159.32480000000001</c:v>
                </c:pt>
                <c:pt idx="4209">
                  <c:v>159.30940000000001</c:v>
                </c:pt>
                <c:pt idx="4210">
                  <c:v>159.58160000000001</c:v>
                </c:pt>
                <c:pt idx="4211">
                  <c:v>159.6542</c:v>
                </c:pt>
                <c:pt idx="4212">
                  <c:v>159.4247</c:v>
                </c:pt>
                <c:pt idx="4213">
                  <c:v>159.464</c:v>
                </c:pt>
                <c:pt idx="4214">
                  <c:v>159.51490000000001</c:v>
                </c:pt>
                <c:pt idx="4215">
                  <c:v>159.4581</c:v>
                </c:pt>
                <c:pt idx="4216">
                  <c:v>159.47739999999999</c:v>
                </c:pt>
                <c:pt idx="4217">
                  <c:v>160.5847</c:v>
                </c:pt>
                <c:pt idx="4218">
                  <c:v>160.89609999999999</c:v>
                </c:pt>
                <c:pt idx="4219">
                  <c:v>160.81469999999999</c:v>
                </c:pt>
                <c:pt idx="4220">
                  <c:v>160.85050000000001</c:v>
                </c:pt>
                <c:pt idx="4221">
                  <c:v>162.35050000000001</c:v>
                </c:pt>
                <c:pt idx="4222">
                  <c:v>160.739</c:v>
                </c:pt>
                <c:pt idx="4223">
                  <c:v>161.06129999999999</c:v>
                </c:pt>
                <c:pt idx="4224">
                  <c:v>161.99250000000001</c:v>
                </c:pt>
                <c:pt idx="4225">
                  <c:v>161.76410000000001</c:v>
                </c:pt>
                <c:pt idx="4226">
                  <c:v>162.05690000000001</c:v>
                </c:pt>
                <c:pt idx="4227">
                  <c:v>162.27600000000001</c:v>
                </c:pt>
                <c:pt idx="4228">
                  <c:v>162.589</c:v>
                </c:pt>
                <c:pt idx="4229">
                  <c:v>162.589</c:v>
                </c:pt>
                <c:pt idx="4230">
                  <c:v>162.6156</c:v>
                </c:pt>
                <c:pt idx="4231">
                  <c:v>163.47839999999999</c:v>
                </c:pt>
                <c:pt idx="4232">
                  <c:v>164.3947</c:v>
                </c:pt>
                <c:pt idx="4233">
                  <c:v>163.20099999999999</c:v>
                </c:pt>
                <c:pt idx="4234">
                  <c:v>163.9179</c:v>
                </c:pt>
                <c:pt idx="4235">
                  <c:v>164.1694</c:v>
                </c:pt>
                <c:pt idx="4236">
                  <c:v>164.76570000000001</c:v>
                </c:pt>
                <c:pt idx="4237">
                  <c:v>164.76929999999999</c:v>
                </c:pt>
                <c:pt idx="4238">
                  <c:v>164.33940000000001</c:v>
                </c:pt>
                <c:pt idx="4239">
                  <c:v>164.3612</c:v>
                </c:pt>
                <c:pt idx="4240">
                  <c:v>163.5668</c:v>
                </c:pt>
                <c:pt idx="4241">
                  <c:v>164.39830000000001</c:v>
                </c:pt>
                <c:pt idx="4242">
                  <c:v>164.42189999999999</c:v>
                </c:pt>
                <c:pt idx="4243">
                  <c:v>164.42189999999999</c:v>
                </c:pt>
                <c:pt idx="4244">
                  <c:v>164.43719999999999</c:v>
                </c:pt>
                <c:pt idx="4245">
                  <c:v>164.54849999999999</c:v>
                </c:pt>
                <c:pt idx="4246">
                  <c:v>164.54730000000001</c:v>
                </c:pt>
                <c:pt idx="4247">
                  <c:v>164.30600000000001</c:v>
                </c:pt>
                <c:pt idx="4248">
                  <c:v>164.22380000000001</c:v>
                </c:pt>
                <c:pt idx="4249">
                  <c:v>164.5882</c:v>
                </c:pt>
                <c:pt idx="4250">
                  <c:v>164.30019999999999</c:v>
                </c:pt>
                <c:pt idx="4251">
                  <c:v>164.25890000000001</c:v>
                </c:pt>
                <c:pt idx="4252">
                  <c:v>164.3477</c:v>
                </c:pt>
                <c:pt idx="4253">
                  <c:v>165.21610000000001</c:v>
                </c:pt>
                <c:pt idx="4254">
                  <c:v>165.9802</c:v>
                </c:pt>
                <c:pt idx="4255">
                  <c:v>166.4923</c:v>
                </c:pt>
                <c:pt idx="4256">
                  <c:v>166.58949999999999</c:v>
                </c:pt>
                <c:pt idx="4257">
                  <c:v>166.58949999999999</c:v>
                </c:pt>
                <c:pt idx="4258">
                  <c:v>166.58840000000001</c:v>
                </c:pt>
                <c:pt idx="4259">
                  <c:v>166.63030000000001</c:v>
                </c:pt>
                <c:pt idx="4260">
                  <c:v>166.73490000000001</c:v>
                </c:pt>
                <c:pt idx="4261">
                  <c:v>167.14400000000001</c:v>
                </c:pt>
                <c:pt idx="4262">
                  <c:v>167.28890000000001</c:v>
                </c:pt>
                <c:pt idx="4263">
                  <c:v>167.22069999999999</c:v>
                </c:pt>
                <c:pt idx="4264">
                  <c:v>167.21549999999999</c:v>
                </c:pt>
                <c:pt idx="4265">
                  <c:v>167.2362</c:v>
                </c:pt>
                <c:pt idx="4266">
                  <c:v>167.089</c:v>
                </c:pt>
                <c:pt idx="4267">
                  <c:v>167.9777</c:v>
                </c:pt>
                <c:pt idx="4268">
                  <c:v>167.75890000000001</c:v>
                </c:pt>
                <c:pt idx="4269">
                  <c:v>168.04050000000001</c:v>
                </c:pt>
                <c:pt idx="4270">
                  <c:v>168.18940000000001</c:v>
                </c:pt>
                <c:pt idx="4271">
                  <c:v>168.1893</c:v>
                </c:pt>
                <c:pt idx="4272">
                  <c:v>168.19749999999999</c:v>
                </c:pt>
                <c:pt idx="4273">
                  <c:v>168.23830000000001</c:v>
                </c:pt>
                <c:pt idx="4274">
                  <c:v>168.42920000000001</c:v>
                </c:pt>
                <c:pt idx="4275">
                  <c:v>169.5848</c:v>
                </c:pt>
                <c:pt idx="4276">
                  <c:v>168.21019999999999</c:v>
                </c:pt>
                <c:pt idx="4277">
                  <c:v>168.10980000000001</c:v>
                </c:pt>
                <c:pt idx="4278">
                  <c:v>168.10599999999999</c:v>
                </c:pt>
                <c:pt idx="4279">
                  <c:v>167.9169</c:v>
                </c:pt>
                <c:pt idx="4280">
                  <c:v>168.67619999999999</c:v>
                </c:pt>
                <c:pt idx="4281">
                  <c:v>168.9545</c:v>
                </c:pt>
                <c:pt idx="4282">
                  <c:v>168.48759999999999</c:v>
                </c:pt>
                <c:pt idx="4283">
                  <c:v>168.94829999999999</c:v>
                </c:pt>
                <c:pt idx="4284">
                  <c:v>169.10830000000001</c:v>
                </c:pt>
                <c:pt idx="4285">
                  <c:v>169.1</c:v>
                </c:pt>
                <c:pt idx="4286">
                  <c:v>169.2621</c:v>
                </c:pt>
                <c:pt idx="4287">
                  <c:v>169.672</c:v>
                </c:pt>
                <c:pt idx="4288">
                  <c:v>170.19560000000001</c:v>
                </c:pt>
                <c:pt idx="4289">
                  <c:v>170.46629999999999</c:v>
                </c:pt>
                <c:pt idx="4290">
                  <c:v>170.67859999999999</c:v>
                </c:pt>
                <c:pt idx="4291">
                  <c:v>170.75030000000001</c:v>
                </c:pt>
                <c:pt idx="4292">
                  <c:v>170.7499</c:v>
                </c:pt>
                <c:pt idx="4293">
                  <c:v>170.6943</c:v>
                </c:pt>
                <c:pt idx="4294">
                  <c:v>170.8922</c:v>
                </c:pt>
                <c:pt idx="4295">
                  <c:v>170.9066</c:v>
                </c:pt>
                <c:pt idx="4296">
                  <c:v>170.85120000000001</c:v>
                </c:pt>
                <c:pt idx="4297">
                  <c:v>171.0402</c:v>
                </c:pt>
                <c:pt idx="4298">
                  <c:v>170.51</c:v>
                </c:pt>
                <c:pt idx="4299">
                  <c:v>170.8133</c:v>
                </c:pt>
                <c:pt idx="4300">
                  <c:v>170.8098</c:v>
                </c:pt>
                <c:pt idx="4301">
                  <c:v>171.1301</c:v>
                </c:pt>
                <c:pt idx="4302">
                  <c:v>171.1986</c:v>
                </c:pt>
                <c:pt idx="4303">
                  <c:v>170.98320000000001</c:v>
                </c:pt>
                <c:pt idx="4304">
                  <c:v>170.52600000000001</c:v>
                </c:pt>
                <c:pt idx="4305">
                  <c:v>171.2038</c:v>
                </c:pt>
                <c:pt idx="4306">
                  <c:v>171.20009999999999</c:v>
                </c:pt>
                <c:pt idx="4307">
                  <c:v>171.2808</c:v>
                </c:pt>
                <c:pt idx="4308">
                  <c:v>171.95240000000001</c:v>
                </c:pt>
                <c:pt idx="4309">
                  <c:v>172.56819999999999</c:v>
                </c:pt>
                <c:pt idx="4310">
                  <c:v>173.40940000000001</c:v>
                </c:pt>
                <c:pt idx="4311">
                  <c:v>173.23740000000001</c:v>
                </c:pt>
                <c:pt idx="4312">
                  <c:v>174.4504</c:v>
                </c:pt>
                <c:pt idx="4313">
                  <c:v>174.35169999999999</c:v>
                </c:pt>
                <c:pt idx="4314">
                  <c:v>174.35599999999999</c:v>
                </c:pt>
                <c:pt idx="4315">
                  <c:v>174.4999</c:v>
                </c:pt>
                <c:pt idx="4316">
                  <c:v>175.12370000000001</c:v>
                </c:pt>
                <c:pt idx="4317">
                  <c:v>174.12440000000001</c:v>
                </c:pt>
                <c:pt idx="4318">
                  <c:v>172.09800000000001</c:v>
                </c:pt>
                <c:pt idx="4319">
                  <c:v>172.15</c:v>
                </c:pt>
                <c:pt idx="4320">
                  <c:v>172.15</c:v>
                </c:pt>
                <c:pt idx="4321">
                  <c:v>171.47450000000001</c:v>
                </c:pt>
                <c:pt idx="4322">
                  <c:v>171.7518</c:v>
                </c:pt>
                <c:pt idx="4323">
                  <c:v>170.4675</c:v>
                </c:pt>
                <c:pt idx="4324">
                  <c:v>169.53370000000001</c:v>
                </c:pt>
                <c:pt idx="4325">
                  <c:v>170.0352</c:v>
                </c:pt>
                <c:pt idx="4326">
                  <c:v>170.1499</c:v>
                </c:pt>
                <c:pt idx="4327">
                  <c:v>170.1499</c:v>
                </c:pt>
                <c:pt idx="4328">
                  <c:v>170.0514</c:v>
                </c:pt>
                <c:pt idx="4329">
                  <c:v>170.34800000000001</c:v>
                </c:pt>
                <c:pt idx="4330">
                  <c:v>171.3279</c:v>
                </c:pt>
                <c:pt idx="4331">
                  <c:v>171.35</c:v>
                </c:pt>
                <c:pt idx="4332">
                  <c:v>171.35249999999999</c:v>
                </c:pt>
                <c:pt idx="4333">
                  <c:v>172.69640000000001</c:v>
                </c:pt>
                <c:pt idx="4334">
                  <c:v>172.7</c:v>
                </c:pt>
                <c:pt idx="4335">
                  <c:v>175.75120000000001</c:v>
                </c:pt>
                <c:pt idx="4336">
                  <c:v>174.86429999999999</c:v>
                </c:pt>
                <c:pt idx="4337">
                  <c:v>174.53970000000001</c:v>
                </c:pt>
                <c:pt idx="4338">
                  <c:v>175.13050000000001</c:v>
                </c:pt>
                <c:pt idx="4339">
                  <c:v>174.20330000000001</c:v>
                </c:pt>
                <c:pt idx="4340">
                  <c:v>175.0607</c:v>
                </c:pt>
                <c:pt idx="4341">
                  <c:v>175.06319999999999</c:v>
                </c:pt>
                <c:pt idx="4342">
                  <c:v>175.0444</c:v>
                </c:pt>
                <c:pt idx="4343">
                  <c:v>175.16499999999999</c:v>
                </c:pt>
                <c:pt idx="4344">
                  <c:v>174.8665</c:v>
                </c:pt>
                <c:pt idx="4345">
                  <c:v>175.14160000000001</c:v>
                </c:pt>
                <c:pt idx="4346">
                  <c:v>175.3741</c:v>
                </c:pt>
                <c:pt idx="4347">
                  <c:v>176.5103</c:v>
                </c:pt>
                <c:pt idx="4348">
                  <c:v>176.4991</c:v>
                </c:pt>
                <c:pt idx="4349">
                  <c:v>176.5839</c:v>
                </c:pt>
                <c:pt idx="4350">
                  <c:v>176.37299999999999</c:v>
                </c:pt>
                <c:pt idx="4351">
                  <c:v>176.2706</c:v>
                </c:pt>
                <c:pt idx="4352">
                  <c:v>175.3083</c:v>
                </c:pt>
                <c:pt idx="4353">
                  <c:v>176.19319999999999</c:v>
                </c:pt>
                <c:pt idx="4354">
                  <c:v>175.54339999999999</c:v>
                </c:pt>
                <c:pt idx="4355">
                  <c:v>176.64670000000001</c:v>
                </c:pt>
                <c:pt idx="4356">
                  <c:v>176.75470000000001</c:v>
                </c:pt>
                <c:pt idx="4357">
                  <c:v>176.37989999999999</c:v>
                </c:pt>
                <c:pt idx="4358">
                  <c:v>176.81319999999999</c:v>
                </c:pt>
                <c:pt idx="4359">
                  <c:v>177.3467</c:v>
                </c:pt>
                <c:pt idx="4360">
                  <c:v>177.88229999999999</c:v>
                </c:pt>
                <c:pt idx="4361">
                  <c:v>178.15029999999999</c:v>
                </c:pt>
                <c:pt idx="4362">
                  <c:v>176.95670000000001</c:v>
                </c:pt>
                <c:pt idx="4363">
                  <c:v>177.2176</c:v>
                </c:pt>
                <c:pt idx="4364">
                  <c:v>178.06299999999999</c:v>
                </c:pt>
                <c:pt idx="4365">
                  <c:v>178.19730000000001</c:v>
                </c:pt>
                <c:pt idx="4366">
                  <c:v>178.13310000000001</c:v>
                </c:pt>
                <c:pt idx="4367">
                  <c:v>178.06190000000001</c:v>
                </c:pt>
                <c:pt idx="4368">
                  <c:v>178.15039999999999</c:v>
                </c:pt>
                <c:pt idx="4369">
                  <c:v>178.14340000000001</c:v>
                </c:pt>
                <c:pt idx="4370">
                  <c:v>179.1671</c:v>
                </c:pt>
                <c:pt idx="4371">
                  <c:v>178.11359999999999</c:v>
                </c:pt>
                <c:pt idx="4372">
                  <c:v>178.01900000000001</c:v>
                </c:pt>
                <c:pt idx="4373">
                  <c:v>178.43469999999999</c:v>
                </c:pt>
                <c:pt idx="4374">
                  <c:v>178.39019999999999</c:v>
                </c:pt>
                <c:pt idx="4375">
                  <c:v>178.1</c:v>
                </c:pt>
                <c:pt idx="4376">
                  <c:v>178.10650000000001</c:v>
                </c:pt>
                <c:pt idx="4377">
                  <c:v>178.3064</c:v>
                </c:pt>
                <c:pt idx="4378">
                  <c:v>175.35120000000001</c:v>
                </c:pt>
                <c:pt idx="4379">
                  <c:v>178.43600000000001</c:v>
                </c:pt>
                <c:pt idx="4380">
                  <c:v>178.42140000000001</c:v>
                </c:pt>
                <c:pt idx="4381">
                  <c:v>178.4863</c:v>
                </c:pt>
                <c:pt idx="4382">
                  <c:v>178.2439</c:v>
                </c:pt>
                <c:pt idx="4383">
                  <c:v>178.24350000000001</c:v>
                </c:pt>
                <c:pt idx="4384">
                  <c:v>177.2122</c:v>
                </c:pt>
                <c:pt idx="4385">
                  <c:v>176.52690000000001</c:v>
                </c:pt>
                <c:pt idx="4386">
                  <c:v>176.67609999999999</c:v>
                </c:pt>
                <c:pt idx="4387">
                  <c:v>176.64869999999999</c:v>
                </c:pt>
                <c:pt idx="4388">
                  <c:v>176.81880000000001</c:v>
                </c:pt>
                <c:pt idx="4389">
                  <c:v>176.9939</c:v>
                </c:pt>
                <c:pt idx="4390">
                  <c:v>175.72620000000001</c:v>
                </c:pt>
                <c:pt idx="4391">
                  <c:v>175.97049999999999</c:v>
                </c:pt>
                <c:pt idx="4392">
                  <c:v>176.74789999999999</c:v>
                </c:pt>
                <c:pt idx="4393">
                  <c:v>176.66120000000001</c:v>
                </c:pt>
                <c:pt idx="4394">
                  <c:v>176.1825</c:v>
                </c:pt>
                <c:pt idx="4395">
                  <c:v>176.40430000000001</c:v>
                </c:pt>
                <c:pt idx="4396">
                  <c:v>176.15629999999999</c:v>
                </c:pt>
                <c:pt idx="4397">
                  <c:v>176.1567</c:v>
                </c:pt>
                <c:pt idx="4398">
                  <c:v>175.9144</c:v>
                </c:pt>
                <c:pt idx="4399">
                  <c:v>175.9659</c:v>
                </c:pt>
                <c:pt idx="4400">
                  <c:v>176.0224</c:v>
                </c:pt>
                <c:pt idx="4401">
                  <c:v>176.24850000000001</c:v>
                </c:pt>
                <c:pt idx="4402">
                  <c:v>176.4828</c:v>
                </c:pt>
                <c:pt idx="4403">
                  <c:v>176.38149999999999</c:v>
                </c:pt>
                <c:pt idx="4404">
                  <c:v>176.4564</c:v>
                </c:pt>
                <c:pt idx="4405">
                  <c:v>176.28829999999999</c:v>
                </c:pt>
                <c:pt idx="4406">
                  <c:v>176.43709999999999</c:v>
                </c:pt>
                <c:pt idx="4407">
                  <c:v>176.44630000000001</c:v>
                </c:pt>
                <c:pt idx="4408">
                  <c:v>176.87270000000001</c:v>
                </c:pt>
                <c:pt idx="4409">
                  <c:v>176.96029999999999</c:v>
                </c:pt>
                <c:pt idx="4410">
                  <c:v>176.94630000000001</c:v>
                </c:pt>
                <c:pt idx="4411">
                  <c:v>176.95009999999999</c:v>
                </c:pt>
                <c:pt idx="4412">
                  <c:v>176.51480000000001</c:v>
                </c:pt>
                <c:pt idx="4413">
                  <c:v>176.72749999999999</c:v>
                </c:pt>
                <c:pt idx="4414">
                  <c:v>176.5087</c:v>
                </c:pt>
                <c:pt idx="4415">
                  <c:v>176.3092</c:v>
                </c:pt>
                <c:pt idx="4416">
                  <c:v>175.99680000000001</c:v>
                </c:pt>
                <c:pt idx="4417">
                  <c:v>175.46940000000001</c:v>
                </c:pt>
                <c:pt idx="4418">
                  <c:v>175.4725</c:v>
                </c:pt>
                <c:pt idx="4419">
                  <c:v>174.4795</c:v>
                </c:pt>
                <c:pt idx="4420">
                  <c:v>174.5778</c:v>
                </c:pt>
                <c:pt idx="4421">
                  <c:v>174.3366</c:v>
                </c:pt>
                <c:pt idx="4422">
                  <c:v>174.78299999999999</c:v>
                </c:pt>
                <c:pt idx="4423">
                  <c:v>174.89760000000001</c:v>
                </c:pt>
                <c:pt idx="4424">
                  <c:v>174.84989999999999</c:v>
                </c:pt>
                <c:pt idx="4425">
                  <c:v>175.34370000000001</c:v>
                </c:pt>
                <c:pt idx="4426">
                  <c:v>175.22190000000001</c:v>
                </c:pt>
                <c:pt idx="4427">
                  <c:v>175.50069999999999</c:v>
                </c:pt>
                <c:pt idx="4428">
                  <c:v>175.75819999999999</c:v>
                </c:pt>
                <c:pt idx="4429">
                  <c:v>176.1463</c:v>
                </c:pt>
                <c:pt idx="4430">
                  <c:v>175.8306</c:v>
                </c:pt>
                <c:pt idx="4431">
                  <c:v>175.35290000000001</c:v>
                </c:pt>
                <c:pt idx="4432">
                  <c:v>175.35249999999999</c:v>
                </c:pt>
                <c:pt idx="4433">
                  <c:v>175.5856</c:v>
                </c:pt>
                <c:pt idx="4434">
                  <c:v>176.33019999999999</c:v>
                </c:pt>
                <c:pt idx="4435">
                  <c:v>176.0883</c:v>
                </c:pt>
                <c:pt idx="4436">
                  <c:v>176.5017</c:v>
                </c:pt>
                <c:pt idx="4437">
                  <c:v>176.43700000000001</c:v>
                </c:pt>
                <c:pt idx="4438">
                  <c:v>175.2439</c:v>
                </c:pt>
                <c:pt idx="4439">
                  <c:v>176.2364</c:v>
                </c:pt>
                <c:pt idx="4440">
                  <c:v>175.96610000000001</c:v>
                </c:pt>
                <c:pt idx="4441">
                  <c:v>177.45920000000001</c:v>
                </c:pt>
                <c:pt idx="4442">
                  <c:v>177.5609</c:v>
                </c:pt>
                <c:pt idx="4443">
                  <c:v>177.68719999999999</c:v>
                </c:pt>
                <c:pt idx="4444">
                  <c:v>178.68180000000001</c:v>
                </c:pt>
                <c:pt idx="4445">
                  <c:v>179.08750000000001</c:v>
                </c:pt>
                <c:pt idx="4446">
                  <c:v>179.08750000000001</c:v>
                </c:pt>
                <c:pt idx="4447">
                  <c:v>178.83590000000001</c:v>
                </c:pt>
                <c:pt idx="4448">
                  <c:v>177.88630000000001</c:v>
                </c:pt>
                <c:pt idx="4449">
                  <c:v>178.67949999999999</c:v>
                </c:pt>
                <c:pt idx="4450">
                  <c:v>178.98410000000001</c:v>
                </c:pt>
                <c:pt idx="4451">
                  <c:v>178.93090000000001</c:v>
                </c:pt>
                <c:pt idx="4452">
                  <c:v>178.69839999999999</c:v>
                </c:pt>
                <c:pt idx="4453">
                  <c:v>178.69319999999999</c:v>
                </c:pt>
                <c:pt idx="4454">
                  <c:v>178.8468</c:v>
                </c:pt>
                <c:pt idx="4455">
                  <c:v>179.12719999999999</c:v>
                </c:pt>
                <c:pt idx="4456">
                  <c:v>179.2405</c:v>
                </c:pt>
                <c:pt idx="4457">
                  <c:v>179.6926</c:v>
                </c:pt>
                <c:pt idx="4458">
                  <c:v>179.69329999999999</c:v>
                </c:pt>
                <c:pt idx="4459">
                  <c:v>179.1816</c:v>
                </c:pt>
                <c:pt idx="4460">
                  <c:v>179.1816</c:v>
                </c:pt>
                <c:pt idx="4461">
                  <c:v>180.6729</c:v>
                </c:pt>
                <c:pt idx="4462">
                  <c:v>181.4753</c:v>
                </c:pt>
                <c:pt idx="4463">
                  <c:v>181.35480000000001</c:v>
                </c:pt>
                <c:pt idx="4464">
                  <c:v>181.82380000000001</c:v>
                </c:pt>
                <c:pt idx="4465">
                  <c:v>181.99639999999999</c:v>
                </c:pt>
                <c:pt idx="4466">
                  <c:v>181.5504</c:v>
                </c:pt>
                <c:pt idx="4467">
                  <c:v>181.54320000000001</c:v>
                </c:pt>
                <c:pt idx="4468">
                  <c:v>182.5454</c:v>
                </c:pt>
                <c:pt idx="4469">
                  <c:v>182.369</c:v>
                </c:pt>
                <c:pt idx="4470">
                  <c:v>182.44059999999999</c:v>
                </c:pt>
                <c:pt idx="4471">
                  <c:v>182.55510000000001</c:v>
                </c:pt>
                <c:pt idx="4472">
                  <c:v>182.3519</c:v>
                </c:pt>
                <c:pt idx="4473">
                  <c:v>183.8485</c:v>
                </c:pt>
                <c:pt idx="4474">
                  <c:v>184.79259999999999</c:v>
                </c:pt>
                <c:pt idx="4475">
                  <c:v>184.59639999999999</c:v>
                </c:pt>
                <c:pt idx="4476">
                  <c:v>184.09530000000001</c:v>
                </c:pt>
                <c:pt idx="4477">
                  <c:v>184.48060000000001</c:v>
                </c:pt>
                <c:pt idx="4478">
                  <c:v>186.0514</c:v>
                </c:pt>
                <c:pt idx="4479">
                  <c:v>186.05420000000001</c:v>
                </c:pt>
                <c:pt idx="4480">
                  <c:v>186.28059999999999</c:v>
                </c:pt>
                <c:pt idx="4481">
                  <c:v>186.28059999999999</c:v>
                </c:pt>
                <c:pt idx="4482">
                  <c:v>186.26650000000001</c:v>
                </c:pt>
                <c:pt idx="4483">
                  <c:v>182.9657</c:v>
                </c:pt>
                <c:pt idx="4484">
                  <c:v>182.0462</c:v>
                </c:pt>
                <c:pt idx="4485">
                  <c:v>181.59190000000001</c:v>
                </c:pt>
                <c:pt idx="4486">
                  <c:v>181.2783</c:v>
                </c:pt>
                <c:pt idx="4487">
                  <c:v>181.85040000000001</c:v>
                </c:pt>
                <c:pt idx="4488">
                  <c:v>181.8503</c:v>
                </c:pt>
                <c:pt idx="4489">
                  <c:v>182.4059</c:v>
                </c:pt>
                <c:pt idx="4490">
                  <c:v>182.48869999999999</c:v>
                </c:pt>
                <c:pt idx="4491">
                  <c:v>184.01570000000001</c:v>
                </c:pt>
                <c:pt idx="4492">
                  <c:v>185.62710000000001</c:v>
                </c:pt>
                <c:pt idx="4493">
                  <c:v>187.87260000000001</c:v>
                </c:pt>
                <c:pt idx="4494">
                  <c:v>187.42490000000001</c:v>
                </c:pt>
                <c:pt idx="4495">
                  <c:v>186.76050000000001</c:v>
                </c:pt>
                <c:pt idx="4496">
                  <c:v>187.0016</c:v>
                </c:pt>
                <c:pt idx="4497">
                  <c:v>186.37119999999999</c:v>
                </c:pt>
                <c:pt idx="4498">
                  <c:v>185.78579999999999</c:v>
                </c:pt>
                <c:pt idx="4499">
                  <c:v>185.75980000000001</c:v>
                </c:pt>
                <c:pt idx="4500">
                  <c:v>185.72559999999999</c:v>
                </c:pt>
                <c:pt idx="4501">
                  <c:v>185.7072</c:v>
                </c:pt>
                <c:pt idx="4502">
                  <c:v>185.7072</c:v>
                </c:pt>
                <c:pt idx="4503">
                  <c:v>185.7106</c:v>
                </c:pt>
                <c:pt idx="4504">
                  <c:v>185.69120000000001</c:v>
                </c:pt>
                <c:pt idx="4505">
                  <c:v>185.62530000000001</c:v>
                </c:pt>
                <c:pt idx="4506">
                  <c:v>185.61600000000001</c:v>
                </c:pt>
                <c:pt idx="4507">
                  <c:v>185.82210000000001</c:v>
                </c:pt>
                <c:pt idx="4508">
                  <c:v>185.6825</c:v>
                </c:pt>
                <c:pt idx="4509">
                  <c:v>186.59780000000001</c:v>
                </c:pt>
                <c:pt idx="4510">
                  <c:v>186.5556</c:v>
                </c:pt>
                <c:pt idx="4511">
                  <c:v>188.08179999999999</c:v>
                </c:pt>
                <c:pt idx="4512">
                  <c:v>188.786</c:v>
                </c:pt>
                <c:pt idx="4513">
                  <c:v>190.12029999999999</c:v>
                </c:pt>
                <c:pt idx="4514">
                  <c:v>191.8518</c:v>
                </c:pt>
                <c:pt idx="4515">
                  <c:v>192.94649999999999</c:v>
                </c:pt>
                <c:pt idx="4516">
                  <c:v>191.75</c:v>
                </c:pt>
                <c:pt idx="4517">
                  <c:v>193.1919</c:v>
                </c:pt>
                <c:pt idx="4518">
                  <c:v>193.60040000000001</c:v>
                </c:pt>
                <c:pt idx="4519">
                  <c:v>196.1122</c:v>
                </c:pt>
                <c:pt idx="4520">
                  <c:v>198.27690000000001</c:v>
                </c:pt>
                <c:pt idx="4521">
                  <c:v>200.74860000000001</c:v>
                </c:pt>
                <c:pt idx="4522">
                  <c:v>200.458</c:v>
                </c:pt>
                <c:pt idx="4523">
                  <c:v>200.458</c:v>
                </c:pt>
                <c:pt idx="4524">
                  <c:v>200.90369999999999</c:v>
                </c:pt>
                <c:pt idx="4525">
                  <c:v>200.69759999999999</c:v>
                </c:pt>
                <c:pt idx="4526">
                  <c:v>201.10839999999999</c:v>
                </c:pt>
                <c:pt idx="4527">
                  <c:v>202.4008</c:v>
                </c:pt>
                <c:pt idx="4528">
                  <c:v>202.56139999999999</c:v>
                </c:pt>
                <c:pt idx="4529">
                  <c:v>200.10919999999999</c:v>
                </c:pt>
                <c:pt idx="4530">
                  <c:v>200.1053</c:v>
                </c:pt>
                <c:pt idx="4531">
                  <c:v>199.5224</c:v>
                </c:pt>
                <c:pt idx="4532">
                  <c:v>198.69800000000001</c:v>
                </c:pt>
                <c:pt idx="4533">
                  <c:v>198.76259999999999</c:v>
                </c:pt>
                <c:pt idx="4534">
                  <c:v>197.7158</c:v>
                </c:pt>
                <c:pt idx="4535">
                  <c:v>197.6147</c:v>
                </c:pt>
                <c:pt idx="4536">
                  <c:v>197.59989999999999</c:v>
                </c:pt>
                <c:pt idx="4537">
                  <c:v>198.14439999999999</c:v>
                </c:pt>
                <c:pt idx="4538">
                  <c:v>198.03790000000001</c:v>
                </c:pt>
                <c:pt idx="4539">
                  <c:v>199.9828</c:v>
                </c:pt>
                <c:pt idx="4540">
                  <c:v>201.6294</c:v>
                </c:pt>
                <c:pt idx="4541">
                  <c:v>200.2124</c:v>
                </c:pt>
                <c:pt idx="4542">
                  <c:v>201.17830000000001</c:v>
                </c:pt>
                <c:pt idx="4543">
                  <c:v>201.99379999999999</c:v>
                </c:pt>
                <c:pt idx="4544">
                  <c:v>202.00819999999999</c:v>
                </c:pt>
                <c:pt idx="4545">
                  <c:v>203.3929</c:v>
                </c:pt>
                <c:pt idx="4546">
                  <c:v>204.17779999999999</c:v>
                </c:pt>
                <c:pt idx="4547">
                  <c:v>206.23269999999999</c:v>
                </c:pt>
                <c:pt idx="4548">
                  <c:v>206.32579999999999</c:v>
                </c:pt>
                <c:pt idx="4549">
                  <c:v>207.81729999999999</c:v>
                </c:pt>
                <c:pt idx="4550">
                  <c:v>208.8502</c:v>
                </c:pt>
                <c:pt idx="4551">
                  <c:v>209.6661</c:v>
                </c:pt>
                <c:pt idx="4552">
                  <c:v>209.51150000000001</c:v>
                </c:pt>
                <c:pt idx="4553">
                  <c:v>210.233</c:v>
                </c:pt>
                <c:pt idx="4554">
                  <c:v>211.90790000000001</c:v>
                </c:pt>
                <c:pt idx="4555">
                  <c:v>211.38079999999999</c:v>
                </c:pt>
                <c:pt idx="4556">
                  <c:v>210.17580000000001</c:v>
                </c:pt>
                <c:pt idx="4557">
                  <c:v>208.39160000000001</c:v>
                </c:pt>
                <c:pt idx="4558">
                  <c:v>208.39160000000001</c:v>
                </c:pt>
                <c:pt idx="4559">
                  <c:v>207.85820000000001</c:v>
                </c:pt>
                <c:pt idx="4560">
                  <c:v>207.30879999999999</c:v>
                </c:pt>
                <c:pt idx="4561">
                  <c:v>205.73929999999999</c:v>
                </c:pt>
                <c:pt idx="4562">
                  <c:v>204.89109999999999</c:v>
                </c:pt>
                <c:pt idx="4563">
                  <c:v>204.03149999999999</c:v>
                </c:pt>
                <c:pt idx="4564">
                  <c:v>204.57130000000001</c:v>
                </c:pt>
                <c:pt idx="4565">
                  <c:v>204.57130000000001</c:v>
                </c:pt>
                <c:pt idx="4566">
                  <c:v>204.5069</c:v>
                </c:pt>
                <c:pt idx="4567">
                  <c:v>204.60839999999999</c:v>
                </c:pt>
                <c:pt idx="4568">
                  <c:v>206.369</c:v>
                </c:pt>
                <c:pt idx="4569">
                  <c:v>207.78</c:v>
                </c:pt>
                <c:pt idx="4570">
                  <c:v>207.3535</c:v>
                </c:pt>
                <c:pt idx="4571">
                  <c:v>206.58619999999999</c:v>
                </c:pt>
                <c:pt idx="4572">
                  <c:v>206.4188</c:v>
                </c:pt>
                <c:pt idx="4573">
                  <c:v>206.41</c:v>
                </c:pt>
                <c:pt idx="4574">
                  <c:v>207.92769999999999</c:v>
                </c:pt>
                <c:pt idx="4575">
                  <c:v>207.35599999999999</c:v>
                </c:pt>
                <c:pt idx="4576">
                  <c:v>210.88659999999999</c:v>
                </c:pt>
                <c:pt idx="4577">
                  <c:v>209.613</c:v>
                </c:pt>
                <c:pt idx="4578">
                  <c:v>210.78360000000001</c:v>
                </c:pt>
                <c:pt idx="4579">
                  <c:v>210.41990000000001</c:v>
                </c:pt>
                <c:pt idx="4580">
                  <c:v>210.3887</c:v>
                </c:pt>
                <c:pt idx="4581">
                  <c:v>215.69399999999999</c:v>
                </c:pt>
                <c:pt idx="4582">
                  <c:v>221.33080000000001</c:v>
                </c:pt>
                <c:pt idx="4583">
                  <c:v>224.99889999999999</c:v>
                </c:pt>
                <c:pt idx="4584">
                  <c:v>226.66159999999999</c:v>
                </c:pt>
                <c:pt idx="4585">
                  <c:v>228.37010000000001</c:v>
                </c:pt>
                <c:pt idx="4586">
                  <c:v>227.30539999999999</c:v>
                </c:pt>
                <c:pt idx="4587">
                  <c:v>227.30500000000001</c:v>
                </c:pt>
                <c:pt idx="4588">
                  <c:v>229.80539999999999</c:v>
                </c:pt>
                <c:pt idx="4589">
                  <c:v>232.85429999999999</c:v>
                </c:pt>
                <c:pt idx="4590">
                  <c:v>236.0292</c:v>
                </c:pt>
                <c:pt idx="4591">
                  <c:v>239.25200000000001</c:v>
                </c:pt>
                <c:pt idx="4592">
                  <c:v>207.04580000000001</c:v>
                </c:pt>
                <c:pt idx="4593">
                  <c:v>239.10740000000001</c:v>
                </c:pt>
                <c:pt idx="4594">
                  <c:v>239.0994</c:v>
                </c:pt>
                <c:pt idx="4595">
                  <c:v>238.96340000000001</c:v>
                </c:pt>
                <c:pt idx="4596">
                  <c:v>238.16839999999999</c:v>
                </c:pt>
                <c:pt idx="4597">
                  <c:v>230.01570000000001</c:v>
                </c:pt>
                <c:pt idx="4598">
                  <c:v>226.40880000000001</c:v>
                </c:pt>
                <c:pt idx="4599">
                  <c:v>224.4092</c:v>
                </c:pt>
                <c:pt idx="4600">
                  <c:v>224.7893</c:v>
                </c:pt>
                <c:pt idx="4601">
                  <c:v>224.7063</c:v>
                </c:pt>
                <c:pt idx="4602">
                  <c:v>224.2362</c:v>
                </c:pt>
                <c:pt idx="4603">
                  <c:v>224.33090000000001</c:v>
                </c:pt>
                <c:pt idx="4604">
                  <c:v>221.46260000000001</c:v>
                </c:pt>
                <c:pt idx="4605">
                  <c:v>219.59739999999999</c:v>
                </c:pt>
                <c:pt idx="4606">
                  <c:v>218.49539999999999</c:v>
                </c:pt>
                <c:pt idx="4607">
                  <c:v>218.49539999999999</c:v>
                </c:pt>
                <c:pt idx="4608">
                  <c:v>216.5206</c:v>
                </c:pt>
                <c:pt idx="4609">
                  <c:v>213.54390000000001</c:v>
                </c:pt>
                <c:pt idx="4610">
                  <c:v>213.74690000000001</c:v>
                </c:pt>
                <c:pt idx="4611">
                  <c:v>214.9401</c:v>
                </c:pt>
                <c:pt idx="4612">
                  <c:v>214.875</c:v>
                </c:pt>
                <c:pt idx="4613">
                  <c:v>214.8587</c:v>
                </c:pt>
                <c:pt idx="4614">
                  <c:v>215.98240000000001</c:v>
                </c:pt>
                <c:pt idx="4615">
                  <c:v>216.024</c:v>
                </c:pt>
                <c:pt idx="4616">
                  <c:v>215.54239999999999</c:v>
                </c:pt>
                <c:pt idx="4617">
                  <c:v>217.1284</c:v>
                </c:pt>
                <c:pt idx="4618">
                  <c:v>218.34639999999999</c:v>
                </c:pt>
                <c:pt idx="4619">
                  <c:v>219.25530000000001</c:v>
                </c:pt>
                <c:pt idx="4620">
                  <c:v>220.65029999999999</c:v>
                </c:pt>
                <c:pt idx="4621">
                  <c:v>219.4906</c:v>
                </c:pt>
                <c:pt idx="4622">
                  <c:v>221.34229999999999</c:v>
                </c:pt>
                <c:pt idx="4623">
                  <c:v>222.20760000000001</c:v>
                </c:pt>
                <c:pt idx="4624">
                  <c:v>219.73679999999999</c:v>
                </c:pt>
                <c:pt idx="4625">
                  <c:v>218.18389999999999</c:v>
                </c:pt>
                <c:pt idx="4626">
                  <c:v>218.05590000000001</c:v>
                </c:pt>
                <c:pt idx="4627">
                  <c:v>219.20840000000001</c:v>
                </c:pt>
                <c:pt idx="4628">
                  <c:v>219.29050000000001</c:v>
                </c:pt>
                <c:pt idx="4629">
                  <c:v>218.71870000000001</c:v>
                </c:pt>
                <c:pt idx="4630">
                  <c:v>219.62710000000001</c:v>
                </c:pt>
                <c:pt idx="4631">
                  <c:v>222.1003</c:v>
                </c:pt>
                <c:pt idx="4632">
                  <c:v>224.12119999999999</c:v>
                </c:pt>
                <c:pt idx="4633">
                  <c:v>224.13489999999999</c:v>
                </c:pt>
                <c:pt idx="4634">
                  <c:v>225.62809999999999</c:v>
                </c:pt>
                <c:pt idx="4635">
                  <c:v>226.49039999999999</c:v>
                </c:pt>
                <c:pt idx="4636">
                  <c:v>226.32230000000001</c:v>
                </c:pt>
                <c:pt idx="4637">
                  <c:v>230.78700000000001</c:v>
                </c:pt>
                <c:pt idx="4638">
                  <c:v>231.58170000000001</c:v>
                </c:pt>
                <c:pt idx="4639">
                  <c:v>234.88550000000001</c:v>
                </c:pt>
                <c:pt idx="4640">
                  <c:v>236.70150000000001</c:v>
                </c:pt>
                <c:pt idx="4641">
                  <c:v>236.91399999999999</c:v>
                </c:pt>
                <c:pt idx="4642">
                  <c:v>236.91</c:v>
                </c:pt>
                <c:pt idx="4643">
                  <c:v>221.85740000000001</c:v>
                </c:pt>
                <c:pt idx="4644">
                  <c:v>238.20009999999999</c:v>
                </c:pt>
                <c:pt idx="4645">
                  <c:v>239.26159999999999</c:v>
                </c:pt>
                <c:pt idx="4646">
                  <c:v>239.91890000000001</c:v>
                </c:pt>
                <c:pt idx="4647">
                  <c:v>239.48339999999999</c:v>
                </c:pt>
                <c:pt idx="4648">
                  <c:v>239.8109</c:v>
                </c:pt>
                <c:pt idx="4649">
                  <c:v>240.77090000000001</c:v>
                </c:pt>
                <c:pt idx="4650" formatCode="General">
                  <c:v>240.75999405481338</c:v>
                </c:pt>
                <c:pt idx="4651" formatCode="General">
                  <c:v>239.79576858803281</c:v>
                </c:pt>
                <c:pt idx="4652" formatCode="General">
                  <c:v>236.75006825888772</c:v>
                </c:pt>
                <c:pt idx="4653" formatCode="General">
                  <c:v>234.30208985727</c:v>
                </c:pt>
                <c:pt idx="4654" formatCode="General">
                  <c:v>231.949905485888</c:v>
                </c:pt>
                <c:pt idx="4655" formatCode="General">
                  <c:v>228.10376571427406</c:v>
                </c:pt>
                <c:pt idx="4656" formatCode="General">
                  <c:v>228.10376571427406</c:v>
                </c:pt>
                <c:pt idx="4657" formatCode="General">
                  <c:v>228.09449110785462</c:v>
                </c:pt>
                <c:pt idx="4658" formatCode="General">
                  <c:v>228.09884323511733</c:v>
                </c:pt>
                <c:pt idx="4659" formatCode="General">
                  <c:v>225.23648585033223</c:v>
                </c:pt>
                <c:pt idx="4660" formatCode="General">
                  <c:v>224.20639896838352</c:v>
                </c:pt>
                <c:pt idx="4661" formatCode="General">
                  <c:v>223.00027991430943</c:v>
                </c:pt>
                <c:pt idx="4662" formatCode="General">
                  <c:v>223.00032545766842</c:v>
                </c:pt>
                <c:pt idx="4663" formatCode="General">
                  <c:v>221.00880686397412</c:v>
                </c:pt>
                <c:pt idx="4664" formatCode="General">
                  <c:v>221.00885185748274</c:v>
                </c:pt>
                <c:pt idx="4665" formatCode="General">
                  <c:v>220.50908109700271</c:v>
                </c:pt>
                <c:pt idx="4666" formatCode="General">
                  <c:v>217.15026845803644</c:v>
                </c:pt>
                <c:pt idx="4667" formatCode="General">
                  <c:v>217.95015580495794</c:v>
                </c:pt>
                <c:pt idx="4668" formatCode="General">
                  <c:v>218.25005564427869</c:v>
                </c:pt>
                <c:pt idx="4669" formatCode="General">
                  <c:v>218.25028873734107</c:v>
                </c:pt>
                <c:pt idx="4670" formatCode="General">
                  <c:v>218.25028873734107</c:v>
                </c:pt>
                <c:pt idx="4671" formatCode="General">
                  <c:v>218.25019611789253</c:v>
                </c:pt>
                <c:pt idx="4672" formatCode="General">
                  <c:v>219.75015110067318</c:v>
                </c:pt>
                <c:pt idx="4673" formatCode="General">
                  <c:v>219.7503247177921</c:v>
                </c:pt>
                <c:pt idx="4674" formatCode="General">
                  <c:v>220.99973582220221</c:v>
                </c:pt>
                <c:pt idx="4675" formatCode="General">
                  <c:v>220.82507342594411</c:v>
                </c:pt>
                <c:pt idx="4676" formatCode="General">
                  <c:v>221.15043340526333</c:v>
                </c:pt>
                <c:pt idx="4677" formatCode="General">
                  <c:v>218.37297595483011</c:v>
                </c:pt>
                <c:pt idx="4678" formatCode="General">
                  <c:v>218.37290937674322</c:v>
                </c:pt>
                <c:pt idx="4679" formatCode="General">
                  <c:v>220.00004349514876</c:v>
                </c:pt>
                <c:pt idx="4680" formatCode="General">
                  <c:v>219.4251047335342</c:v>
                </c:pt>
                <c:pt idx="4681" formatCode="General">
                  <c:v>220.7499053666522</c:v>
                </c:pt>
                <c:pt idx="4682" formatCode="General">
                  <c:v>221.37489189823685</c:v>
                </c:pt>
                <c:pt idx="4683" formatCode="General">
                  <c:v>221.37506999765171</c:v>
                </c:pt>
                <c:pt idx="4684" formatCode="General">
                  <c:v>221.37506999765171</c:v>
                </c:pt>
                <c:pt idx="4685" formatCode="General">
                  <c:v>221.37505198883673</c:v>
                </c:pt>
                <c:pt idx="4686" formatCode="General">
                  <c:v>220.46018317630339</c:v>
                </c:pt>
                <c:pt idx="4687" formatCode="General">
                  <c:v>220.5142901393281</c:v>
                </c:pt>
                <c:pt idx="4688" formatCode="General">
                  <c:v>221.49138005682448</c:v>
                </c:pt>
                <c:pt idx="4689" formatCode="General">
                  <c:v>221.50225238161664</c:v>
                </c:pt>
                <c:pt idx="4690" formatCode="General">
                  <c:v>221.50377021331153</c:v>
                </c:pt>
                <c:pt idx="4691" formatCode="General">
                  <c:v>217.85622806384922</c:v>
                </c:pt>
                <c:pt idx="4692" formatCode="General">
                  <c:v>219.41223096785106</c:v>
                </c:pt>
                <c:pt idx="4693" formatCode="General">
                  <c:v>221.5094337550957</c:v>
                </c:pt>
                <c:pt idx="4694" formatCode="General">
                  <c:v>221.75026862064414</c:v>
                </c:pt>
                <c:pt idx="4695" formatCode="General">
                  <c:v>221.46336244127238</c:v>
                </c:pt>
                <c:pt idx="4696" formatCode="General">
                  <c:v>221.49002766278863</c:v>
                </c:pt>
                <c:pt idx="4697" formatCode="General">
                  <c:v>221.56028106901095</c:v>
                </c:pt>
                <c:pt idx="4698" formatCode="General">
                  <c:v>219.74580107780852</c:v>
                </c:pt>
                <c:pt idx="4699" formatCode="General">
                  <c:v>219.74572480340194</c:v>
                </c:pt>
                <c:pt idx="4700" formatCode="General">
                  <c:v>221.49517342432489</c:v>
                </c:pt>
                <c:pt idx="4701" formatCode="General">
                  <c:v>221.89644186657193</c:v>
                </c:pt>
                <c:pt idx="4702" formatCode="General">
                  <c:v>222.45010515419088</c:v>
                </c:pt>
                <c:pt idx="4703" formatCode="General">
                  <c:v>222.44973676210145</c:v>
                </c:pt>
                <c:pt idx="4704" formatCode="General">
                  <c:v>222.4503126963414</c:v>
                </c:pt>
                <c:pt idx="4705" formatCode="General">
                  <c:v>222.4503126963414</c:v>
                </c:pt>
                <c:pt idx="4706" formatCode="General">
                  <c:v>222.44966715163696</c:v>
                </c:pt>
                <c:pt idx="4707" formatCode="General">
                  <c:v>223.75035169227198</c:v>
                </c:pt>
                <c:pt idx="4708" formatCode="General">
                  <c:v>223.69554509706546</c:v>
                </c:pt>
                <c:pt idx="4709" formatCode="General">
                  <c:v>223.49739485076199</c:v>
                </c:pt>
                <c:pt idx="4710" formatCode="General">
                  <c:v>224.52976811577494</c:v>
                </c:pt>
                <c:pt idx="4711" formatCode="General">
                  <c:v>223.50375583924261</c:v>
                </c:pt>
                <c:pt idx="4712" formatCode="General">
                  <c:v>223.50375583924261</c:v>
                </c:pt>
                <c:pt idx="4713" formatCode="General">
                  <c:v>223.49850822286078</c:v>
                </c:pt>
                <c:pt idx="4714" formatCode="General">
                  <c:v>224.10386411076723</c:v>
                </c:pt>
                <c:pt idx="4715" formatCode="General">
                  <c:v>223.95054345140809</c:v>
                </c:pt>
                <c:pt idx="4716" formatCode="General">
                  <c:v>224.00029931732624</c:v>
                </c:pt>
                <c:pt idx="4717" formatCode="General">
                  <c:v>223.64955955463444</c:v>
                </c:pt>
                <c:pt idx="4718" formatCode="General">
                  <c:v>223.703660961293</c:v>
                </c:pt>
                <c:pt idx="4719" formatCode="General">
                  <c:v>224.21113192958825</c:v>
                </c:pt>
                <c:pt idx="4720" formatCode="General">
                  <c:v>224.3261442843646</c:v>
                </c:pt>
                <c:pt idx="4721" formatCode="General">
                  <c:v>224.50117609623697</c:v>
                </c:pt>
                <c:pt idx="4722" formatCode="General">
                  <c:v>224.03782985878891</c:v>
                </c:pt>
                <c:pt idx="4723" formatCode="General">
                  <c:v>224.58100738804498</c:v>
                </c:pt>
                <c:pt idx="4724" formatCode="General">
                  <c:v>224.49342853597992</c:v>
                </c:pt>
                <c:pt idx="4725" formatCode="General">
                  <c:v>224.65048030976473</c:v>
                </c:pt>
                <c:pt idx="4726" formatCode="General">
                  <c:v>224.85658182300875</c:v>
                </c:pt>
                <c:pt idx="4727" formatCode="General">
                  <c:v>224.8566619494629</c:v>
                </c:pt>
                <c:pt idx="4728" formatCode="General">
                  <c:v>224.73987635430177</c:v>
                </c:pt>
                <c:pt idx="4729" formatCode="General">
                  <c:v>225.04997779099443</c:v>
                </c:pt>
                <c:pt idx="4730" formatCode="General">
                  <c:v>224.75024961737824</c:v>
                </c:pt>
                <c:pt idx="4731" formatCode="General">
                  <c:v>225.04993298154122</c:v>
                </c:pt>
                <c:pt idx="4732" formatCode="General">
                  <c:v>225.05047399581395</c:v>
                </c:pt>
                <c:pt idx="4733" formatCode="General">
                  <c:v>225.63453557233009</c:v>
                </c:pt>
                <c:pt idx="4734" formatCode="General">
                  <c:v>225.63450216977841</c:v>
                </c:pt>
                <c:pt idx="4735" formatCode="General">
                  <c:v>225.02504645036313</c:v>
                </c:pt>
                <c:pt idx="4736" formatCode="General">
                  <c:v>225.1749004733984</c:v>
                </c:pt>
                <c:pt idx="4737" formatCode="General">
                  <c:v>225.49674078724479</c:v>
                </c:pt>
                <c:pt idx="4738" formatCode="General">
                  <c:v>225.60021034461619</c:v>
                </c:pt>
                <c:pt idx="4739" formatCode="General">
                  <c:v>225.5037522924425</c:v>
                </c:pt>
                <c:pt idx="4740" formatCode="General">
                  <c:v>225.50365775008063</c:v>
                </c:pt>
                <c:pt idx="4741" formatCode="General">
                  <c:v>225.50040589361276</c:v>
                </c:pt>
                <c:pt idx="4742" formatCode="General">
                  <c:v>225.92505648559947</c:v>
                </c:pt>
                <c:pt idx="4743" formatCode="General">
                  <c:v>226.12491127525777</c:v>
                </c:pt>
                <c:pt idx="4744" formatCode="General">
                  <c:v>226.37497377381408</c:v>
                </c:pt>
                <c:pt idx="4745" formatCode="General">
                  <c:v>226.45018219677252</c:v>
                </c:pt>
                <c:pt idx="4746" formatCode="General">
                  <c:v>226.5504081859057</c:v>
                </c:pt>
                <c:pt idx="4747" formatCode="General">
                  <c:v>226.5504081859057</c:v>
                </c:pt>
                <c:pt idx="4748" formatCode="General">
                  <c:v>226.54997234812959</c:v>
                </c:pt>
                <c:pt idx="4749" formatCode="General">
                  <c:v>226.72228086129826</c:v>
                </c:pt>
                <c:pt idx="4750" formatCode="General">
                  <c:v>226.97496899451195</c:v>
                </c:pt>
                <c:pt idx="4751" formatCode="General">
                  <c:v>226.97493493357615</c:v>
                </c:pt>
                <c:pt idx="4752" formatCode="General">
                  <c:v>227.12499429761868</c:v>
                </c:pt>
                <c:pt idx="4753" formatCode="General">
                  <c:v>227.25033712121925</c:v>
                </c:pt>
                <c:pt idx="4754" formatCode="General">
                  <c:v>227.25033712121925</c:v>
                </c:pt>
                <c:pt idx="4755" formatCode="General">
                  <c:v>227.24982779622331</c:v>
                </c:pt>
                <c:pt idx="4756" formatCode="General">
                  <c:v>227.59973077335124</c:v>
                </c:pt>
                <c:pt idx="4757" formatCode="General">
                  <c:v>228.49770826737191</c:v>
                </c:pt>
                <c:pt idx="4758" formatCode="General">
                  <c:v>228.50225099264782</c:v>
                </c:pt>
                <c:pt idx="4759" formatCode="General">
                  <c:v>228.50021869708107</c:v>
                </c:pt>
                <c:pt idx="4760" formatCode="General">
                  <c:v>229.0002756331958</c:v>
                </c:pt>
                <c:pt idx="4761" formatCode="General">
                  <c:v>228.03016938996564</c:v>
                </c:pt>
                <c:pt idx="4762" formatCode="General">
                  <c:v>228.03013413375683</c:v>
                </c:pt>
                <c:pt idx="4763" formatCode="General">
                  <c:v>228.88341314412665</c:v>
                </c:pt>
                <c:pt idx="4764" formatCode="General">
                  <c:v>228.72489216556028</c:v>
                </c:pt>
                <c:pt idx="4765" formatCode="General">
                  <c:v>228.77297409437756</c:v>
                </c:pt>
                <c:pt idx="4766" formatCode="General">
                  <c:v>229.19807366087497</c:v>
                </c:pt>
                <c:pt idx="4767" formatCode="General">
                  <c:v>229.84741017651638</c:v>
                </c:pt>
                <c:pt idx="4768" formatCode="General">
                  <c:v>229.84730791330529</c:v>
                </c:pt>
                <c:pt idx="4769" formatCode="General">
                  <c:v>229.8473346028988</c:v>
                </c:pt>
                <c:pt idx="4770" formatCode="General">
                  <c:v>230.25041275108831</c:v>
                </c:pt>
                <c:pt idx="4771" formatCode="General">
                  <c:v>231.51074919703632</c:v>
                </c:pt>
                <c:pt idx="4772" formatCode="General">
                  <c:v>230.24990042731557</c:v>
                </c:pt>
                <c:pt idx="4773" formatCode="General">
                  <c:v>250.50321080033189</c:v>
                </c:pt>
                <c:pt idx="4774" formatCode="General">
                  <c:v>262.85048990527486</c:v>
                </c:pt>
                <c:pt idx="4775" formatCode="General">
                  <c:v>250.62336847701221</c:v>
                </c:pt>
                <c:pt idx="4776" formatCode="General">
                  <c:v>250.62337113999504</c:v>
                </c:pt>
                <c:pt idx="4777" formatCode="General">
                  <c:v>269.50449469788794</c:v>
                </c:pt>
                <c:pt idx="4778" formatCode="General">
                  <c:v>267.95016968877809</c:v>
                </c:pt>
                <c:pt idx="4779" formatCode="General">
                  <c:v>267.19781920148773</c:v>
                </c:pt>
                <c:pt idx="4780" formatCode="General">
                  <c:v>270.65008340386828</c:v>
                </c:pt>
                <c:pt idx="4781" formatCode="General">
                  <c:v>275.50368311879259</c:v>
                </c:pt>
                <c:pt idx="4782" formatCode="General">
                  <c:v>277.80964796107787</c:v>
                </c:pt>
                <c:pt idx="4783" formatCode="General">
                  <c:v>277.80972447085452</c:v>
                </c:pt>
                <c:pt idx="4784" formatCode="General">
                  <c:v>275.17506931920389</c:v>
                </c:pt>
                <c:pt idx="4785" formatCode="General">
                  <c:v>276.49865602672287</c:v>
                </c:pt>
                <c:pt idx="4786" formatCode="General">
                  <c:v>274.50277938746166</c:v>
                </c:pt>
                <c:pt idx="4787" formatCode="General">
                  <c:v>269.55003184191514</c:v>
                </c:pt>
                <c:pt idx="4788" formatCode="General">
                  <c:v>271.50363812587682</c:v>
                </c:pt>
                <c:pt idx="4789" formatCode="General">
                  <c:v>269.27430878719576</c:v>
                </c:pt>
                <c:pt idx="4790" formatCode="General">
                  <c:v>269.2744171846935</c:v>
                </c:pt>
                <c:pt idx="4791" formatCode="General">
                  <c:v>267.02372955280856</c:v>
                </c:pt>
                <c:pt idx="4792" formatCode="General">
                  <c:v>267.50321890111155</c:v>
                </c:pt>
                <c:pt idx="4793" formatCode="General">
                  <c:v>265.85944885792901</c:v>
                </c:pt>
                <c:pt idx="4794" formatCode="General">
                  <c:v>264.24005606836965</c:v>
                </c:pt>
                <c:pt idx="4795" formatCode="General">
                  <c:v>262.95043018406079</c:v>
                </c:pt>
                <c:pt idx="4796" formatCode="General">
                  <c:v>260.40238480797285</c:v>
                </c:pt>
                <c:pt idx="4797" formatCode="General">
                  <c:v>261.26865245598469</c:v>
                </c:pt>
                <c:pt idx="4798" formatCode="General">
                  <c:v>261.6788552857339</c:v>
                </c:pt>
                <c:pt idx="4799" formatCode="General">
                  <c:v>262.45307731088178</c:v>
                </c:pt>
                <c:pt idx="4800" formatCode="General">
                  <c:v>261.69346644590195</c:v>
                </c:pt>
                <c:pt idx="4801" formatCode="General">
                  <c:v>260.94949840917582</c:v>
                </c:pt>
                <c:pt idx="4802" formatCode="General">
                  <c:v>260.1749431496645</c:v>
                </c:pt>
                <c:pt idx="4803" formatCode="General">
                  <c:v>257.80154003136749</c:v>
                </c:pt>
                <c:pt idx="4804" formatCode="General">
                  <c:v>257.8014346745548</c:v>
                </c:pt>
                <c:pt idx="4805" formatCode="General">
                  <c:v>260.00025731631337</c:v>
                </c:pt>
                <c:pt idx="4806" formatCode="General">
                  <c:v>261.57511397522518</c:v>
                </c:pt>
                <c:pt idx="4807" formatCode="General">
                  <c:v>266.22999308280208</c:v>
                </c:pt>
                <c:pt idx="4808" formatCode="General">
                  <c:v>281.84978489348447</c:v>
                </c:pt>
                <c:pt idx="4809" formatCode="General">
                  <c:v>278.90372395219538</c:v>
                </c:pt>
                <c:pt idx="4810" formatCode="General">
                  <c:v>278.90369373691925</c:v>
                </c:pt>
                <c:pt idx="4811" formatCode="General">
                  <c:v>278.8962960802009</c:v>
                </c:pt>
                <c:pt idx="4812" formatCode="General">
                  <c:v>275.69792759350253</c:v>
                </c:pt>
                <c:pt idx="4813" formatCode="General">
                  <c:v>276.29857146919704</c:v>
                </c:pt>
                <c:pt idx="4814" formatCode="General">
                  <c:v>278.25012038462415</c:v>
                </c:pt>
                <c:pt idx="4815" formatCode="General">
                  <c:v>283.15012716876601</c:v>
                </c:pt>
                <c:pt idx="4816" formatCode="General">
                  <c:v>279.2201382496695</c:v>
                </c:pt>
                <c:pt idx="4817" formatCode="General">
                  <c:v>279.29885536329715</c:v>
                </c:pt>
                <c:pt idx="4818" formatCode="General">
                  <c:v>279.29892514585833</c:v>
                </c:pt>
                <c:pt idx="4819" formatCode="General">
                  <c:v>281.95022796175425</c:v>
                </c:pt>
                <c:pt idx="4820" formatCode="General">
                  <c:v>281.6498053096355</c:v>
                </c:pt>
                <c:pt idx="4821" formatCode="General">
                  <c:v>283.37513335053075</c:v>
                </c:pt>
                <c:pt idx="4822" formatCode="General">
                  <c:v>283.37513084393038</c:v>
                </c:pt>
                <c:pt idx="4823" formatCode="General">
                  <c:v>281.85025078798492</c:v>
                </c:pt>
                <c:pt idx="4824" formatCode="General">
                  <c:v>277.80999822360451</c:v>
                </c:pt>
                <c:pt idx="4825" formatCode="General">
                  <c:v>277.8102251369354</c:v>
                </c:pt>
                <c:pt idx="4826" formatCode="General">
                  <c:v>281.88492088666646</c:v>
                </c:pt>
                <c:pt idx="4827" formatCode="General">
                  <c:v>281.61591495736457</c:v>
                </c:pt>
                <c:pt idx="4828" formatCode="General">
                  <c:v>283.01973681789582</c:v>
                </c:pt>
                <c:pt idx="4829" formatCode="General">
                  <c:v>282.5477431364713</c:v>
                </c:pt>
                <c:pt idx="4830" formatCode="General">
                  <c:v>283.11632063937901</c:v>
                </c:pt>
                <c:pt idx="4831" formatCode="General">
                  <c:v>283.1163813972297</c:v>
                </c:pt>
                <c:pt idx="4832" formatCode="General">
                  <c:v>283.11631141836403</c:v>
                </c:pt>
                <c:pt idx="4833" formatCode="General">
                  <c:v>283.64962079150746</c:v>
                </c:pt>
                <c:pt idx="4834" formatCode="General">
                  <c:v>283.15889771669362</c:v>
                </c:pt>
                <c:pt idx="4835" formatCode="General">
                  <c:v>283.41986926465057</c:v>
                </c:pt>
                <c:pt idx="4836" formatCode="General">
                  <c:v>283.74977646658556</c:v>
                </c:pt>
                <c:pt idx="4837" formatCode="General">
                  <c:v>283.80365937796097</c:v>
                </c:pt>
                <c:pt idx="4838" formatCode="General">
                  <c:v>283.80365937796097</c:v>
                </c:pt>
                <c:pt idx="4839" formatCode="General">
                  <c:v>283.80227602730787</c:v>
                </c:pt>
                <c:pt idx="4840" formatCode="General">
                  <c:v>284.95010576986533</c:v>
                </c:pt>
                <c:pt idx="4841" formatCode="General">
                  <c:v>287.00011954408984</c:v>
                </c:pt>
                <c:pt idx="4842" formatCode="General">
                  <c:v>288.25044066155175</c:v>
                </c:pt>
                <c:pt idx="4843" formatCode="General">
                  <c:v>287.87288376952995</c:v>
                </c:pt>
                <c:pt idx="4844" formatCode="General">
                  <c:v>284.00038376858936</c:v>
                </c:pt>
                <c:pt idx="4845" formatCode="General">
                  <c:v>279.05828189894515</c:v>
                </c:pt>
                <c:pt idx="4846" formatCode="General">
                  <c:v>279.05815316351413</c:v>
                </c:pt>
                <c:pt idx="4847" formatCode="General">
                  <c:v>286.5019132447693</c:v>
                </c:pt>
                <c:pt idx="4848" formatCode="General">
                  <c:v>288.1248914552869</c:v>
                </c:pt>
                <c:pt idx="4849" formatCode="General">
                  <c:v>287.87486848674047</c:v>
                </c:pt>
                <c:pt idx="4850" formatCode="General">
                  <c:v>284.79644947069625</c:v>
                </c:pt>
                <c:pt idx="4851" formatCode="General">
                  <c:v>284.45032358699746</c:v>
                </c:pt>
                <c:pt idx="4852" formatCode="General">
                  <c:v>279.71646195938996</c:v>
                </c:pt>
                <c:pt idx="4853" formatCode="General">
                  <c:v>279.71660970907016</c:v>
                </c:pt>
                <c:pt idx="4854" formatCode="General">
                  <c:v>284.49667826695054</c:v>
                </c:pt>
                <c:pt idx="4855" formatCode="General">
                  <c:v>283.85017078746279</c:v>
                </c:pt>
                <c:pt idx="4856" formatCode="General">
                  <c:v>280.5823041284462</c:v>
                </c:pt>
                <c:pt idx="4857" formatCode="General">
                  <c:v>283.50068105482359</c:v>
                </c:pt>
                <c:pt idx="4858" formatCode="General">
                  <c:v>283.50362423969364</c:v>
                </c:pt>
                <c:pt idx="4859" formatCode="General">
                  <c:v>283.50362423969364</c:v>
                </c:pt>
                <c:pt idx="4860" formatCode="General">
                  <c:v>283.5027379227086</c:v>
                </c:pt>
                <c:pt idx="4861" formatCode="General">
                  <c:v>279.06882733885169</c:v>
                </c:pt>
                <c:pt idx="4862" formatCode="General">
                  <c:v>283.48023473135044</c:v>
                </c:pt>
                <c:pt idx="4863" formatCode="General">
                  <c:v>283.79657146789128</c:v>
                </c:pt>
                <c:pt idx="4864" formatCode="General">
                  <c:v>283.72491549131075</c:v>
                </c:pt>
                <c:pt idx="4865" formatCode="General">
                  <c:v>283.703777164462</c:v>
                </c:pt>
                <c:pt idx="4866" formatCode="General">
                  <c:v>279.96602178639057</c:v>
                </c:pt>
                <c:pt idx="4867" formatCode="General">
                  <c:v>279.96584275989846</c:v>
                </c:pt>
                <c:pt idx="4868" formatCode="General">
                  <c:v>283.72490976440741</c:v>
                </c:pt>
                <c:pt idx="4869" formatCode="General">
                  <c:v>283.79826530009859</c:v>
                </c:pt>
                <c:pt idx="4870" formatCode="General">
                  <c:v>283.80358872337501</c:v>
                </c:pt>
                <c:pt idx="4871" formatCode="General">
                  <c:v>283.84985248435936</c:v>
                </c:pt>
                <c:pt idx="4872" formatCode="General">
                  <c:v>283.50361365392058</c:v>
                </c:pt>
                <c:pt idx="4873" formatCode="General">
                  <c:v>283.50361365392058</c:v>
                </c:pt>
                <c:pt idx="4874" formatCode="General">
                  <c:v>283.49978989518354</c:v>
                </c:pt>
                <c:pt idx="4875" formatCode="General">
                  <c:v>283.72977542293501</c:v>
                </c:pt>
                <c:pt idx="4876" formatCode="General">
                  <c:v>284.49234653161028</c:v>
                </c:pt>
                <c:pt idx="4877" formatCode="General">
                  <c:v>284.50615457450584</c:v>
                </c:pt>
                <c:pt idx="4878" formatCode="General">
                  <c:v>295.65027827698299</c:v>
                </c:pt>
                <c:pt idx="4879" formatCode="General">
                  <c:v>295.65045563531629</c:v>
                </c:pt>
                <c:pt idx="4880" formatCode="General">
                  <c:v>284.36353107543465</c:v>
                </c:pt>
                <c:pt idx="4881" formatCode="General">
                  <c:v>284.36353634331397</c:v>
                </c:pt>
                <c:pt idx="4882" formatCode="General">
                  <c:v>284.99971030087323</c:v>
                </c:pt>
                <c:pt idx="4883" formatCode="General">
                  <c:v>285.40489741673508</c:v>
                </c:pt>
                <c:pt idx="4884" formatCode="General">
                  <c:v>284.99979331961003</c:v>
                </c:pt>
                <c:pt idx="4885" formatCode="General">
                  <c:v>285.749992807458</c:v>
                </c:pt>
                <c:pt idx="4886" formatCode="General">
                  <c:v>285.50381249174262</c:v>
                </c:pt>
                <c:pt idx="4887" formatCode="General">
                  <c:v>284.9845403067178</c:v>
                </c:pt>
                <c:pt idx="4888" formatCode="General">
                  <c:v>284.98448771482089</c:v>
                </c:pt>
                <c:pt idx="4889" formatCode="General">
                  <c:v>286.62489108013358</c:v>
                </c:pt>
                <c:pt idx="4890" formatCode="General">
                  <c:v>286.95033966735258</c:v>
                </c:pt>
                <c:pt idx="4891" formatCode="General">
                  <c:v>287.44998875002557</c:v>
                </c:pt>
                <c:pt idx="4892" formatCode="General">
                  <c:v>285.99966430749436</c:v>
                </c:pt>
                <c:pt idx="4893" formatCode="General">
                  <c:v>285.00023762176949</c:v>
                </c:pt>
                <c:pt idx="4894" formatCode="General">
                  <c:v>285.00023762176949</c:v>
                </c:pt>
                <c:pt idx="4895" formatCode="General">
                  <c:v>285.64751349476063</c:v>
                </c:pt>
                <c:pt idx="4896" formatCode="General">
                  <c:v>285.26360726717115</c:v>
                </c:pt>
                <c:pt idx="4897" formatCode="General">
                  <c:v>285.82492959872673</c:v>
                </c:pt>
                <c:pt idx="4898" formatCode="General">
                  <c:v>285.49670312817074</c:v>
                </c:pt>
                <c:pt idx="4899" formatCode="General">
                  <c:v>285.18543758433668</c:v>
                </c:pt>
                <c:pt idx="4900" formatCode="General">
                  <c:v>285.6250673623245</c:v>
                </c:pt>
                <c:pt idx="4901" formatCode="General">
                  <c:v>286.68506132069319</c:v>
                </c:pt>
                <c:pt idx="4902" formatCode="General">
                  <c:v>286.68516141697324</c:v>
                </c:pt>
                <c:pt idx="4903" formatCode="General">
                  <c:v>286.24998202857688</c:v>
                </c:pt>
                <c:pt idx="4904" formatCode="General">
                  <c:v>286.259977378315</c:v>
                </c:pt>
                <c:pt idx="4905" formatCode="General">
                  <c:v>286.72509057082743</c:v>
                </c:pt>
                <c:pt idx="4906" formatCode="General">
                  <c:v>287.15020538156273</c:v>
                </c:pt>
                <c:pt idx="4907" formatCode="General">
                  <c:v>286.95047824645133</c:v>
                </c:pt>
                <c:pt idx="4908" formatCode="General">
                  <c:v>286.8868250696446</c:v>
                </c:pt>
                <c:pt idx="4909" formatCode="General">
                  <c:v>286.88670317312227</c:v>
                </c:pt>
                <c:pt idx="4910" formatCode="General">
                  <c:v>287.51397426653682</c:v>
                </c:pt>
                <c:pt idx="4911" formatCode="General">
                  <c:v>287.49689591250348</c:v>
                </c:pt>
                <c:pt idx="4912" formatCode="General">
                  <c:v>287.22483514253832</c:v>
                </c:pt>
                <c:pt idx="4913" formatCode="General">
                  <c:v>287.45009177212006</c:v>
                </c:pt>
                <c:pt idx="4914" formatCode="General">
                  <c:v>287.42506044321982</c:v>
                </c:pt>
                <c:pt idx="4915" formatCode="General">
                  <c:v>287.42506044321982</c:v>
                </c:pt>
                <c:pt idx="4916" formatCode="General">
                  <c:v>286.57511663278592</c:v>
                </c:pt>
                <c:pt idx="4917" formatCode="General">
                  <c:v>287.50308542239759</c:v>
                </c:pt>
                <c:pt idx="4918" formatCode="General">
                  <c:v>287.45019789341046</c:v>
                </c:pt>
                <c:pt idx="4919" formatCode="General">
                  <c:v>286.94931578262617</c:v>
                </c:pt>
                <c:pt idx="4920" formatCode="General">
                  <c:v>286.72485872922005</c:v>
                </c:pt>
                <c:pt idx="4921" formatCode="General">
                  <c:v>286.50375710116822</c:v>
                </c:pt>
                <c:pt idx="4922" formatCode="General">
                  <c:v>284.73161563583471</c:v>
                </c:pt>
                <c:pt idx="4923" formatCode="General">
                  <c:v>284.73162692056252</c:v>
                </c:pt>
                <c:pt idx="4924" formatCode="General">
                  <c:v>286.54992612363566</c:v>
                </c:pt>
                <c:pt idx="4925" formatCode="General">
                  <c:v>286.5501302380427</c:v>
                </c:pt>
                <c:pt idx="4926" formatCode="General">
                  <c:v>286.49752186802596</c:v>
                </c:pt>
                <c:pt idx="4927" formatCode="General">
                  <c:v>286.50223460962656</c:v>
                </c:pt>
                <c:pt idx="4928" formatCode="General">
                  <c:v>286.50369580531367</c:v>
                </c:pt>
                <c:pt idx="4929" formatCode="General">
                  <c:v>286.50369580531367</c:v>
                </c:pt>
                <c:pt idx="4930" formatCode="General">
                  <c:v>284.71377455816599</c:v>
                </c:pt>
                <c:pt idx="4931" formatCode="General">
                  <c:v>286.37189999999998</c:v>
                </c:pt>
                <c:pt idx="4932" formatCode="General">
                  <c:v>286.03519999999997</c:v>
                </c:pt>
                <c:pt idx="4933" formatCode="General">
                  <c:v>277.08629999999999</c:v>
                </c:pt>
                <c:pt idx="4934" formatCode="General">
                  <c:v>277.03230000000002</c:v>
                </c:pt>
                <c:pt idx="4935" formatCode="General">
                  <c:v>277.9443</c:v>
                </c:pt>
                <c:pt idx="4936" formatCode="General">
                  <c:v>272.36399999999998</c:v>
                </c:pt>
                <c:pt idx="4937" formatCode="General">
                  <c:v>273.51499999999999</c:v>
                </c:pt>
                <c:pt idx="4938" formatCode="General">
                  <c:v>277.59129999999999</c:v>
                </c:pt>
                <c:pt idx="4939" formatCode="General">
                  <c:v>276.71030000000002</c:v>
                </c:pt>
                <c:pt idx="4940" formatCode="General">
                  <c:v>277.7133</c:v>
                </c:pt>
                <c:pt idx="4941" formatCode="General">
                  <c:v>273.58800000000002</c:v>
                </c:pt>
                <c:pt idx="4942" formatCode="General">
                  <c:v>277.49990000000003</c:v>
                </c:pt>
                <c:pt idx="4943" formatCode="General">
                  <c:v>273.31790000000001</c:v>
                </c:pt>
                <c:pt idx="4944" formatCode="General">
                  <c:v>274.11200000000002</c:v>
                </c:pt>
                <c:pt idx="4945" formatCode="General">
                  <c:v>275.90120000000002</c:v>
                </c:pt>
                <c:pt idx="4946" formatCode="General">
                  <c:v>282.10129999999998</c:v>
                </c:pt>
                <c:pt idx="4947" formatCode="General">
                  <c:v>283.9153</c:v>
                </c:pt>
                <c:pt idx="4948" formatCode="General">
                  <c:v>284.72559999999999</c:v>
                </c:pt>
                <c:pt idx="4949" formatCode="General">
                  <c:v>286.04989999999998</c:v>
                </c:pt>
                <c:pt idx="4950" formatCode="General">
                  <c:v>286.56970000000001</c:v>
                </c:pt>
                <c:pt idx="4951" formatCode="General">
                  <c:v>286.5736</c:v>
                </c:pt>
                <c:pt idx="4952" formatCode="General">
                  <c:v>287.70260000000002</c:v>
                </c:pt>
                <c:pt idx="4953" formatCode="General">
                  <c:v>286.35419999999999</c:v>
                </c:pt>
                <c:pt idx="4954" formatCode="General">
                  <c:v>287.08359999999999</c:v>
                </c:pt>
                <c:pt idx="4955" formatCode="General">
                  <c:v>286.84859999999998</c:v>
                </c:pt>
                <c:pt idx="4956" formatCode="General">
                  <c:v>286.40390000000002</c:v>
                </c:pt>
                <c:pt idx="4957" formatCode="General">
                  <c:v>285.30930000000001</c:v>
                </c:pt>
                <c:pt idx="4958" formatCode="General">
                  <c:v>285.53410000000002</c:v>
                </c:pt>
                <c:pt idx="4959" formatCode="General">
                  <c:v>286.66919999999999</c:v>
                </c:pt>
                <c:pt idx="4960" formatCode="General">
                  <c:v>287.45389999999998</c:v>
                </c:pt>
                <c:pt idx="4961" formatCode="General">
                  <c:v>285.39909999999998</c:v>
                </c:pt>
                <c:pt idx="4962" formatCode="General">
                  <c:v>286.00529999999998</c:v>
                </c:pt>
                <c:pt idx="4963" formatCode="General">
                  <c:v>283.53289999999998</c:v>
                </c:pt>
                <c:pt idx="4964" formatCode="General">
                  <c:v>283.53289999999998</c:v>
                </c:pt>
                <c:pt idx="4965" formatCode="General">
                  <c:v>287.87349999999998</c:v>
                </c:pt>
                <c:pt idx="4966" formatCode="General">
                  <c:v>283.6071</c:v>
                </c:pt>
                <c:pt idx="4967" formatCode="General">
                  <c:v>287.94920000000002</c:v>
                </c:pt>
                <c:pt idx="4968" formatCode="General">
                  <c:v>287.4796</c:v>
                </c:pt>
                <c:pt idx="4969" formatCode="General">
                  <c:v>287.64409999999998</c:v>
                </c:pt>
                <c:pt idx="4970" formatCode="General">
                  <c:v>288.37360000000001</c:v>
                </c:pt>
                <c:pt idx="4971" formatCode="General">
                  <c:v>289.1626</c:v>
                </c:pt>
                <c:pt idx="4972" formatCode="General">
                  <c:v>289.48390000000001</c:v>
                </c:pt>
                <c:pt idx="4973" formatCode="General">
                  <c:v>288.12049999999999</c:v>
                </c:pt>
                <c:pt idx="4974" formatCode="General">
                  <c:v>291.142</c:v>
                </c:pt>
                <c:pt idx="4975" formatCode="General">
                  <c:v>293.65010000000001</c:v>
                </c:pt>
                <c:pt idx="4976" formatCode="General">
                  <c:v>295.87490000000003</c:v>
                </c:pt>
                <c:pt idx="4977" formatCode="General">
                  <c:v>294.99990000000003</c:v>
                </c:pt>
                <c:pt idx="4978" formatCode="General">
                  <c:v>296.22289999999998</c:v>
                </c:pt>
                <c:pt idx="4979" formatCode="General">
                  <c:v>295.99979999999999</c:v>
                </c:pt>
                <c:pt idx="4980" formatCode="General">
                  <c:v>296.76889999999997</c:v>
                </c:pt>
                <c:pt idx="4981" formatCode="General">
                  <c:v>297.49180000000001</c:v>
                </c:pt>
                <c:pt idx="4982" formatCode="General">
                  <c:v>298.90649999999999</c:v>
                </c:pt>
                <c:pt idx="4983" formatCode="General">
                  <c:v>299.9975</c:v>
                </c:pt>
                <c:pt idx="4984" formatCode="General">
                  <c:v>302.8297</c:v>
                </c:pt>
                <c:pt idx="4985" formatCode="General">
                  <c:v>302.02809999999999</c:v>
                </c:pt>
                <c:pt idx="4986" formatCode="General">
                  <c:v>303.18669999999997</c:v>
                </c:pt>
                <c:pt idx="4987" formatCode="General">
                  <c:v>303.53609999999998</c:v>
                </c:pt>
                <c:pt idx="4988" formatCode="General">
                  <c:v>304.18979999999999</c:v>
                </c:pt>
                <c:pt idx="4989" formatCode="General">
                  <c:v>304.697</c:v>
                </c:pt>
                <c:pt idx="4990" formatCode="General">
                  <c:v>303.3159</c:v>
                </c:pt>
                <c:pt idx="4991" formatCode="General">
                  <c:v>306.25389999999999</c:v>
                </c:pt>
                <c:pt idx="4992" formatCode="General">
                  <c:v>306.25420000000003</c:v>
                </c:pt>
                <c:pt idx="4993" formatCode="General">
                  <c:v>307.66329999999999</c:v>
                </c:pt>
                <c:pt idx="4994" formatCode="General">
                  <c:v>306.65050000000002</c:v>
                </c:pt>
                <c:pt idx="4995" formatCode="General">
                  <c:v>308.09829999999999</c:v>
                </c:pt>
                <c:pt idx="4996" formatCode="General">
                  <c:v>307.48880000000003</c:v>
                </c:pt>
                <c:pt idx="4997" formatCode="General">
                  <c:v>304.9588</c:v>
                </c:pt>
                <c:pt idx="4998" formatCode="General">
                  <c:v>307.37490000000003</c:v>
                </c:pt>
                <c:pt idx="4999" formatCode="General">
                  <c:v>307.37509999999997</c:v>
                </c:pt>
                <c:pt idx="5000" formatCode="General">
                  <c:v>306.3202</c:v>
                </c:pt>
                <c:pt idx="5001" formatCode="General">
                  <c:v>299.06389999999999</c:v>
                </c:pt>
                <c:pt idx="5002" formatCode="General">
                  <c:v>299.66109999999998</c:v>
                </c:pt>
                <c:pt idx="5003" formatCode="General">
                  <c:v>295.31889999999999</c:v>
                </c:pt>
                <c:pt idx="5004" formatCode="General">
                  <c:v>297.82119999999998</c:v>
                </c:pt>
                <c:pt idx="5005" formatCode="General">
                  <c:v>297.02499999999998</c:v>
                </c:pt>
                <c:pt idx="5006" formatCode="General">
                  <c:v>296.4203</c:v>
                </c:pt>
                <c:pt idx="5007" formatCode="General">
                  <c:v>296.54129999999998</c:v>
                </c:pt>
                <c:pt idx="5008" formatCode="General">
                  <c:v>293.8159</c:v>
                </c:pt>
                <c:pt idx="5009" formatCode="General">
                  <c:v>294.77249999999998</c:v>
                </c:pt>
                <c:pt idx="5010" formatCode="General">
                  <c:v>291.70549999999997</c:v>
                </c:pt>
                <c:pt idx="5011" formatCode="General">
                  <c:v>290.90660000000003</c:v>
                </c:pt>
                <c:pt idx="5012" formatCode="General">
                  <c:v>292.95010000000002</c:v>
                </c:pt>
                <c:pt idx="5013" formatCode="General">
                  <c:v>292.95010000000002</c:v>
                </c:pt>
                <c:pt idx="5014" formatCode="General">
                  <c:v>288.36810000000003</c:v>
                </c:pt>
                <c:pt idx="5015" formatCode="General">
                  <c:v>290.50670000000002</c:v>
                </c:pt>
                <c:pt idx="5016" formatCode="General">
                  <c:v>287.91520000000003</c:v>
                </c:pt>
                <c:pt idx="5017" formatCode="General">
                  <c:v>289.476</c:v>
                </c:pt>
                <c:pt idx="5018" formatCode="General">
                  <c:v>287.6266</c:v>
                </c:pt>
                <c:pt idx="5019" formatCode="General">
                  <c:v>287.75029999999998</c:v>
                </c:pt>
                <c:pt idx="5020" formatCode="General">
                  <c:v>289.37049999999999</c:v>
                </c:pt>
                <c:pt idx="5021" formatCode="General">
                  <c:v>289.09410000000003</c:v>
                </c:pt>
                <c:pt idx="5022" formatCode="General">
                  <c:v>286.97930000000002</c:v>
                </c:pt>
                <c:pt idx="5023" formatCode="General">
                  <c:v>285.7364</c:v>
                </c:pt>
                <c:pt idx="5024" formatCode="General">
                  <c:v>284.53530000000001</c:v>
                </c:pt>
                <c:pt idx="5025" formatCode="General">
                  <c:v>283.79660000000001</c:v>
                </c:pt>
                <c:pt idx="5026" formatCode="General">
                  <c:v>277.63499999999999</c:v>
                </c:pt>
                <c:pt idx="5027" formatCode="General">
                  <c:v>277.68060000000003</c:v>
                </c:pt>
                <c:pt idx="5028" formatCode="General">
                  <c:v>278.84480000000002</c:v>
                </c:pt>
                <c:pt idx="5029" formatCode="General">
                  <c:v>281.35210000000001</c:v>
                </c:pt>
                <c:pt idx="5030" formatCode="General">
                  <c:v>280.6542</c:v>
                </c:pt>
                <c:pt idx="5031" formatCode="General">
                  <c:v>279.36970000000002</c:v>
                </c:pt>
                <c:pt idx="5032" formatCode="General">
                  <c:v>278.44990000000001</c:v>
                </c:pt>
                <c:pt idx="5033" formatCode="General">
                  <c:v>277.45139999999998</c:v>
                </c:pt>
                <c:pt idx="5034" formatCode="General">
                  <c:v>277.55739999999997</c:v>
                </c:pt>
                <c:pt idx="5035" formatCode="General">
                  <c:v>277.57799999999997</c:v>
                </c:pt>
                <c:pt idx="5036" formatCode="General">
                  <c:v>276.83420000000001</c:v>
                </c:pt>
                <c:pt idx="5037" formatCode="General">
                  <c:v>276.3759</c:v>
                </c:pt>
                <c:pt idx="5038" formatCode="General">
                  <c:v>276.36810000000003</c:v>
                </c:pt>
                <c:pt idx="5039" formatCode="General">
                  <c:v>277.20659999999998</c:v>
                </c:pt>
                <c:pt idx="5040" formatCode="General">
                  <c:v>278.52749999999997</c:v>
                </c:pt>
                <c:pt idx="5041" formatCode="General">
                  <c:v>274.99979999999999</c:v>
                </c:pt>
                <c:pt idx="5042" formatCode="General">
                  <c:v>275.69279999999998</c:v>
                </c:pt>
                <c:pt idx="5043" formatCode="General">
                  <c:v>278.63619999999997</c:v>
                </c:pt>
                <c:pt idx="5044" formatCode="General">
                  <c:v>279.58350000000002</c:v>
                </c:pt>
                <c:pt idx="5045" formatCode="General">
                  <c:v>277.96530000000001</c:v>
                </c:pt>
                <c:pt idx="5046" formatCode="General">
                  <c:v>280.16160000000002</c:v>
                </c:pt>
                <c:pt idx="5047" formatCode="General">
                  <c:v>277.71230000000003</c:v>
                </c:pt>
                <c:pt idx="5048" formatCode="General">
                  <c:v>276.88369999999998</c:v>
                </c:pt>
                <c:pt idx="5049" formatCode="General">
                  <c:v>276.8897</c:v>
                </c:pt>
                <c:pt idx="5050" formatCode="General">
                  <c:v>279.35550000000001</c:v>
                </c:pt>
                <c:pt idx="5051" formatCode="General">
                  <c:v>281.0335</c:v>
                </c:pt>
                <c:pt idx="5052" formatCode="General">
                  <c:v>280.2484</c:v>
                </c:pt>
                <c:pt idx="5053" formatCode="General">
                  <c:v>282.53120000000001</c:v>
                </c:pt>
                <c:pt idx="5054" formatCode="General">
                  <c:v>278.39890000000003</c:v>
                </c:pt>
                <c:pt idx="5055" formatCode="General">
                  <c:v>278.39890000000003</c:v>
                </c:pt>
                <c:pt idx="5056" formatCode="General">
                  <c:v>279.63159999999999</c:v>
                </c:pt>
                <c:pt idx="5057" formatCode="General">
                  <c:v>285.26409999999998</c:v>
                </c:pt>
                <c:pt idx="5058" formatCode="General">
                  <c:v>283.74630000000002</c:v>
                </c:pt>
                <c:pt idx="5059" formatCode="General">
                  <c:v>287.25220000000002</c:v>
                </c:pt>
                <c:pt idx="5060" formatCode="General">
                  <c:v>285.57909999999998</c:v>
                </c:pt>
                <c:pt idx="5061" formatCode="General">
                  <c:v>283.4658</c:v>
                </c:pt>
                <c:pt idx="5062" formatCode="General">
                  <c:v>282.0829</c:v>
                </c:pt>
                <c:pt idx="5063" formatCode="General">
                  <c:v>282.34609999999998</c:v>
                </c:pt>
                <c:pt idx="5064" formatCode="General">
                  <c:v>283.97120000000001</c:v>
                </c:pt>
                <c:pt idx="5065" formatCode="General">
                  <c:v>287.82060000000001</c:v>
                </c:pt>
                <c:pt idx="5066" formatCode="General">
                  <c:v>288.23169999999999</c:v>
                </c:pt>
                <c:pt idx="5067" formatCode="General">
                  <c:v>287.86509999999998</c:v>
                </c:pt>
                <c:pt idx="5068" formatCode="General">
                  <c:v>288.34980000000002</c:v>
                </c:pt>
                <c:pt idx="5069" formatCode="General">
                  <c:v>285.10270000000003</c:v>
                </c:pt>
                <c:pt idx="5070" formatCode="General">
                  <c:v>285.82799999999997</c:v>
                </c:pt>
                <c:pt idx="5071" formatCode="General">
                  <c:v>286.01519999999999</c:v>
                </c:pt>
                <c:pt idx="5072" formatCode="General">
                  <c:v>285.55119999999999</c:v>
                </c:pt>
                <c:pt idx="5073" formatCode="General">
                  <c:v>284.87029999999999</c:v>
                </c:pt>
                <c:pt idx="5074" formatCode="General">
                  <c:v>282.19470000000001</c:v>
                </c:pt>
                <c:pt idx="5075" formatCode="General">
                  <c:v>0</c:v>
                </c:pt>
                <c:pt idx="5076" formatCode="General">
                  <c:v>281.06630000000001</c:v>
                </c:pt>
                <c:pt idx="5077" formatCode="General">
                  <c:v>281.07979999999998</c:v>
                </c:pt>
                <c:pt idx="5078" formatCode="General">
                  <c:v>284.02460000000002</c:v>
                </c:pt>
                <c:pt idx="5079" formatCode="General">
                  <c:v>285.66410000000002</c:v>
                </c:pt>
                <c:pt idx="5080" formatCode="General">
                  <c:v>285.726</c:v>
                </c:pt>
                <c:pt idx="5081" formatCode="General">
                  <c:v>285.02519999999998</c:v>
                </c:pt>
                <c:pt idx="5082" formatCode="General">
                  <c:v>285.22480000000002</c:v>
                </c:pt>
                <c:pt idx="5083" formatCode="General">
                  <c:v>281.70749999999998</c:v>
                </c:pt>
                <c:pt idx="5084" formatCode="General">
                  <c:v>281.88479999999998</c:v>
                </c:pt>
                <c:pt idx="5085" formatCode="General">
                  <c:v>281.12299999999999</c:v>
                </c:pt>
                <c:pt idx="5086" formatCode="General">
                  <c:v>284.47739999999999</c:v>
                </c:pt>
                <c:pt idx="5087" formatCode="General">
                  <c:v>284.69880000000001</c:v>
                </c:pt>
                <c:pt idx="5088" formatCode="General">
                  <c:v>284.16500000000002</c:v>
                </c:pt>
                <c:pt idx="5089" formatCode="General">
                  <c:v>284.09989999999999</c:v>
                </c:pt>
                <c:pt idx="5090" formatCode="General">
                  <c:v>283.99340000000001</c:v>
                </c:pt>
                <c:pt idx="5091" formatCode="General">
                  <c:v>284.15960000000001</c:v>
                </c:pt>
                <c:pt idx="5092" formatCode="General">
                  <c:v>284.07100000000003</c:v>
                </c:pt>
                <c:pt idx="5093" formatCode="General">
                  <c:v>283.64659999999998</c:v>
                </c:pt>
                <c:pt idx="5094" formatCode="General">
                  <c:v>283.62130000000002</c:v>
                </c:pt>
                <c:pt idx="5095" formatCode="General">
                  <c:v>283.49700000000001</c:v>
                </c:pt>
                <c:pt idx="5096" formatCode="General">
                  <c:v>283.52600000000001</c:v>
                </c:pt>
                <c:pt idx="5097" formatCode="General">
                  <c:v>281.31330000000003</c:v>
                </c:pt>
                <c:pt idx="5098" formatCode="General">
                  <c:v>281.69459999999998</c:v>
                </c:pt>
                <c:pt idx="5099" formatCode="General">
                  <c:v>279.72519999999997</c:v>
                </c:pt>
                <c:pt idx="5100" formatCode="General">
                  <c:v>280.72750000000002</c:v>
                </c:pt>
                <c:pt idx="5101" formatCode="General">
                  <c:v>282.73880000000003</c:v>
                </c:pt>
                <c:pt idx="5102" formatCode="General">
                  <c:v>282.96519999999998</c:v>
                </c:pt>
                <c:pt idx="5103" formatCode="General">
                  <c:v>279.28500000000003</c:v>
                </c:pt>
                <c:pt idx="5104" formatCode="General">
                  <c:v>278.9556</c:v>
                </c:pt>
                <c:pt idx="5105" formatCode="General">
                  <c:v>279.31610000000001</c:v>
                </c:pt>
                <c:pt idx="5106" formatCode="General">
                  <c:v>279.51830000000001</c:v>
                </c:pt>
                <c:pt idx="5107" formatCode="General">
                  <c:v>282.50439999999998</c:v>
                </c:pt>
                <c:pt idx="5108" formatCode="General">
                  <c:v>281.99110000000002</c:v>
                </c:pt>
                <c:pt idx="5109" formatCode="General">
                  <c:v>281.9923</c:v>
                </c:pt>
                <c:pt idx="5110" formatCode="General">
                  <c:v>278.19580000000002</c:v>
                </c:pt>
                <c:pt idx="5111" formatCode="General">
                  <c:v>278.7285</c:v>
                </c:pt>
                <c:pt idx="5112" formatCode="General">
                  <c:v>279.3827</c:v>
                </c:pt>
                <c:pt idx="5113" formatCode="General">
                  <c:v>278.99180000000001</c:v>
                </c:pt>
                <c:pt idx="5114" formatCode="General">
                  <c:v>281.9502</c:v>
                </c:pt>
                <c:pt idx="5115" formatCode="General">
                  <c:v>281.83190000000002</c:v>
                </c:pt>
                <c:pt idx="5116" formatCode="General">
                  <c:v>281.71230000000003</c:v>
                </c:pt>
                <c:pt idx="5117" formatCode="General">
                  <c:v>281.49990000000003</c:v>
                </c:pt>
                <c:pt idx="5118" formatCode="General">
                  <c:v>281.49990000000003</c:v>
                </c:pt>
                <c:pt idx="5119" formatCode="General">
                  <c:v>277.1617</c:v>
                </c:pt>
                <c:pt idx="5120" formatCode="General">
                  <c:v>281.20229999999998</c:v>
                </c:pt>
                <c:pt idx="5121" formatCode="General">
                  <c:v>281.21370000000002</c:v>
                </c:pt>
                <c:pt idx="5122" formatCode="General">
                  <c:v>281.24720000000002</c:v>
                </c:pt>
                <c:pt idx="5123" formatCode="General">
                  <c:v>281.16250000000002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A-415B-90A8-02EEB87B001F}"/>
            </c:ext>
          </c:extLst>
        </c:ser>
        <c:ser>
          <c:idx val="1"/>
          <c:order val="1"/>
          <c:tx>
            <c:v>6.75% annual growth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Data!$A$462:$A$6305</c:f>
              <c:numCache>
                <c:formatCode>d\-mmm\-yy</c:formatCode>
                <c:ptCount val="5844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  <c:pt idx="4383">
                  <c:v>44562</c:v>
                </c:pt>
                <c:pt idx="4384">
                  <c:v>44563</c:v>
                </c:pt>
                <c:pt idx="4385">
                  <c:v>44564</c:v>
                </c:pt>
                <c:pt idx="4386">
                  <c:v>44565</c:v>
                </c:pt>
                <c:pt idx="4387">
                  <c:v>44566</c:v>
                </c:pt>
                <c:pt idx="4388">
                  <c:v>44567</c:v>
                </c:pt>
                <c:pt idx="4389">
                  <c:v>44568</c:v>
                </c:pt>
                <c:pt idx="4390">
                  <c:v>44569</c:v>
                </c:pt>
                <c:pt idx="4391">
                  <c:v>44570</c:v>
                </c:pt>
                <c:pt idx="4392">
                  <c:v>44571</c:v>
                </c:pt>
                <c:pt idx="4393">
                  <c:v>44572</c:v>
                </c:pt>
                <c:pt idx="4394">
                  <c:v>44573</c:v>
                </c:pt>
                <c:pt idx="4395">
                  <c:v>44574</c:v>
                </c:pt>
                <c:pt idx="4396">
                  <c:v>44575</c:v>
                </c:pt>
                <c:pt idx="4397">
                  <c:v>44576</c:v>
                </c:pt>
                <c:pt idx="4398">
                  <c:v>44577</c:v>
                </c:pt>
                <c:pt idx="4399">
                  <c:v>44578</c:v>
                </c:pt>
                <c:pt idx="4400">
                  <c:v>44579</c:v>
                </c:pt>
                <c:pt idx="4401">
                  <c:v>44580</c:v>
                </c:pt>
                <c:pt idx="4402">
                  <c:v>44581</c:v>
                </c:pt>
                <c:pt idx="4403">
                  <c:v>44582</c:v>
                </c:pt>
                <c:pt idx="4404">
                  <c:v>44583</c:v>
                </c:pt>
                <c:pt idx="4405">
                  <c:v>44584</c:v>
                </c:pt>
                <c:pt idx="4406">
                  <c:v>44585</c:v>
                </c:pt>
                <c:pt idx="4407">
                  <c:v>44586</c:v>
                </c:pt>
                <c:pt idx="4408">
                  <c:v>44587</c:v>
                </c:pt>
                <c:pt idx="4409">
                  <c:v>44588</c:v>
                </c:pt>
                <c:pt idx="4410">
                  <c:v>44589</c:v>
                </c:pt>
                <c:pt idx="4411">
                  <c:v>44590</c:v>
                </c:pt>
                <c:pt idx="4412">
                  <c:v>44591</c:v>
                </c:pt>
                <c:pt idx="4413">
                  <c:v>44592</c:v>
                </c:pt>
                <c:pt idx="4414">
                  <c:v>44593</c:v>
                </c:pt>
                <c:pt idx="4415">
                  <c:v>44594</c:v>
                </c:pt>
                <c:pt idx="4416">
                  <c:v>44595</c:v>
                </c:pt>
                <c:pt idx="4417">
                  <c:v>44596</c:v>
                </c:pt>
                <c:pt idx="4418">
                  <c:v>44597</c:v>
                </c:pt>
                <c:pt idx="4419">
                  <c:v>44598</c:v>
                </c:pt>
                <c:pt idx="4420">
                  <c:v>44599</c:v>
                </c:pt>
                <c:pt idx="4421">
                  <c:v>44600</c:v>
                </c:pt>
                <c:pt idx="4422">
                  <c:v>44601</c:v>
                </c:pt>
                <c:pt idx="4423">
                  <c:v>44602</c:v>
                </c:pt>
                <c:pt idx="4424">
                  <c:v>44603</c:v>
                </c:pt>
                <c:pt idx="4425">
                  <c:v>44604</c:v>
                </c:pt>
                <c:pt idx="4426">
                  <c:v>44605</c:v>
                </c:pt>
                <c:pt idx="4427">
                  <c:v>44606</c:v>
                </c:pt>
                <c:pt idx="4428">
                  <c:v>44607</c:v>
                </c:pt>
                <c:pt idx="4429">
                  <c:v>44608</c:v>
                </c:pt>
                <c:pt idx="4430">
                  <c:v>44609</c:v>
                </c:pt>
                <c:pt idx="4431">
                  <c:v>44610</c:v>
                </c:pt>
                <c:pt idx="4432">
                  <c:v>44611</c:v>
                </c:pt>
                <c:pt idx="4433">
                  <c:v>44612</c:v>
                </c:pt>
                <c:pt idx="4434">
                  <c:v>44613</c:v>
                </c:pt>
                <c:pt idx="4435">
                  <c:v>44614</c:v>
                </c:pt>
                <c:pt idx="4436">
                  <c:v>44615</c:v>
                </c:pt>
                <c:pt idx="4437">
                  <c:v>44616</c:v>
                </c:pt>
                <c:pt idx="4438">
                  <c:v>44617</c:v>
                </c:pt>
                <c:pt idx="4439">
                  <c:v>44618</c:v>
                </c:pt>
                <c:pt idx="4440">
                  <c:v>44619</c:v>
                </c:pt>
                <c:pt idx="4441">
                  <c:v>44620</c:v>
                </c:pt>
                <c:pt idx="4442">
                  <c:v>44621</c:v>
                </c:pt>
                <c:pt idx="4443">
                  <c:v>44622</c:v>
                </c:pt>
                <c:pt idx="4444">
                  <c:v>44623</c:v>
                </c:pt>
                <c:pt idx="4445">
                  <c:v>44624</c:v>
                </c:pt>
                <c:pt idx="4446">
                  <c:v>44625</c:v>
                </c:pt>
                <c:pt idx="4447">
                  <c:v>44626</c:v>
                </c:pt>
                <c:pt idx="4448">
                  <c:v>44627</c:v>
                </c:pt>
                <c:pt idx="4449">
                  <c:v>44628</c:v>
                </c:pt>
                <c:pt idx="4450">
                  <c:v>44629</c:v>
                </c:pt>
                <c:pt idx="4451">
                  <c:v>44630</c:v>
                </c:pt>
                <c:pt idx="4452">
                  <c:v>44631</c:v>
                </c:pt>
                <c:pt idx="4453">
                  <c:v>44632</c:v>
                </c:pt>
                <c:pt idx="4454">
                  <c:v>44633</c:v>
                </c:pt>
                <c:pt idx="4455">
                  <c:v>44634</c:v>
                </c:pt>
                <c:pt idx="4456">
                  <c:v>44635</c:v>
                </c:pt>
                <c:pt idx="4457">
                  <c:v>44636</c:v>
                </c:pt>
                <c:pt idx="4458">
                  <c:v>44637</c:v>
                </c:pt>
                <c:pt idx="4459">
                  <c:v>44638</c:v>
                </c:pt>
                <c:pt idx="4460">
                  <c:v>44639</c:v>
                </c:pt>
                <c:pt idx="4461">
                  <c:v>44640</c:v>
                </c:pt>
                <c:pt idx="4462">
                  <c:v>44641</c:v>
                </c:pt>
                <c:pt idx="4463">
                  <c:v>44642</c:v>
                </c:pt>
                <c:pt idx="4464">
                  <c:v>44643</c:v>
                </c:pt>
                <c:pt idx="4465">
                  <c:v>44644</c:v>
                </c:pt>
                <c:pt idx="4466">
                  <c:v>44645</c:v>
                </c:pt>
                <c:pt idx="4467">
                  <c:v>44646</c:v>
                </c:pt>
                <c:pt idx="4468">
                  <c:v>44647</c:v>
                </c:pt>
                <c:pt idx="4469">
                  <c:v>44648</c:v>
                </c:pt>
                <c:pt idx="4470">
                  <c:v>44649</c:v>
                </c:pt>
                <c:pt idx="4471">
                  <c:v>44650</c:v>
                </c:pt>
                <c:pt idx="4472">
                  <c:v>44651</c:v>
                </c:pt>
                <c:pt idx="4473">
                  <c:v>44652</c:v>
                </c:pt>
                <c:pt idx="4474">
                  <c:v>44653</c:v>
                </c:pt>
                <c:pt idx="4475">
                  <c:v>44654</c:v>
                </c:pt>
                <c:pt idx="4476">
                  <c:v>44655</c:v>
                </c:pt>
                <c:pt idx="4477">
                  <c:v>44656</c:v>
                </c:pt>
                <c:pt idx="4478">
                  <c:v>44657</c:v>
                </c:pt>
                <c:pt idx="4479">
                  <c:v>44658</c:v>
                </c:pt>
                <c:pt idx="4480">
                  <c:v>44659</c:v>
                </c:pt>
                <c:pt idx="4481">
                  <c:v>44660</c:v>
                </c:pt>
                <c:pt idx="4482">
                  <c:v>44661</c:v>
                </c:pt>
                <c:pt idx="4483">
                  <c:v>44662</c:v>
                </c:pt>
                <c:pt idx="4484">
                  <c:v>44663</c:v>
                </c:pt>
                <c:pt idx="4485">
                  <c:v>44664</c:v>
                </c:pt>
                <c:pt idx="4486">
                  <c:v>44665</c:v>
                </c:pt>
                <c:pt idx="4487">
                  <c:v>44666</c:v>
                </c:pt>
                <c:pt idx="4488">
                  <c:v>44667</c:v>
                </c:pt>
                <c:pt idx="4489">
                  <c:v>44668</c:v>
                </c:pt>
                <c:pt idx="4490">
                  <c:v>44669</c:v>
                </c:pt>
                <c:pt idx="4491">
                  <c:v>44670</c:v>
                </c:pt>
                <c:pt idx="4492">
                  <c:v>44671</c:v>
                </c:pt>
                <c:pt idx="4493">
                  <c:v>44672</c:v>
                </c:pt>
                <c:pt idx="4494">
                  <c:v>44673</c:v>
                </c:pt>
                <c:pt idx="4495">
                  <c:v>44674</c:v>
                </c:pt>
                <c:pt idx="4496">
                  <c:v>44675</c:v>
                </c:pt>
                <c:pt idx="4497">
                  <c:v>44676</c:v>
                </c:pt>
                <c:pt idx="4498">
                  <c:v>44677</c:v>
                </c:pt>
                <c:pt idx="4499">
                  <c:v>44678</c:v>
                </c:pt>
                <c:pt idx="4500">
                  <c:v>44679</c:v>
                </c:pt>
                <c:pt idx="4501">
                  <c:v>44680</c:v>
                </c:pt>
                <c:pt idx="4502">
                  <c:v>44681</c:v>
                </c:pt>
                <c:pt idx="4503">
                  <c:v>44682</c:v>
                </c:pt>
                <c:pt idx="4504">
                  <c:v>44683</c:v>
                </c:pt>
                <c:pt idx="4505">
                  <c:v>44684</c:v>
                </c:pt>
                <c:pt idx="4506">
                  <c:v>44685</c:v>
                </c:pt>
                <c:pt idx="4507">
                  <c:v>44686</c:v>
                </c:pt>
                <c:pt idx="4508">
                  <c:v>44687</c:v>
                </c:pt>
                <c:pt idx="4509">
                  <c:v>44688</c:v>
                </c:pt>
                <c:pt idx="4510">
                  <c:v>44689</c:v>
                </c:pt>
                <c:pt idx="4511">
                  <c:v>44690</c:v>
                </c:pt>
                <c:pt idx="4512">
                  <c:v>44691</c:v>
                </c:pt>
                <c:pt idx="4513">
                  <c:v>44692</c:v>
                </c:pt>
                <c:pt idx="4514">
                  <c:v>44693</c:v>
                </c:pt>
                <c:pt idx="4515">
                  <c:v>44694</c:v>
                </c:pt>
                <c:pt idx="4516">
                  <c:v>44695</c:v>
                </c:pt>
                <c:pt idx="4517">
                  <c:v>44696</c:v>
                </c:pt>
                <c:pt idx="4518">
                  <c:v>44697</c:v>
                </c:pt>
                <c:pt idx="4519">
                  <c:v>44698</c:v>
                </c:pt>
                <c:pt idx="4520">
                  <c:v>44699</c:v>
                </c:pt>
                <c:pt idx="4521">
                  <c:v>44700</c:v>
                </c:pt>
                <c:pt idx="4522">
                  <c:v>44701</c:v>
                </c:pt>
                <c:pt idx="4523">
                  <c:v>44702</c:v>
                </c:pt>
                <c:pt idx="4524">
                  <c:v>44703</c:v>
                </c:pt>
                <c:pt idx="4525">
                  <c:v>44704</c:v>
                </c:pt>
                <c:pt idx="4526">
                  <c:v>44705</c:v>
                </c:pt>
                <c:pt idx="4527">
                  <c:v>44706</c:v>
                </c:pt>
                <c:pt idx="4528">
                  <c:v>44707</c:v>
                </c:pt>
                <c:pt idx="4529">
                  <c:v>44708</c:v>
                </c:pt>
                <c:pt idx="4530">
                  <c:v>44709</c:v>
                </c:pt>
                <c:pt idx="4531">
                  <c:v>44710</c:v>
                </c:pt>
                <c:pt idx="4532">
                  <c:v>44711</c:v>
                </c:pt>
                <c:pt idx="4533">
                  <c:v>44712</c:v>
                </c:pt>
                <c:pt idx="4534">
                  <c:v>44713</c:v>
                </c:pt>
                <c:pt idx="4535">
                  <c:v>44714</c:v>
                </c:pt>
                <c:pt idx="4536">
                  <c:v>44715</c:v>
                </c:pt>
                <c:pt idx="4537">
                  <c:v>44716</c:v>
                </c:pt>
                <c:pt idx="4538">
                  <c:v>44717</c:v>
                </c:pt>
                <c:pt idx="4539">
                  <c:v>44718</c:v>
                </c:pt>
                <c:pt idx="4540">
                  <c:v>44719</c:v>
                </c:pt>
                <c:pt idx="4541">
                  <c:v>44720</c:v>
                </c:pt>
                <c:pt idx="4542">
                  <c:v>44721</c:v>
                </c:pt>
                <c:pt idx="4543">
                  <c:v>44722</c:v>
                </c:pt>
                <c:pt idx="4544">
                  <c:v>44723</c:v>
                </c:pt>
                <c:pt idx="4545">
                  <c:v>44724</c:v>
                </c:pt>
                <c:pt idx="4546">
                  <c:v>44725</c:v>
                </c:pt>
                <c:pt idx="4547">
                  <c:v>44726</c:v>
                </c:pt>
                <c:pt idx="4548">
                  <c:v>44727</c:v>
                </c:pt>
                <c:pt idx="4549">
                  <c:v>44728</c:v>
                </c:pt>
                <c:pt idx="4550">
                  <c:v>44729</c:v>
                </c:pt>
                <c:pt idx="4551">
                  <c:v>44730</c:v>
                </c:pt>
                <c:pt idx="4552">
                  <c:v>44731</c:v>
                </c:pt>
                <c:pt idx="4553">
                  <c:v>44732</c:v>
                </c:pt>
                <c:pt idx="4554">
                  <c:v>44733</c:v>
                </c:pt>
                <c:pt idx="4555">
                  <c:v>44734</c:v>
                </c:pt>
                <c:pt idx="4556">
                  <c:v>44735</c:v>
                </c:pt>
                <c:pt idx="4557">
                  <c:v>44736</c:v>
                </c:pt>
                <c:pt idx="4558">
                  <c:v>44737</c:v>
                </c:pt>
                <c:pt idx="4559">
                  <c:v>44738</c:v>
                </c:pt>
                <c:pt idx="4560">
                  <c:v>44739</c:v>
                </c:pt>
                <c:pt idx="4561">
                  <c:v>44740</c:v>
                </c:pt>
                <c:pt idx="4562">
                  <c:v>44741</c:v>
                </c:pt>
                <c:pt idx="4563">
                  <c:v>44742</c:v>
                </c:pt>
                <c:pt idx="4564">
                  <c:v>44743</c:v>
                </c:pt>
                <c:pt idx="4565">
                  <c:v>44744</c:v>
                </c:pt>
                <c:pt idx="4566">
                  <c:v>44745</c:v>
                </c:pt>
                <c:pt idx="4567">
                  <c:v>44746</c:v>
                </c:pt>
                <c:pt idx="4568">
                  <c:v>44747</c:v>
                </c:pt>
                <c:pt idx="4569">
                  <c:v>44748</c:v>
                </c:pt>
                <c:pt idx="4570">
                  <c:v>44749</c:v>
                </c:pt>
                <c:pt idx="4571">
                  <c:v>44750</c:v>
                </c:pt>
                <c:pt idx="4572">
                  <c:v>44751</c:v>
                </c:pt>
                <c:pt idx="4573">
                  <c:v>44752</c:v>
                </c:pt>
                <c:pt idx="4574">
                  <c:v>44753</c:v>
                </c:pt>
                <c:pt idx="4575">
                  <c:v>44754</c:v>
                </c:pt>
                <c:pt idx="4576">
                  <c:v>44755</c:v>
                </c:pt>
                <c:pt idx="4577">
                  <c:v>44756</c:v>
                </c:pt>
                <c:pt idx="4578">
                  <c:v>44757</c:v>
                </c:pt>
                <c:pt idx="4579">
                  <c:v>44758</c:v>
                </c:pt>
                <c:pt idx="4580">
                  <c:v>44759</c:v>
                </c:pt>
                <c:pt idx="4581">
                  <c:v>44760</c:v>
                </c:pt>
                <c:pt idx="4582">
                  <c:v>44761</c:v>
                </c:pt>
                <c:pt idx="4583">
                  <c:v>44762</c:v>
                </c:pt>
                <c:pt idx="4584">
                  <c:v>44763</c:v>
                </c:pt>
                <c:pt idx="4585">
                  <c:v>44764</c:v>
                </c:pt>
                <c:pt idx="4586">
                  <c:v>44765</c:v>
                </c:pt>
                <c:pt idx="4587">
                  <c:v>44766</c:v>
                </c:pt>
                <c:pt idx="4588">
                  <c:v>44767</c:v>
                </c:pt>
                <c:pt idx="4589">
                  <c:v>44768</c:v>
                </c:pt>
                <c:pt idx="4590">
                  <c:v>44769</c:v>
                </c:pt>
                <c:pt idx="4591">
                  <c:v>44770</c:v>
                </c:pt>
                <c:pt idx="4592">
                  <c:v>44771</c:v>
                </c:pt>
                <c:pt idx="4593">
                  <c:v>44772</c:v>
                </c:pt>
                <c:pt idx="4594">
                  <c:v>44773</c:v>
                </c:pt>
                <c:pt idx="4595">
                  <c:v>44774</c:v>
                </c:pt>
                <c:pt idx="4596">
                  <c:v>44775</c:v>
                </c:pt>
                <c:pt idx="4597">
                  <c:v>44776</c:v>
                </c:pt>
                <c:pt idx="4598">
                  <c:v>44777</c:v>
                </c:pt>
                <c:pt idx="4599">
                  <c:v>44778</c:v>
                </c:pt>
                <c:pt idx="4600">
                  <c:v>44779</c:v>
                </c:pt>
                <c:pt idx="4601">
                  <c:v>44780</c:v>
                </c:pt>
                <c:pt idx="4602">
                  <c:v>44781</c:v>
                </c:pt>
                <c:pt idx="4603">
                  <c:v>44782</c:v>
                </c:pt>
                <c:pt idx="4604">
                  <c:v>44783</c:v>
                </c:pt>
                <c:pt idx="4605">
                  <c:v>44784</c:v>
                </c:pt>
                <c:pt idx="4606">
                  <c:v>44785</c:v>
                </c:pt>
                <c:pt idx="4607">
                  <c:v>44786</c:v>
                </c:pt>
                <c:pt idx="4608">
                  <c:v>44787</c:v>
                </c:pt>
                <c:pt idx="4609">
                  <c:v>44788</c:v>
                </c:pt>
                <c:pt idx="4610">
                  <c:v>44789</c:v>
                </c:pt>
                <c:pt idx="4611">
                  <c:v>44790</c:v>
                </c:pt>
                <c:pt idx="4612">
                  <c:v>44791</c:v>
                </c:pt>
                <c:pt idx="4613">
                  <c:v>44792</c:v>
                </c:pt>
                <c:pt idx="4614">
                  <c:v>44793</c:v>
                </c:pt>
                <c:pt idx="4615">
                  <c:v>44794</c:v>
                </c:pt>
                <c:pt idx="4616">
                  <c:v>44795</c:v>
                </c:pt>
                <c:pt idx="4617">
                  <c:v>44796</c:v>
                </c:pt>
                <c:pt idx="4618">
                  <c:v>44797</c:v>
                </c:pt>
                <c:pt idx="4619">
                  <c:v>44798</c:v>
                </c:pt>
                <c:pt idx="4620">
                  <c:v>44799</c:v>
                </c:pt>
                <c:pt idx="4621">
                  <c:v>44800</c:v>
                </c:pt>
                <c:pt idx="4622">
                  <c:v>44801</c:v>
                </c:pt>
                <c:pt idx="4623">
                  <c:v>44802</c:v>
                </c:pt>
                <c:pt idx="4624">
                  <c:v>44803</c:v>
                </c:pt>
                <c:pt idx="4625">
                  <c:v>44804</c:v>
                </c:pt>
                <c:pt idx="4626">
                  <c:v>44805</c:v>
                </c:pt>
                <c:pt idx="4627">
                  <c:v>44806</c:v>
                </c:pt>
                <c:pt idx="4628">
                  <c:v>44807</c:v>
                </c:pt>
                <c:pt idx="4629">
                  <c:v>44808</c:v>
                </c:pt>
                <c:pt idx="4630">
                  <c:v>44809</c:v>
                </c:pt>
                <c:pt idx="4631">
                  <c:v>44810</c:v>
                </c:pt>
                <c:pt idx="4632">
                  <c:v>44811</c:v>
                </c:pt>
                <c:pt idx="4633">
                  <c:v>44812</c:v>
                </c:pt>
                <c:pt idx="4634">
                  <c:v>44813</c:v>
                </c:pt>
                <c:pt idx="4635">
                  <c:v>44814</c:v>
                </c:pt>
                <c:pt idx="4636">
                  <c:v>44815</c:v>
                </c:pt>
                <c:pt idx="4637">
                  <c:v>44816</c:v>
                </c:pt>
                <c:pt idx="4638">
                  <c:v>44817</c:v>
                </c:pt>
                <c:pt idx="4639">
                  <c:v>44818</c:v>
                </c:pt>
                <c:pt idx="4640">
                  <c:v>44819</c:v>
                </c:pt>
                <c:pt idx="4641">
                  <c:v>44820</c:v>
                </c:pt>
                <c:pt idx="4642">
                  <c:v>44821</c:v>
                </c:pt>
                <c:pt idx="4643">
                  <c:v>44822</c:v>
                </c:pt>
                <c:pt idx="4644">
                  <c:v>44823</c:v>
                </c:pt>
                <c:pt idx="4645">
                  <c:v>44824</c:v>
                </c:pt>
                <c:pt idx="4646">
                  <c:v>44825</c:v>
                </c:pt>
                <c:pt idx="4647">
                  <c:v>44826</c:v>
                </c:pt>
                <c:pt idx="4648">
                  <c:v>44827</c:v>
                </c:pt>
                <c:pt idx="4649">
                  <c:v>44828</c:v>
                </c:pt>
                <c:pt idx="4650">
                  <c:v>44829</c:v>
                </c:pt>
                <c:pt idx="4651">
                  <c:v>44830</c:v>
                </c:pt>
                <c:pt idx="4652">
                  <c:v>44831</c:v>
                </c:pt>
                <c:pt idx="4653">
                  <c:v>44832</c:v>
                </c:pt>
                <c:pt idx="4654">
                  <c:v>44833</c:v>
                </c:pt>
                <c:pt idx="4655">
                  <c:v>44834</c:v>
                </c:pt>
                <c:pt idx="4656">
                  <c:v>44835</c:v>
                </c:pt>
                <c:pt idx="4657">
                  <c:v>44836</c:v>
                </c:pt>
                <c:pt idx="4658">
                  <c:v>44837</c:v>
                </c:pt>
                <c:pt idx="4659">
                  <c:v>44838</c:v>
                </c:pt>
                <c:pt idx="4660">
                  <c:v>44839</c:v>
                </c:pt>
                <c:pt idx="4661">
                  <c:v>44840</c:v>
                </c:pt>
                <c:pt idx="4662">
                  <c:v>44841</c:v>
                </c:pt>
                <c:pt idx="4663">
                  <c:v>44842</c:v>
                </c:pt>
                <c:pt idx="4664">
                  <c:v>44843</c:v>
                </c:pt>
                <c:pt idx="4665">
                  <c:v>44844</c:v>
                </c:pt>
                <c:pt idx="4666">
                  <c:v>44845</c:v>
                </c:pt>
                <c:pt idx="4667">
                  <c:v>44846</c:v>
                </c:pt>
                <c:pt idx="4668">
                  <c:v>44847</c:v>
                </c:pt>
                <c:pt idx="4669">
                  <c:v>44848</c:v>
                </c:pt>
                <c:pt idx="4670">
                  <c:v>44849</c:v>
                </c:pt>
                <c:pt idx="4671">
                  <c:v>44850</c:v>
                </c:pt>
                <c:pt idx="4672">
                  <c:v>44851</c:v>
                </c:pt>
                <c:pt idx="4673">
                  <c:v>44852</c:v>
                </c:pt>
                <c:pt idx="4674">
                  <c:v>44853</c:v>
                </c:pt>
                <c:pt idx="4675">
                  <c:v>44854</c:v>
                </c:pt>
                <c:pt idx="4676">
                  <c:v>44855</c:v>
                </c:pt>
                <c:pt idx="4677">
                  <c:v>44856</c:v>
                </c:pt>
                <c:pt idx="4678">
                  <c:v>44857</c:v>
                </c:pt>
                <c:pt idx="4679">
                  <c:v>44858</c:v>
                </c:pt>
                <c:pt idx="4680">
                  <c:v>44859</c:v>
                </c:pt>
                <c:pt idx="4681">
                  <c:v>44860</c:v>
                </c:pt>
                <c:pt idx="4682">
                  <c:v>44861</c:v>
                </c:pt>
                <c:pt idx="4683">
                  <c:v>44862</c:v>
                </c:pt>
                <c:pt idx="4684">
                  <c:v>44863</c:v>
                </c:pt>
                <c:pt idx="4685">
                  <c:v>44864</c:v>
                </c:pt>
                <c:pt idx="4686">
                  <c:v>44865</c:v>
                </c:pt>
                <c:pt idx="4687">
                  <c:v>44866</c:v>
                </c:pt>
                <c:pt idx="4688">
                  <c:v>44867</c:v>
                </c:pt>
                <c:pt idx="4689">
                  <c:v>44868</c:v>
                </c:pt>
                <c:pt idx="4690">
                  <c:v>44869</c:v>
                </c:pt>
                <c:pt idx="4691">
                  <c:v>44870</c:v>
                </c:pt>
                <c:pt idx="4692">
                  <c:v>44871</c:v>
                </c:pt>
                <c:pt idx="4693">
                  <c:v>44872</c:v>
                </c:pt>
                <c:pt idx="4694">
                  <c:v>44873</c:v>
                </c:pt>
                <c:pt idx="4695">
                  <c:v>44874</c:v>
                </c:pt>
                <c:pt idx="4696">
                  <c:v>44875</c:v>
                </c:pt>
                <c:pt idx="4697">
                  <c:v>44876</c:v>
                </c:pt>
                <c:pt idx="4698">
                  <c:v>44877</c:v>
                </c:pt>
                <c:pt idx="4699">
                  <c:v>44878</c:v>
                </c:pt>
                <c:pt idx="4700">
                  <c:v>44879</c:v>
                </c:pt>
                <c:pt idx="4701">
                  <c:v>44880</c:v>
                </c:pt>
                <c:pt idx="4702">
                  <c:v>44881</c:v>
                </c:pt>
                <c:pt idx="4703">
                  <c:v>44882</c:v>
                </c:pt>
                <c:pt idx="4704">
                  <c:v>44883</c:v>
                </c:pt>
                <c:pt idx="4705">
                  <c:v>44884</c:v>
                </c:pt>
                <c:pt idx="4706">
                  <c:v>44885</c:v>
                </c:pt>
                <c:pt idx="4707">
                  <c:v>44886</c:v>
                </c:pt>
                <c:pt idx="4708">
                  <c:v>44887</c:v>
                </c:pt>
                <c:pt idx="4709">
                  <c:v>44888</c:v>
                </c:pt>
                <c:pt idx="4710">
                  <c:v>44889</c:v>
                </c:pt>
                <c:pt idx="4711">
                  <c:v>44890</c:v>
                </c:pt>
                <c:pt idx="4712">
                  <c:v>44891</c:v>
                </c:pt>
                <c:pt idx="4713">
                  <c:v>44892</c:v>
                </c:pt>
                <c:pt idx="4714">
                  <c:v>44893</c:v>
                </c:pt>
                <c:pt idx="4715">
                  <c:v>44894</c:v>
                </c:pt>
                <c:pt idx="4716">
                  <c:v>44895</c:v>
                </c:pt>
                <c:pt idx="4717">
                  <c:v>44896</c:v>
                </c:pt>
                <c:pt idx="4718">
                  <c:v>44897</c:v>
                </c:pt>
                <c:pt idx="4719">
                  <c:v>44898</c:v>
                </c:pt>
                <c:pt idx="4720">
                  <c:v>44899</c:v>
                </c:pt>
                <c:pt idx="4721">
                  <c:v>44900</c:v>
                </c:pt>
                <c:pt idx="4722">
                  <c:v>44901</c:v>
                </c:pt>
                <c:pt idx="4723">
                  <c:v>44902</c:v>
                </c:pt>
                <c:pt idx="4724">
                  <c:v>44903</c:v>
                </c:pt>
                <c:pt idx="4725">
                  <c:v>44904</c:v>
                </c:pt>
                <c:pt idx="4726">
                  <c:v>44905</c:v>
                </c:pt>
                <c:pt idx="4727">
                  <c:v>44906</c:v>
                </c:pt>
                <c:pt idx="4728">
                  <c:v>44907</c:v>
                </c:pt>
                <c:pt idx="4729">
                  <c:v>44908</c:v>
                </c:pt>
                <c:pt idx="4730">
                  <c:v>44909</c:v>
                </c:pt>
                <c:pt idx="4731">
                  <c:v>44910</c:v>
                </c:pt>
                <c:pt idx="4732">
                  <c:v>44911</c:v>
                </c:pt>
                <c:pt idx="4733">
                  <c:v>44912</c:v>
                </c:pt>
                <c:pt idx="4734">
                  <c:v>44913</c:v>
                </c:pt>
                <c:pt idx="4735">
                  <c:v>44914</c:v>
                </c:pt>
                <c:pt idx="4736">
                  <c:v>44915</c:v>
                </c:pt>
                <c:pt idx="4737">
                  <c:v>44916</c:v>
                </c:pt>
                <c:pt idx="4738">
                  <c:v>44917</c:v>
                </c:pt>
                <c:pt idx="4739">
                  <c:v>44918</c:v>
                </c:pt>
                <c:pt idx="4740">
                  <c:v>44919</c:v>
                </c:pt>
                <c:pt idx="4741">
                  <c:v>44920</c:v>
                </c:pt>
                <c:pt idx="4742">
                  <c:v>44921</c:v>
                </c:pt>
                <c:pt idx="4743">
                  <c:v>44922</c:v>
                </c:pt>
                <c:pt idx="4744">
                  <c:v>44923</c:v>
                </c:pt>
                <c:pt idx="4745">
                  <c:v>44924</c:v>
                </c:pt>
                <c:pt idx="4746">
                  <c:v>44925</c:v>
                </c:pt>
                <c:pt idx="4747">
                  <c:v>44926</c:v>
                </c:pt>
                <c:pt idx="4748">
                  <c:v>44927</c:v>
                </c:pt>
                <c:pt idx="4749">
                  <c:v>44928</c:v>
                </c:pt>
                <c:pt idx="4750">
                  <c:v>44929</c:v>
                </c:pt>
                <c:pt idx="4751">
                  <c:v>44930</c:v>
                </c:pt>
                <c:pt idx="4752">
                  <c:v>44931</c:v>
                </c:pt>
                <c:pt idx="4753">
                  <c:v>44932</c:v>
                </c:pt>
                <c:pt idx="4754">
                  <c:v>44933</c:v>
                </c:pt>
                <c:pt idx="4755">
                  <c:v>44934</c:v>
                </c:pt>
                <c:pt idx="4756">
                  <c:v>44935</c:v>
                </c:pt>
                <c:pt idx="4757">
                  <c:v>44936</c:v>
                </c:pt>
                <c:pt idx="4758">
                  <c:v>44937</c:v>
                </c:pt>
                <c:pt idx="4759">
                  <c:v>44938</c:v>
                </c:pt>
                <c:pt idx="4760">
                  <c:v>44939</c:v>
                </c:pt>
                <c:pt idx="4761">
                  <c:v>44940</c:v>
                </c:pt>
                <c:pt idx="4762">
                  <c:v>44941</c:v>
                </c:pt>
                <c:pt idx="4763">
                  <c:v>44942</c:v>
                </c:pt>
                <c:pt idx="4764">
                  <c:v>44943</c:v>
                </c:pt>
                <c:pt idx="4765">
                  <c:v>44944</c:v>
                </c:pt>
                <c:pt idx="4766">
                  <c:v>44945</c:v>
                </c:pt>
                <c:pt idx="4767">
                  <c:v>44946</c:v>
                </c:pt>
                <c:pt idx="4768">
                  <c:v>44947</c:v>
                </c:pt>
                <c:pt idx="4769">
                  <c:v>44948</c:v>
                </c:pt>
                <c:pt idx="4770">
                  <c:v>44949</c:v>
                </c:pt>
                <c:pt idx="4771">
                  <c:v>44950</c:v>
                </c:pt>
                <c:pt idx="4772">
                  <c:v>44951</c:v>
                </c:pt>
                <c:pt idx="4773">
                  <c:v>44952</c:v>
                </c:pt>
                <c:pt idx="4774">
                  <c:v>44953</c:v>
                </c:pt>
                <c:pt idx="4775">
                  <c:v>44954</c:v>
                </c:pt>
                <c:pt idx="4776">
                  <c:v>44955</c:v>
                </c:pt>
                <c:pt idx="4777">
                  <c:v>44956</c:v>
                </c:pt>
                <c:pt idx="4778">
                  <c:v>44957</c:v>
                </c:pt>
                <c:pt idx="4779">
                  <c:v>44958</c:v>
                </c:pt>
                <c:pt idx="4780">
                  <c:v>44959</c:v>
                </c:pt>
                <c:pt idx="4781">
                  <c:v>44960</c:v>
                </c:pt>
                <c:pt idx="4782">
                  <c:v>44961</c:v>
                </c:pt>
                <c:pt idx="4783">
                  <c:v>44962</c:v>
                </c:pt>
                <c:pt idx="4784">
                  <c:v>44963</c:v>
                </c:pt>
                <c:pt idx="4785">
                  <c:v>44964</c:v>
                </c:pt>
                <c:pt idx="4786">
                  <c:v>44965</c:v>
                </c:pt>
                <c:pt idx="4787">
                  <c:v>44966</c:v>
                </c:pt>
                <c:pt idx="4788">
                  <c:v>44967</c:v>
                </c:pt>
                <c:pt idx="4789">
                  <c:v>44968</c:v>
                </c:pt>
                <c:pt idx="4790">
                  <c:v>44969</c:v>
                </c:pt>
                <c:pt idx="4791">
                  <c:v>44970</c:v>
                </c:pt>
                <c:pt idx="4792">
                  <c:v>44971</c:v>
                </c:pt>
                <c:pt idx="4793">
                  <c:v>44972</c:v>
                </c:pt>
                <c:pt idx="4794">
                  <c:v>44973</c:v>
                </c:pt>
                <c:pt idx="4795">
                  <c:v>44974</c:v>
                </c:pt>
                <c:pt idx="4796">
                  <c:v>44975</c:v>
                </c:pt>
                <c:pt idx="4797">
                  <c:v>44976</c:v>
                </c:pt>
                <c:pt idx="4798">
                  <c:v>44977</c:v>
                </c:pt>
                <c:pt idx="4799">
                  <c:v>44978</c:v>
                </c:pt>
                <c:pt idx="4800">
                  <c:v>44979</c:v>
                </c:pt>
                <c:pt idx="4801">
                  <c:v>44980</c:v>
                </c:pt>
                <c:pt idx="4802">
                  <c:v>44981</c:v>
                </c:pt>
                <c:pt idx="4803">
                  <c:v>44982</c:v>
                </c:pt>
                <c:pt idx="4804">
                  <c:v>44983</c:v>
                </c:pt>
                <c:pt idx="4805">
                  <c:v>44984</c:v>
                </c:pt>
                <c:pt idx="4806">
                  <c:v>44985</c:v>
                </c:pt>
                <c:pt idx="4807">
                  <c:v>44986</c:v>
                </c:pt>
                <c:pt idx="4808">
                  <c:v>44987</c:v>
                </c:pt>
                <c:pt idx="4809">
                  <c:v>44988</c:v>
                </c:pt>
                <c:pt idx="4810">
                  <c:v>44989</c:v>
                </c:pt>
                <c:pt idx="4811">
                  <c:v>44990</c:v>
                </c:pt>
                <c:pt idx="4812">
                  <c:v>44991</c:v>
                </c:pt>
                <c:pt idx="4813">
                  <c:v>44992</c:v>
                </c:pt>
                <c:pt idx="4814">
                  <c:v>44993</c:v>
                </c:pt>
                <c:pt idx="4815">
                  <c:v>44994</c:v>
                </c:pt>
                <c:pt idx="4816">
                  <c:v>44995</c:v>
                </c:pt>
                <c:pt idx="4817">
                  <c:v>44996</c:v>
                </c:pt>
                <c:pt idx="4818">
                  <c:v>44997</c:v>
                </c:pt>
                <c:pt idx="4819">
                  <c:v>44998</c:v>
                </c:pt>
                <c:pt idx="4820">
                  <c:v>44999</c:v>
                </c:pt>
                <c:pt idx="4821">
                  <c:v>45000</c:v>
                </c:pt>
                <c:pt idx="4822">
                  <c:v>45001</c:v>
                </c:pt>
                <c:pt idx="4823">
                  <c:v>45002</c:v>
                </c:pt>
                <c:pt idx="4824">
                  <c:v>45003</c:v>
                </c:pt>
                <c:pt idx="4825">
                  <c:v>45004</c:v>
                </c:pt>
                <c:pt idx="4826">
                  <c:v>45005</c:v>
                </c:pt>
                <c:pt idx="4827">
                  <c:v>45006</c:v>
                </c:pt>
                <c:pt idx="4828">
                  <c:v>45007</c:v>
                </c:pt>
                <c:pt idx="4829">
                  <c:v>45008</c:v>
                </c:pt>
                <c:pt idx="4830">
                  <c:v>45009</c:v>
                </c:pt>
                <c:pt idx="4831">
                  <c:v>45010</c:v>
                </c:pt>
                <c:pt idx="4832">
                  <c:v>45011</c:v>
                </c:pt>
                <c:pt idx="4833">
                  <c:v>45012</c:v>
                </c:pt>
                <c:pt idx="4834">
                  <c:v>45013</c:v>
                </c:pt>
                <c:pt idx="4835">
                  <c:v>45014</c:v>
                </c:pt>
                <c:pt idx="4836">
                  <c:v>45015</c:v>
                </c:pt>
                <c:pt idx="4837">
                  <c:v>45016</c:v>
                </c:pt>
                <c:pt idx="4838">
                  <c:v>45017</c:v>
                </c:pt>
                <c:pt idx="4839">
                  <c:v>45018</c:v>
                </c:pt>
                <c:pt idx="4840">
                  <c:v>45019</c:v>
                </c:pt>
                <c:pt idx="4841">
                  <c:v>45020</c:v>
                </c:pt>
                <c:pt idx="4842">
                  <c:v>45021</c:v>
                </c:pt>
                <c:pt idx="4843">
                  <c:v>45022</c:v>
                </c:pt>
                <c:pt idx="4844">
                  <c:v>45023</c:v>
                </c:pt>
                <c:pt idx="4845">
                  <c:v>45024</c:v>
                </c:pt>
                <c:pt idx="4846">
                  <c:v>45025</c:v>
                </c:pt>
                <c:pt idx="4847">
                  <c:v>45026</c:v>
                </c:pt>
                <c:pt idx="4848">
                  <c:v>45027</c:v>
                </c:pt>
                <c:pt idx="4849">
                  <c:v>45028</c:v>
                </c:pt>
                <c:pt idx="4850">
                  <c:v>45029</c:v>
                </c:pt>
                <c:pt idx="4851">
                  <c:v>45030</c:v>
                </c:pt>
                <c:pt idx="4852">
                  <c:v>45031</c:v>
                </c:pt>
                <c:pt idx="4853">
                  <c:v>45032</c:v>
                </c:pt>
                <c:pt idx="4854">
                  <c:v>45033</c:v>
                </c:pt>
                <c:pt idx="4855">
                  <c:v>45034</c:v>
                </c:pt>
                <c:pt idx="4856">
                  <c:v>45035</c:v>
                </c:pt>
                <c:pt idx="4857">
                  <c:v>45036</c:v>
                </c:pt>
                <c:pt idx="4858">
                  <c:v>45037</c:v>
                </c:pt>
                <c:pt idx="4859">
                  <c:v>45038</c:v>
                </c:pt>
                <c:pt idx="4860">
                  <c:v>45039</c:v>
                </c:pt>
                <c:pt idx="4861">
                  <c:v>45040</c:v>
                </c:pt>
                <c:pt idx="4862">
                  <c:v>45041</c:v>
                </c:pt>
                <c:pt idx="4863">
                  <c:v>45042</c:v>
                </c:pt>
                <c:pt idx="4864">
                  <c:v>45043</c:v>
                </c:pt>
                <c:pt idx="4865">
                  <c:v>45044</c:v>
                </c:pt>
                <c:pt idx="4866">
                  <c:v>45045</c:v>
                </c:pt>
                <c:pt idx="4867">
                  <c:v>45046</c:v>
                </c:pt>
                <c:pt idx="4868">
                  <c:v>45047</c:v>
                </c:pt>
                <c:pt idx="4869">
                  <c:v>45048</c:v>
                </c:pt>
                <c:pt idx="4870">
                  <c:v>45049</c:v>
                </c:pt>
                <c:pt idx="4871">
                  <c:v>45050</c:v>
                </c:pt>
                <c:pt idx="4872">
                  <c:v>45051</c:v>
                </c:pt>
                <c:pt idx="4873">
                  <c:v>45052</c:v>
                </c:pt>
                <c:pt idx="4874">
                  <c:v>45053</c:v>
                </c:pt>
                <c:pt idx="4875">
                  <c:v>45054</c:v>
                </c:pt>
                <c:pt idx="4876">
                  <c:v>45055</c:v>
                </c:pt>
                <c:pt idx="4877">
                  <c:v>45056</c:v>
                </c:pt>
                <c:pt idx="4878">
                  <c:v>45057</c:v>
                </c:pt>
                <c:pt idx="4879">
                  <c:v>45058</c:v>
                </c:pt>
                <c:pt idx="4880">
                  <c:v>45059</c:v>
                </c:pt>
                <c:pt idx="4881">
                  <c:v>45060</c:v>
                </c:pt>
                <c:pt idx="4882">
                  <c:v>45061</c:v>
                </c:pt>
                <c:pt idx="4883">
                  <c:v>45062</c:v>
                </c:pt>
                <c:pt idx="4884">
                  <c:v>45063</c:v>
                </c:pt>
                <c:pt idx="4885">
                  <c:v>45064</c:v>
                </c:pt>
                <c:pt idx="4886">
                  <c:v>45065</c:v>
                </c:pt>
                <c:pt idx="4887">
                  <c:v>45066</c:v>
                </c:pt>
                <c:pt idx="4888">
                  <c:v>45067</c:v>
                </c:pt>
                <c:pt idx="4889">
                  <c:v>45068</c:v>
                </c:pt>
                <c:pt idx="4890">
                  <c:v>45069</c:v>
                </c:pt>
                <c:pt idx="4891">
                  <c:v>45070</c:v>
                </c:pt>
                <c:pt idx="4892">
                  <c:v>45071</c:v>
                </c:pt>
                <c:pt idx="4893">
                  <c:v>45072</c:v>
                </c:pt>
                <c:pt idx="4894">
                  <c:v>45073</c:v>
                </c:pt>
                <c:pt idx="4895">
                  <c:v>45074</c:v>
                </c:pt>
                <c:pt idx="4896">
                  <c:v>45075</c:v>
                </c:pt>
                <c:pt idx="4897">
                  <c:v>45076</c:v>
                </c:pt>
                <c:pt idx="4898">
                  <c:v>45077</c:v>
                </c:pt>
                <c:pt idx="4899">
                  <c:v>45078</c:v>
                </c:pt>
                <c:pt idx="4900">
                  <c:v>45079</c:v>
                </c:pt>
                <c:pt idx="4901">
                  <c:v>45080</c:v>
                </c:pt>
                <c:pt idx="4902">
                  <c:v>45081</c:v>
                </c:pt>
                <c:pt idx="4903">
                  <c:v>45082</c:v>
                </c:pt>
                <c:pt idx="4904">
                  <c:v>45083</c:v>
                </c:pt>
                <c:pt idx="4905">
                  <c:v>45084</c:v>
                </c:pt>
                <c:pt idx="4906">
                  <c:v>45085</c:v>
                </c:pt>
                <c:pt idx="4907">
                  <c:v>45086</c:v>
                </c:pt>
                <c:pt idx="4908">
                  <c:v>45087</c:v>
                </c:pt>
                <c:pt idx="4909">
                  <c:v>45088</c:v>
                </c:pt>
                <c:pt idx="4910">
                  <c:v>45089</c:v>
                </c:pt>
                <c:pt idx="4911">
                  <c:v>45090</c:v>
                </c:pt>
                <c:pt idx="4912">
                  <c:v>45091</c:v>
                </c:pt>
                <c:pt idx="4913">
                  <c:v>45092</c:v>
                </c:pt>
                <c:pt idx="4914">
                  <c:v>45093</c:v>
                </c:pt>
                <c:pt idx="4915">
                  <c:v>45094</c:v>
                </c:pt>
                <c:pt idx="4916">
                  <c:v>45095</c:v>
                </c:pt>
                <c:pt idx="4917">
                  <c:v>45096</c:v>
                </c:pt>
                <c:pt idx="4918">
                  <c:v>45097</c:v>
                </c:pt>
                <c:pt idx="4919">
                  <c:v>45098</c:v>
                </c:pt>
                <c:pt idx="4920">
                  <c:v>45099</c:v>
                </c:pt>
                <c:pt idx="4921">
                  <c:v>45100</c:v>
                </c:pt>
                <c:pt idx="4922">
                  <c:v>45101</c:v>
                </c:pt>
                <c:pt idx="4923">
                  <c:v>45102</c:v>
                </c:pt>
                <c:pt idx="4924">
                  <c:v>45103</c:v>
                </c:pt>
                <c:pt idx="4925">
                  <c:v>45104</c:v>
                </c:pt>
                <c:pt idx="4926">
                  <c:v>45105</c:v>
                </c:pt>
                <c:pt idx="4927">
                  <c:v>45106</c:v>
                </c:pt>
                <c:pt idx="4928">
                  <c:v>45107</c:v>
                </c:pt>
                <c:pt idx="4929">
                  <c:v>45108</c:v>
                </c:pt>
                <c:pt idx="4930">
                  <c:v>45109</c:v>
                </c:pt>
                <c:pt idx="4931">
                  <c:v>45110</c:v>
                </c:pt>
                <c:pt idx="4932">
                  <c:v>45111</c:v>
                </c:pt>
                <c:pt idx="4933">
                  <c:v>45112</c:v>
                </c:pt>
                <c:pt idx="4934">
                  <c:v>45113</c:v>
                </c:pt>
                <c:pt idx="4935">
                  <c:v>45114</c:v>
                </c:pt>
                <c:pt idx="4936">
                  <c:v>45115</c:v>
                </c:pt>
                <c:pt idx="4937">
                  <c:v>45116</c:v>
                </c:pt>
                <c:pt idx="4938">
                  <c:v>45117</c:v>
                </c:pt>
                <c:pt idx="4939">
                  <c:v>45118</c:v>
                </c:pt>
                <c:pt idx="4940">
                  <c:v>45119</c:v>
                </c:pt>
                <c:pt idx="4941">
                  <c:v>45120</c:v>
                </c:pt>
                <c:pt idx="4942">
                  <c:v>45121</c:v>
                </c:pt>
                <c:pt idx="4943">
                  <c:v>45122</c:v>
                </c:pt>
                <c:pt idx="4944">
                  <c:v>45123</c:v>
                </c:pt>
                <c:pt idx="4945">
                  <c:v>45124</c:v>
                </c:pt>
                <c:pt idx="4946">
                  <c:v>45125</c:v>
                </c:pt>
                <c:pt idx="4947">
                  <c:v>45126</c:v>
                </c:pt>
                <c:pt idx="4948">
                  <c:v>45127</c:v>
                </c:pt>
                <c:pt idx="4949">
                  <c:v>45128</c:v>
                </c:pt>
                <c:pt idx="4950">
                  <c:v>45129</c:v>
                </c:pt>
                <c:pt idx="4951">
                  <c:v>45130</c:v>
                </c:pt>
                <c:pt idx="4952">
                  <c:v>45131</c:v>
                </c:pt>
                <c:pt idx="4953">
                  <c:v>45132</c:v>
                </c:pt>
                <c:pt idx="4954">
                  <c:v>45133</c:v>
                </c:pt>
                <c:pt idx="4955">
                  <c:v>45134</c:v>
                </c:pt>
                <c:pt idx="4956">
                  <c:v>45135</c:v>
                </c:pt>
                <c:pt idx="4957">
                  <c:v>45136</c:v>
                </c:pt>
                <c:pt idx="4958">
                  <c:v>45137</c:v>
                </c:pt>
                <c:pt idx="4959">
                  <c:v>45138</c:v>
                </c:pt>
                <c:pt idx="4960">
                  <c:v>45139</c:v>
                </c:pt>
                <c:pt idx="4961">
                  <c:v>45140</c:v>
                </c:pt>
                <c:pt idx="4962">
                  <c:v>45141</c:v>
                </c:pt>
                <c:pt idx="4963">
                  <c:v>45142</c:v>
                </c:pt>
                <c:pt idx="4964">
                  <c:v>45143</c:v>
                </c:pt>
                <c:pt idx="4965">
                  <c:v>45144</c:v>
                </c:pt>
                <c:pt idx="4966">
                  <c:v>45145</c:v>
                </c:pt>
                <c:pt idx="4967">
                  <c:v>45146</c:v>
                </c:pt>
                <c:pt idx="4968">
                  <c:v>45147</c:v>
                </c:pt>
                <c:pt idx="4969">
                  <c:v>45148</c:v>
                </c:pt>
                <c:pt idx="4970">
                  <c:v>45149</c:v>
                </c:pt>
                <c:pt idx="4971">
                  <c:v>45150</c:v>
                </c:pt>
                <c:pt idx="4972">
                  <c:v>45151</c:v>
                </c:pt>
                <c:pt idx="4973">
                  <c:v>45152</c:v>
                </c:pt>
                <c:pt idx="4974">
                  <c:v>45153</c:v>
                </c:pt>
                <c:pt idx="4975">
                  <c:v>45154</c:v>
                </c:pt>
                <c:pt idx="4976">
                  <c:v>45155</c:v>
                </c:pt>
                <c:pt idx="4977">
                  <c:v>45156</c:v>
                </c:pt>
                <c:pt idx="4978">
                  <c:v>45157</c:v>
                </c:pt>
                <c:pt idx="4979">
                  <c:v>45158</c:v>
                </c:pt>
                <c:pt idx="4980">
                  <c:v>45159</c:v>
                </c:pt>
                <c:pt idx="4981">
                  <c:v>45160</c:v>
                </c:pt>
                <c:pt idx="4982">
                  <c:v>45161</c:v>
                </c:pt>
                <c:pt idx="4983">
                  <c:v>45162</c:v>
                </c:pt>
                <c:pt idx="4984">
                  <c:v>45163</c:v>
                </c:pt>
                <c:pt idx="4985">
                  <c:v>45164</c:v>
                </c:pt>
                <c:pt idx="4986">
                  <c:v>45165</c:v>
                </c:pt>
                <c:pt idx="4987">
                  <c:v>45166</c:v>
                </c:pt>
                <c:pt idx="4988">
                  <c:v>45167</c:v>
                </c:pt>
                <c:pt idx="4989">
                  <c:v>45168</c:v>
                </c:pt>
                <c:pt idx="4990">
                  <c:v>45169</c:v>
                </c:pt>
                <c:pt idx="4991">
                  <c:v>45170</c:v>
                </c:pt>
                <c:pt idx="4992">
                  <c:v>45171</c:v>
                </c:pt>
                <c:pt idx="4993">
                  <c:v>45172</c:v>
                </c:pt>
                <c:pt idx="4994">
                  <c:v>45173</c:v>
                </c:pt>
                <c:pt idx="4995">
                  <c:v>45174</c:v>
                </c:pt>
                <c:pt idx="4996">
                  <c:v>45175</c:v>
                </c:pt>
                <c:pt idx="4997">
                  <c:v>45176</c:v>
                </c:pt>
                <c:pt idx="4998">
                  <c:v>45177</c:v>
                </c:pt>
                <c:pt idx="4999">
                  <c:v>45178</c:v>
                </c:pt>
                <c:pt idx="5000">
                  <c:v>45179</c:v>
                </c:pt>
                <c:pt idx="5001">
                  <c:v>45180</c:v>
                </c:pt>
                <c:pt idx="5002">
                  <c:v>45181</c:v>
                </c:pt>
                <c:pt idx="5003">
                  <c:v>45182</c:v>
                </c:pt>
                <c:pt idx="5004">
                  <c:v>45183</c:v>
                </c:pt>
                <c:pt idx="5005">
                  <c:v>45184</c:v>
                </c:pt>
                <c:pt idx="5006">
                  <c:v>45185</c:v>
                </c:pt>
                <c:pt idx="5007">
                  <c:v>45186</c:v>
                </c:pt>
                <c:pt idx="5008">
                  <c:v>45187</c:v>
                </c:pt>
                <c:pt idx="5009">
                  <c:v>45188</c:v>
                </c:pt>
                <c:pt idx="5010">
                  <c:v>45189</c:v>
                </c:pt>
                <c:pt idx="5011">
                  <c:v>45190</c:v>
                </c:pt>
                <c:pt idx="5012">
                  <c:v>45191</c:v>
                </c:pt>
                <c:pt idx="5013">
                  <c:v>45192</c:v>
                </c:pt>
                <c:pt idx="5014">
                  <c:v>45193</c:v>
                </c:pt>
                <c:pt idx="5015">
                  <c:v>45194</c:v>
                </c:pt>
                <c:pt idx="5016">
                  <c:v>45195</c:v>
                </c:pt>
                <c:pt idx="5017">
                  <c:v>45196</c:v>
                </c:pt>
                <c:pt idx="5018">
                  <c:v>45197</c:v>
                </c:pt>
                <c:pt idx="5019">
                  <c:v>45198</c:v>
                </c:pt>
                <c:pt idx="5020">
                  <c:v>45199</c:v>
                </c:pt>
                <c:pt idx="5021">
                  <c:v>45200</c:v>
                </c:pt>
                <c:pt idx="5022">
                  <c:v>45201</c:v>
                </c:pt>
                <c:pt idx="5023">
                  <c:v>45202</c:v>
                </c:pt>
                <c:pt idx="5024">
                  <c:v>45203</c:v>
                </c:pt>
                <c:pt idx="5025">
                  <c:v>45204</c:v>
                </c:pt>
                <c:pt idx="5026">
                  <c:v>45205</c:v>
                </c:pt>
                <c:pt idx="5027">
                  <c:v>45206</c:v>
                </c:pt>
                <c:pt idx="5028">
                  <c:v>45207</c:v>
                </c:pt>
                <c:pt idx="5029">
                  <c:v>45208</c:v>
                </c:pt>
                <c:pt idx="5030">
                  <c:v>45209</c:v>
                </c:pt>
                <c:pt idx="5031">
                  <c:v>45210</c:v>
                </c:pt>
                <c:pt idx="5032">
                  <c:v>45211</c:v>
                </c:pt>
                <c:pt idx="5033">
                  <c:v>45212</c:v>
                </c:pt>
                <c:pt idx="5034">
                  <c:v>45213</c:v>
                </c:pt>
                <c:pt idx="5035">
                  <c:v>45214</c:v>
                </c:pt>
                <c:pt idx="5036">
                  <c:v>45215</c:v>
                </c:pt>
                <c:pt idx="5037">
                  <c:v>45216</c:v>
                </c:pt>
                <c:pt idx="5038">
                  <c:v>45217</c:v>
                </c:pt>
                <c:pt idx="5039">
                  <c:v>45218</c:v>
                </c:pt>
                <c:pt idx="5040">
                  <c:v>45219</c:v>
                </c:pt>
                <c:pt idx="5041">
                  <c:v>45220</c:v>
                </c:pt>
                <c:pt idx="5042">
                  <c:v>45221</c:v>
                </c:pt>
                <c:pt idx="5043">
                  <c:v>45222</c:v>
                </c:pt>
                <c:pt idx="5044">
                  <c:v>45223</c:v>
                </c:pt>
                <c:pt idx="5045">
                  <c:v>45224</c:v>
                </c:pt>
                <c:pt idx="5046">
                  <c:v>45225</c:v>
                </c:pt>
                <c:pt idx="5047">
                  <c:v>45226</c:v>
                </c:pt>
                <c:pt idx="5048">
                  <c:v>45227</c:v>
                </c:pt>
                <c:pt idx="5049">
                  <c:v>45228</c:v>
                </c:pt>
                <c:pt idx="5050">
                  <c:v>45229</c:v>
                </c:pt>
                <c:pt idx="5051">
                  <c:v>45230</c:v>
                </c:pt>
                <c:pt idx="5052">
                  <c:v>45231</c:v>
                </c:pt>
                <c:pt idx="5053">
                  <c:v>45232</c:v>
                </c:pt>
                <c:pt idx="5054">
                  <c:v>45233</c:v>
                </c:pt>
                <c:pt idx="5055">
                  <c:v>45234</c:v>
                </c:pt>
                <c:pt idx="5056">
                  <c:v>45235</c:v>
                </c:pt>
                <c:pt idx="5057">
                  <c:v>45236</c:v>
                </c:pt>
                <c:pt idx="5058">
                  <c:v>45237</c:v>
                </c:pt>
                <c:pt idx="5059">
                  <c:v>45238</c:v>
                </c:pt>
                <c:pt idx="5060">
                  <c:v>45239</c:v>
                </c:pt>
                <c:pt idx="5061">
                  <c:v>45240</c:v>
                </c:pt>
                <c:pt idx="5062">
                  <c:v>45241</c:v>
                </c:pt>
                <c:pt idx="5063">
                  <c:v>45242</c:v>
                </c:pt>
                <c:pt idx="5064">
                  <c:v>45243</c:v>
                </c:pt>
                <c:pt idx="5065">
                  <c:v>45244</c:v>
                </c:pt>
                <c:pt idx="5066">
                  <c:v>45245</c:v>
                </c:pt>
                <c:pt idx="5067">
                  <c:v>45246</c:v>
                </c:pt>
                <c:pt idx="5068">
                  <c:v>45247</c:v>
                </c:pt>
                <c:pt idx="5069">
                  <c:v>45248</c:v>
                </c:pt>
                <c:pt idx="5070">
                  <c:v>45249</c:v>
                </c:pt>
                <c:pt idx="5071">
                  <c:v>45250</c:v>
                </c:pt>
                <c:pt idx="5072">
                  <c:v>45251</c:v>
                </c:pt>
                <c:pt idx="5073">
                  <c:v>45252</c:v>
                </c:pt>
                <c:pt idx="5074">
                  <c:v>45253</c:v>
                </c:pt>
                <c:pt idx="5075">
                  <c:v>45254</c:v>
                </c:pt>
                <c:pt idx="5076">
                  <c:v>45255</c:v>
                </c:pt>
                <c:pt idx="5077">
                  <c:v>45256</c:v>
                </c:pt>
                <c:pt idx="5078">
                  <c:v>45257</c:v>
                </c:pt>
                <c:pt idx="5079">
                  <c:v>45258</c:v>
                </c:pt>
                <c:pt idx="5080">
                  <c:v>45259</c:v>
                </c:pt>
                <c:pt idx="5081">
                  <c:v>45260</c:v>
                </c:pt>
                <c:pt idx="5082">
                  <c:v>45261</c:v>
                </c:pt>
                <c:pt idx="5083">
                  <c:v>45262</c:v>
                </c:pt>
                <c:pt idx="5084">
                  <c:v>45263</c:v>
                </c:pt>
                <c:pt idx="5085">
                  <c:v>45264</c:v>
                </c:pt>
                <c:pt idx="5086">
                  <c:v>45265</c:v>
                </c:pt>
                <c:pt idx="5087">
                  <c:v>45266</c:v>
                </c:pt>
                <c:pt idx="5088">
                  <c:v>45267</c:v>
                </c:pt>
                <c:pt idx="5089">
                  <c:v>45268</c:v>
                </c:pt>
                <c:pt idx="5090">
                  <c:v>45269</c:v>
                </c:pt>
                <c:pt idx="5091">
                  <c:v>45270</c:v>
                </c:pt>
                <c:pt idx="5092">
                  <c:v>45271</c:v>
                </c:pt>
                <c:pt idx="5093">
                  <c:v>45272</c:v>
                </c:pt>
                <c:pt idx="5094">
                  <c:v>45273</c:v>
                </c:pt>
                <c:pt idx="5095">
                  <c:v>45274</c:v>
                </c:pt>
                <c:pt idx="5096">
                  <c:v>45275</c:v>
                </c:pt>
                <c:pt idx="5097">
                  <c:v>45276</c:v>
                </c:pt>
                <c:pt idx="5098">
                  <c:v>45277</c:v>
                </c:pt>
                <c:pt idx="5099">
                  <c:v>45278</c:v>
                </c:pt>
                <c:pt idx="5100">
                  <c:v>45279</c:v>
                </c:pt>
                <c:pt idx="5101">
                  <c:v>45280</c:v>
                </c:pt>
                <c:pt idx="5102">
                  <c:v>45281</c:v>
                </c:pt>
                <c:pt idx="5103">
                  <c:v>45282</c:v>
                </c:pt>
                <c:pt idx="5104">
                  <c:v>45283</c:v>
                </c:pt>
                <c:pt idx="5105">
                  <c:v>45284</c:v>
                </c:pt>
                <c:pt idx="5106">
                  <c:v>45285</c:v>
                </c:pt>
                <c:pt idx="5107">
                  <c:v>45286</c:v>
                </c:pt>
                <c:pt idx="5108">
                  <c:v>45287</c:v>
                </c:pt>
                <c:pt idx="5109">
                  <c:v>45288</c:v>
                </c:pt>
                <c:pt idx="5110">
                  <c:v>45289</c:v>
                </c:pt>
                <c:pt idx="5111">
                  <c:v>45290</c:v>
                </c:pt>
                <c:pt idx="5112">
                  <c:v>45291</c:v>
                </c:pt>
                <c:pt idx="5113">
                  <c:v>45292</c:v>
                </c:pt>
                <c:pt idx="5114">
                  <c:v>45293</c:v>
                </c:pt>
                <c:pt idx="5115">
                  <c:v>45294</c:v>
                </c:pt>
                <c:pt idx="5116">
                  <c:v>45295</c:v>
                </c:pt>
                <c:pt idx="5117">
                  <c:v>45296</c:v>
                </c:pt>
                <c:pt idx="5118">
                  <c:v>45297</c:v>
                </c:pt>
                <c:pt idx="5119">
                  <c:v>45298</c:v>
                </c:pt>
                <c:pt idx="5120">
                  <c:v>45299</c:v>
                </c:pt>
                <c:pt idx="5121">
                  <c:v>45300</c:v>
                </c:pt>
                <c:pt idx="5122">
                  <c:v>45301</c:v>
                </c:pt>
                <c:pt idx="5123">
                  <c:v>45302</c:v>
                </c:pt>
              </c:numCache>
            </c:numRef>
          </c:cat>
          <c:val>
            <c:numRef>
              <c:f>Data!$C$462:$C$6305</c:f>
              <c:numCache>
                <c:formatCode>0.000</c:formatCode>
                <c:ptCount val="5844"/>
                <c:pt idx="0">
                  <c:v>85.765452251789924</c:v>
                </c:pt>
                <c:pt idx="1">
                  <c:v>85.7807913830583</c:v>
                </c:pt>
                <c:pt idx="2">
                  <c:v>85.796133257726737</c:v>
                </c:pt>
                <c:pt idx="3">
                  <c:v>85.811477876285906</c:v>
                </c:pt>
                <c:pt idx="4">
                  <c:v>85.82682523922648</c:v>
                </c:pt>
                <c:pt idx="5">
                  <c:v>85.842175347039429</c:v>
                </c:pt>
                <c:pt idx="6">
                  <c:v>85.857528200215611</c:v>
                </c:pt>
                <c:pt idx="7">
                  <c:v>85.872883799246026</c:v>
                </c:pt>
                <c:pt idx="8">
                  <c:v>85.888242144621771</c:v>
                </c:pt>
                <c:pt idx="9">
                  <c:v>85.90360323683403</c:v>
                </c:pt>
                <c:pt idx="10">
                  <c:v>85.918967076374059</c:v>
                </c:pt>
                <c:pt idx="11">
                  <c:v>85.934333663733241</c:v>
                </c:pt>
                <c:pt idx="12">
                  <c:v>85.949702999403016</c:v>
                </c:pt>
                <c:pt idx="13">
                  <c:v>85.965075083874851</c:v>
                </c:pt>
                <c:pt idx="14">
                  <c:v>85.980449917640485</c:v>
                </c:pt>
                <c:pt idx="15">
                  <c:v>85.995827501191584</c:v>
                </c:pt>
                <c:pt idx="16">
                  <c:v>86.011207835019945</c:v>
                </c:pt>
                <c:pt idx="17">
                  <c:v>86.026590919617448</c:v>
                </c:pt>
                <c:pt idx="18">
                  <c:v>86.041976755476071</c:v>
                </c:pt>
                <c:pt idx="19">
                  <c:v>86.057365343087866</c:v>
                </c:pt>
                <c:pt idx="20">
                  <c:v>86.072756682944998</c:v>
                </c:pt>
                <c:pt idx="21">
                  <c:v>86.088150775539688</c:v>
                </c:pt>
                <c:pt idx="22">
                  <c:v>86.1035476213642</c:v>
                </c:pt>
                <c:pt idx="23">
                  <c:v>86.118947220911096</c:v>
                </c:pt>
                <c:pt idx="24">
                  <c:v>86.134349574672811</c:v>
                </c:pt>
                <c:pt idx="25">
                  <c:v>86.149754683141921</c:v>
                </c:pt>
                <c:pt idx="26">
                  <c:v>86.165162546811118</c:v>
                </c:pt>
                <c:pt idx="27">
                  <c:v>86.180573166173147</c:v>
                </c:pt>
                <c:pt idx="28">
                  <c:v>86.195986541720899</c:v>
                </c:pt>
                <c:pt idx="29">
                  <c:v>86.211402673947291</c:v>
                </c:pt>
                <c:pt idx="30">
                  <c:v>86.226821563345354</c:v>
                </c:pt>
                <c:pt idx="31">
                  <c:v>86.242243210408233</c:v>
                </c:pt>
                <c:pt idx="32">
                  <c:v>86.257667615629089</c:v>
                </c:pt>
                <c:pt idx="33">
                  <c:v>86.273094779501264</c:v>
                </c:pt>
                <c:pt idx="34">
                  <c:v>86.288524702518117</c:v>
                </c:pt>
                <c:pt idx="35">
                  <c:v>86.303957385173135</c:v>
                </c:pt>
                <c:pt idx="36">
                  <c:v>86.319392827959788</c:v>
                </c:pt>
                <c:pt idx="37">
                  <c:v>86.334831031371891</c:v>
                </c:pt>
                <c:pt idx="38">
                  <c:v>86.3502719959031</c:v>
                </c:pt>
                <c:pt idx="39">
                  <c:v>86.365715722047227</c:v>
                </c:pt>
                <c:pt idx="40">
                  <c:v>86.3811622102982</c:v>
                </c:pt>
                <c:pt idx="41">
                  <c:v>86.39661146115003</c:v>
                </c:pt>
                <c:pt idx="42">
                  <c:v>86.412063475096787</c:v>
                </c:pt>
                <c:pt idx="43">
                  <c:v>86.427518252632666</c:v>
                </c:pt>
                <c:pt idx="44">
                  <c:v>86.442975794251907</c:v>
                </c:pt>
                <c:pt idx="45">
                  <c:v>86.458436100448836</c:v>
                </c:pt>
                <c:pt idx="46">
                  <c:v>86.473899171718003</c:v>
                </c:pt>
                <c:pt idx="47">
                  <c:v>86.489365008553904</c:v>
                </c:pt>
                <c:pt idx="48">
                  <c:v>86.504833611451133</c:v>
                </c:pt>
                <c:pt idx="49">
                  <c:v>86.520304980904399</c:v>
                </c:pt>
                <c:pt idx="50">
                  <c:v>86.535779117408509</c:v>
                </c:pt>
                <c:pt idx="51">
                  <c:v>86.551256021458357</c:v>
                </c:pt>
                <c:pt idx="52">
                  <c:v>86.566735693548907</c:v>
                </c:pt>
                <c:pt idx="53">
                  <c:v>86.582218134175207</c:v>
                </c:pt>
                <c:pt idx="54">
                  <c:v>86.597703343832364</c:v>
                </c:pt>
                <c:pt idx="55">
                  <c:v>86.613191323015769</c:v>
                </c:pt>
                <c:pt idx="56">
                  <c:v>86.628682072220641</c:v>
                </c:pt>
                <c:pt idx="57">
                  <c:v>86.644175591942442</c:v>
                </c:pt>
                <c:pt idx="58">
                  <c:v>86.659671882676648</c:v>
                </c:pt>
                <c:pt idx="59">
                  <c:v>86.675170944918861</c:v>
                </c:pt>
                <c:pt idx="60">
                  <c:v>86.690672779164771</c:v>
                </c:pt>
                <c:pt idx="61">
                  <c:v>86.706177385910124</c:v>
                </c:pt>
                <c:pt idx="62">
                  <c:v>86.721684765650821</c:v>
                </c:pt>
                <c:pt idx="63">
                  <c:v>86.737194918882722</c:v>
                </c:pt>
                <c:pt idx="64">
                  <c:v>86.752707846101998</c:v>
                </c:pt>
                <c:pt idx="65">
                  <c:v>86.768223547804709</c:v>
                </c:pt>
                <c:pt idx="66">
                  <c:v>86.783742024487097</c:v>
                </c:pt>
                <c:pt idx="67">
                  <c:v>86.799263276645419</c:v>
                </c:pt>
                <c:pt idx="68">
                  <c:v>86.814787304776104</c:v>
                </c:pt>
                <c:pt idx="69">
                  <c:v>86.830314109375635</c:v>
                </c:pt>
                <c:pt idx="70">
                  <c:v>86.845843690940569</c:v>
                </c:pt>
                <c:pt idx="71">
                  <c:v>86.861376049967561</c:v>
                </c:pt>
                <c:pt idx="72">
                  <c:v>86.876911186953294</c:v>
                </c:pt>
                <c:pt idx="73">
                  <c:v>86.89244910239475</c:v>
                </c:pt>
                <c:pt idx="74">
                  <c:v>86.907989796788783</c:v>
                </c:pt>
                <c:pt idx="75">
                  <c:v>86.923533270632419</c:v>
                </c:pt>
                <c:pt idx="76">
                  <c:v>86.939079524422752</c:v>
                </c:pt>
                <c:pt idx="77">
                  <c:v>86.954628558656964</c:v>
                </c:pt>
                <c:pt idx="78">
                  <c:v>86.970180373832349</c:v>
                </c:pt>
                <c:pt idx="79">
                  <c:v>86.985734970446273</c:v>
                </c:pt>
                <c:pt idx="80">
                  <c:v>87.001292348996216</c:v>
                </c:pt>
                <c:pt idx="81">
                  <c:v>87.016852509979614</c:v>
                </c:pt>
                <c:pt idx="82">
                  <c:v>87.032415453894274</c:v>
                </c:pt>
                <c:pt idx="83">
                  <c:v>87.047981181237873</c:v>
                </c:pt>
                <c:pt idx="84">
                  <c:v>87.063549692508175</c:v>
                </c:pt>
                <c:pt idx="85">
                  <c:v>87.079120988203115</c:v>
                </c:pt>
                <c:pt idx="86">
                  <c:v>87.094695068820698</c:v>
                </c:pt>
                <c:pt idx="87">
                  <c:v>87.110271934858986</c:v>
                </c:pt>
                <c:pt idx="88">
                  <c:v>87.125851586816154</c:v>
                </c:pt>
                <c:pt idx="89">
                  <c:v>87.141434025190449</c:v>
                </c:pt>
                <c:pt idx="90">
                  <c:v>87.157019250480175</c:v>
                </c:pt>
                <c:pt idx="91">
                  <c:v>87.17260726318392</c:v>
                </c:pt>
                <c:pt idx="92">
                  <c:v>87.188198063800129</c:v>
                </c:pt>
                <c:pt idx="93">
                  <c:v>87.203791652827405</c:v>
                </c:pt>
                <c:pt idx="94">
                  <c:v>87.219388030764463</c:v>
                </c:pt>
                <c:pt idx="95">
                  <c:v>87.234987198110105</c:v>
                </c:pt>
                <c:pt idx="96">
                  <c:v>87.250589155363215</c:v>
                </c:pt>
                <c:pt idx="97">
                  <c:v>87.266193903022767</c:v>
                </c:pt>
                <c:pt idx="98">
                  <c:v>87.281801441587831</c:v>
                </c:pt>
                <c:pt idx="99">
                  <c:v>87.297411771557464</c:v>
                </c:pt>
                <c:pt idx="100">
                  <c:v>87.313024893431063</c:v>
                </c:pt>
                <c:pt idx="101">
                  <c:v>87.328640807707913</c:v>
                </c:pt>
                <c:pt idx="102">
                  <c:v>87.344259514887398</c:v>
                </c:pt>
                <c:pt idx="103">
                  <c:v>87.359881015469057</c:v>
                </c:pt>
                <c:pt idx="104">
                  <c:v>87.375505309952473</c:v>
                </c:pt>
                <c:pt idx="105">
                  <c:v>87.391132398837343</c:v>
                </c:pt>
                <c:pt idx="106">
                  <c:v>87.406762282623433</c:v>
                </c:pt>
                <c:pt idx="107">
                  <c:v>87.42239496181061</c:v>
                </c:pt>
                <c:pt idx="108">
                  <c:v>87.438030436898856</c:v>
                </c:pt>
                <c:pt idx="109">
                  <c:v>87.453668708388193</c:v>
                </c:pt>
                <c:pt idx="110">
                  <c:v>87.469309776778744</c:v>
                </c:pt>
                <c:pt idx="111">
                  <c:v>87.484953642570787</c:v>
                </c:pt>
                <c:pt idx="112">
                  <c:v>87.500600306264587</c:v>
                </c:pt>
                <c:pt idx="113">
                  <c:v>87.516249768360481</c:v>
                </c:pt>
                <c:pt idx="114">
                  <c:v>87.531902029359131</c:v>
                </c:pt>
                <c:pt idx="115">
                  <c:v>87.547557089761028</c:v>
                </c:pt>
                <c:pt idx="116">
                  <c:v>87.56321495006685</c:v>
                </c:pt>
                <c:pt idx="117">
                  <c:v>87.578875610777374</c:v>
                </c:pt>
                <c:pt idx="118">
                  <c:v>87.594539072393431</c:v>
                </c:pt>
                <c:pt idx="119">
                  <c:v>87.610205335415969</c:v>
                </c:pt>
                <c:pt idx="120">
                  <c:v>87.625874400346021</c:v>
                </c:pt>
                <c:pt idx="121">
                  <c:v>87.641546267684703</c:v>
                </c:pt>
                <c:pt idx="122">
                  <c:v>87.657220937933147</c:v>
                </c:pt>
                <c:pt idx="123">
                  <c:v>87.672898411592826</c:v>
                </c:pt>
                <c:pt idx="124">
                  <c:v>87.688578689165027</c:v>
                </c:pt>
                <c:pt idx="125">
                  <c:v>87.704261771151252</c:v>
                </c:pt>
                <c:pt idx="126">
                  <c:v>87.719947658053044</c:v>
                </c:pt>
                <c:pt idx="127">
                  <c:v>87.735636350372076</c:v>
                </c:pt>
                <c:pt idx="128">
                  <c:v>87.751327848610103</c:v>
                </c:pt>
                <c:pt idx="129">
                  <c:v>87.76702215326894</c:v>
                </c:pt>
                <c:pt idx="130">
                  <c:v>87.782719264850542</c:v>
                </c:pt>
                <c:pt idx="131">
                  <c:v>87.798419183856836</c:v>
                </c:pt>
                <c:pt idx="132">
                  <c:v>87.814121910790078</c:v>
                </c:pt>
                <c:pt idx="133">
                  <c:v>87.829827446152407</c:v>
                </c:pt>
                <c:pt idx="134">
                  <c:v>87.845535790446078</c:v>
                </c:pt>
                <c:pt idx="135">
                  <c:v>87.861246944173502</c:v>
                </c:pt>
                <c:pt idx="136">
                  <c:v>87.87696090783713</c:v>
                </c:pt>
                <c:pt idx="137">
                  <c:v>87.892677681939517</c:v>
                </c:pt>
                <c:pt idx="138">
                  <c:v>87.908397266983314</c:v>
                </c:pt>
                <c:pt idx="139">
                  <c:v>87.924119663471245</c:v>
                </c:pt>
                <c:pt idx="140">
                  <c:v>87.939844871906089</c:v>
                </c:pt>
                <c:pt idx="141">
                  <c:v>87.955572892790883</c:v>
                </c:pt>
                <c:pt idx="142">
                  <c:v>87.971303726628562</c:v>
                </c:pt>
                <c:pt idx="143">
                  <c:v>87.987037373922234</c:v>
                </c:pt>
                <c:pt idx="144">
                  <c:v>88.002773835175091</c:v>
                </c:pt>
                <c:pt idx="145">
                  <c:v>88.018513110890382</c:v>
                </c:pt>
                <c:pt idx="146">
                  <c:v>88.034255201571497</c:v>
                </c:pt>
                <c:pt idx="147">
                  <c:v>88.050000107721885</c:v>
                </c:pt>
                <c:pt idx="148">
                  <c:v>88.065747829845094</c:v>
                </c:pt>
                <c:pt idx="149">
                  <c:v>88.081498368444741</c:v>
                </c:pt>
                <c:pt idx="150">
                  <c:v>88.097251724024503</c:v>
                </c:pt>
                <c:pt idx="151">
                  <c:v>88.113007897088337</c:v>
                </c:pt>
                <c:pt idx="152">
                  <c:v>88.128766888140078</c:v>
                </c:pt>
                <c:pt idx="153">
                  <c:v>88.144528697683711</c:v>
                </c:pt>
                <c:pt idx="154">
                  <c:v>88.160293326223325</c:v>
                </c:pt>
                <c:pt idx="155">
                  <c:v>88.176060774263107</c:v>
                </c:pt>
                <c:pt idx="156">
                  <c:v>88.191831042307328</c:v>
                </c:pt>
                <c:pt idx="157">
                  <c:v>88.207604130860332</c:v>
                </c:pt>
                <c:pt idx="158">
                  <c:v>88.223380040426562</c:v>
                </c:pt>
                <c:pt idx="159">
                  <c:v>88.239158771510489</c:v>
                </c:pt>
                <c:pt idx="160">
                  <c:v>88.254940324616896</c:v>
                </c:pt>
                <c:pt idx="161">
                  <c:v>88.270724700250412</c:v>
                </c:pt>
                <c:pt idx="162">
                  <c:v>88.286511898915862</c:v>
                </c:pt>
                <c:pt idx="163">
                  <c:v>88.302301921118129</c:v>
                </c:pt>
                <c:pt idx="164">
                  <c:v>88.318094767362226</c:v>
                </c:pt>
                <c:pt idx="165">
                  <c:v>88.333890438153205</c:v>
                </c:pt>
                <c:pt idx="166">
                  <c:v>88.349688933996234</c:v>
                </c:pt>
                <c:pt idx="167">
                  <c:v>88.365490255396608</c:v>
                </c:pt>
                <c:pt idx="168">
                  <c:v>88.381294402859552</c:v>
                </c:pt>
                <c:pt idx="169">
                  <c:v>88.397101376890703</c:v>
                </c:pt>
                <c:pt idx="170">
                  <c:v>88.412911177995497</c:v>
                </c:pt>
                <c:pt idx="171">
                  <c:v>88.428723806679557</c:v>
                </c:pt>
                <c:pt idx="172">
                  <c:v>88.44453926344859</c:v>
                </c:pt>
                <c:pt idx="173">
                  <c:v>88.460357548808403</c:v>
                </c:pt>
                <c:pt idx="174">
                  <c:v>88.476178663264889</c:v>
                </c:pt>
                <c:pt idx="175">
                  <c:v>88.492002607324025</c:v>
                </c:pt>
                <c:pt idx="176">
                  <c:v>88.507829381491902</c:v>
                </c:pt>
                <c:pt idx="177">
                  <c:v>88.523658986274597</c:v>
                </c:pt>
                <c:pt idx="178">
                  <c:v>88.5394914221785</c:v>
                </c:pt>
                <c:pt idx="179">
                  <c:v>88.555326689709915</c:v>
                </c:pt>
                <c:pt idx="180">
                  <c:v>88.571164789375246</c:v>
                </c:pt>
                <c:pt idx="181">
                  <c:v>88.587005721681038</c:v>
                </c:pt>
                <c:pt idx="182">
                  <c:v>88.602849487133909</c:v>
                </c:pt>
                <c:pt idx="183">
                  <c:v>88.618696086240561</c:v>
                </c:pt>
                <c:pt idx="184">
                  <c:v>88.634545519507782</c:v>
                </c:pt>
                <c:pt idx="185">
                  <c:v>88.650397787442472</c:v>
                </c:pt>
                <c:pt idx="186">
                  <c:v>88.666252890551547</c:v>
                </c:pt>
                <c:pt idx="187">
                  <c:v>88.682110829342207</c:v>
                </c:pt>
                <c:pt idx="188">
                  <c:v>88.697971604321552</c:v>
                </c:pt>
                <c:pt idx="189">
                  <c:v>88.713835215996895</c:v>
                </c:pt>
                <c:pt idx="190">
                  <c:v>88.729701664875449</c:v>
                </c:pt>
                <c:pt idx="191">
                  <c:v>88.745570951464614</c:v>
                </c:pt>
                <c:pt idx="192">
                  <c:v>88.761443076272101</c:v>
                </c:pt>
                <c:pt idx="193">
                  <c:v>88.777318039805436</c:v>
                </c:pt>
                <c:pt idx="194">
                  <c:v>88.793195842572317</c:v>
                </c:pt>
                <c:pt idx="195">
                  <c:v>88.809076485080539</c:v>
                </c:pt>
                <c:pt idx="196">
                  <c:v>88.824959967837998</c:v>
                </c:pt>
                <c:pt idx="197">
                  <c:v>88.840846291352676</c:v>
                </c:pt>
                <c:pt idx="198">
                  <c:v>88.856735456132625</c:v>
                </c:pt>
                <c:pt idx="199">
                  <c:v>88.872627462686012</c:v>
                </c:pt>
                <c:pt idx="200">
                  <c:v>88.888522311521015</c:v>
                </c:pt>
                <c:pt idx="201">
                  <c:v>88.904420003146143</c:v>
                </c:pt>
                <c:pt idx="202">
                  <c:v>88.920320538069717</c:v>
                </c:pt>
                <c:pt idx="203">
                  <c:v>88.936223916800301</c:v>
                </c:pt>
                <c:pt idx="204">
                  <c:v>88.95213013984646</c:v>
                </c:pt>
                <c:pt idx="205">
                  <c:v>88.968039207716942</c:v>
                </c:pt>
                <c:pt idx="206">
                  <c:v>88.983951120920523</c:v>
                </c:pt>
                <c:pt idx="207">
                  <c:v>88.999865879966094</c:v>
                </c:pt>
                <c:pt idx="208">
                  <c:v>89.015783485362633</c:v>
                </c:pt>
                <c:pt idx="209">
                  <c:v>89.031703937619127</c:v>
                </c:pt>
                <c:pt idx="210">
                  <c:v>89.04762723724491</c:v>
                </c:pt>
                <c:pt idx="211">
                  <c:v>89.063553384749142</c:v>
                </c:pt>
                <c:pt idx="212">
                  <c:v>89.079482380641153</c:v>
                </c:pt>
                <c:pt idx="213">
                  <c:v>89.095414225430403</c:v>
                </c:pt>
                <c:pt idx="214">
                  <c:v>89.111348919626394</c:v>
                </c:pt>
                <c:pt idx="215">
                  <c:v>89.127286463738756</c:v>
                </c:pt>
                <c:pt idx="216">
                  <c:v>89.143226858277188</c:v>
                </c:pt>
                <c:pt idx="217">
                  <c:v>89.159170103751478</c:v>
                </c:pt>
                <c:pt idx="218">
                  <c:v>89.175116200671468</c:v>
                </c:pt>
                <c:pt idx="219">
                  <c:v>89.191065149547271</c:v>
                </c:pt>
                <c:pt idx="220">
                  <c:v>89.207016950888885</c:v>
                </c:pt>
                <c:pt idx="221">
                  <c:v>89.222971605206482</c:v>
                </c:pt>
                <c:pt idx="222">
                  <c:v>89.2389291130103</c:v>
                </c:pt>
                <c:pt idx="223">
                  <c:v>89.254889474810696</c:v>
                </c:pt>
                <c:pt idx="224">
                  <c:v>89.270852691118094</c:v>
                </c:pt>
                <c:pt idx="225">
                  <c:v>89.286818762443048</c:v>
                </c:pt>
                <c:pt idx="226">
                  <c:v>89.302787689296139</c:v>
                </c:pt>
                <c:pt idx="227">
                  <c:v>89.318759472188034</c:v>
                </c:pt>
                <c:pt idx="228">
                  <c:v>89.334734111629672</c:v>
                </c:pt>
                <c:pt idx="229">
                  <c:v>89.350711608131874</c:v>
                </c:pt>
                <c:pt idx="230">
                  <c:v>89.366691962205635</c:v>
                </c:pt>
                <c:pt idx="231">
                  <c:v>89.382675174362006</c:v>
                </c:pt>
                <c:pt idx="232">
                  <c:v>89.39866124511218</c:v>
                </c:pt>
                <c:pt idx="233">
                  <c:v>89.414650174967406</c:v>
                </c:pt>
                <c:pt idx="234">
                  <c:v>89.430641964439019</c:v>
                </c:pt>
                <c:pt idx="235">
                  <c:v>89.446636614038482</c:v>
                </c:pt>
                <c:pt idx="236">
                  <c:v>89.462634124277244</c:v>
                </c:pt>
                <c:pt idx="237">
                  <c:v>89.47863449566708</c:v>
                </c:pt>
                <c:pt idx="238">
                  <c:v>89.494637728719638</c:v>
                </c:pt>
                <c:pt idx="239">
                  <c:v>89.510643823946722</c:v>
                </c:pt>
                <c:pt idx="240">
                  <c:v>89.526652781860221</c:v>
                </c:pt>
                <c:pt idx="241">
                  <c:v>89.542664602972138</c:v>
                </c:pt>
                <c:pt idx="242">
                  <c:v>89.558679287794547</c:v>
                </c:pt>
                <c:pt idx="243">
                  <c:v>89.574696836839649</c:v>
                </c:pt>
                <c:pt idx="244">
                  <c:v>89.590717250619662</c:v>
                </c:pt>
                <c:pt idx="245">
                  <c:v>89.606740529646899</c:v>
                </c:pt>
                <c:pt idx="246">
                  <c:v>89.622766674433961</c:v>
                </c:pt>
                <c:pt idx="247">
                  <c:v>89.638795685493292</c:v>
                </c:pt>
                <c:pt idx="248">
                  <c:v>89.654827563337548</c:v>
                </c:pt>
                <c:pt idx="249">
                  <c:v>89.670862308479457</c:v>
                </c:pt>
                <c:pt idx="250">
                  <c:v>89.686899921431788</c:v>
                </c:pt>
                <c:pt idx="251">
                  <c:v>89.702940402707512</c:v>
                </c:pt>
                <c:pt idx="252">
                  <c:v>89.718983752819582</c:v>
                </c:pt>
                <c:pt idx="253">
                  <c:v>89.735029972281112</c:v>
                </c:pt>
                <c:pt idx="254">
                  <c:v>89.751079061605182</c:v>
                </c:pt>
                <c:pt idx="255">
                  <c:v>89.767131021305246</c:v>
                </c:pt>
                <c:pt idx="256">
                  <c:v>89.783185851894586</c:v>
                </c:pt>
                <c:pt idx="257">
                  <c:v>89.799243553886654</c:v>
                </c:pt>
                <c:pt idx="258">
                  <c:v>89.815304127795002</c:v>
                </c:pt>
                <c:pt idx="259">
                  <c:v>89.831367574133296</c:v>
                </c:pt>
                <c:pt idx="260">
                  <c:v>89.847433893415214</c:v>
                </c:pt>
                <c:pt idx="261">
                  <c:v>89.863503086154637</c:v>
                </c:pt>
                <c:pt idx="262">
                  <c:v>89.879575152865456</c:v>
                </c:pt>
                <c:pt idx="263">
                  <c:v>89.89565009406158</c:v>
                </c:pt>
                <c:pt idx="264">
                  <c:v>89.911727910257312</c:v>
                </c:pt>
                <c:pt idx="265">
                  <c:v>89.92780860196676</c:v>
                </c:pt>
                <c:pt idx="266">
                  <c:v>89.943892169704185</c:v>
                </c:pt>
                <c:pt idx="267">
                  <c:v>89.959978613983964</c:v>
                </c:pt>
                <c:pt idx="268">
                  <c:v>89.976067935320572</c:v>
                </c:pt>
                <c:pt idx="269">
                  <c:v>89.992160134228598</c:v>
                </c:pt>
                <c:pt idx="270">
                  <c:v>90.008255211222632</c:v>
                </c:pt>
                <c:pt idx="271">
                  <c:v>90.024353166817491</c:v>
                </c:pt>
                <c:pt idx="272">
                  <c:v>90.040454001527962</c:v>
                </c:pt>
                <c:pt idx="273">
                  <c:v>90.056557715869019</c:v>
                </c:pt>
                <c:pt idx="274">
                  <c:v>90.072664310355634</c:v>
                </c:pt>
                <c:pt idx="275">
                  <c:v>90.088773785502951</c:v>
                </c:pt>
                <c:pt idx="276">
                  <c:v>90.104886141826157</c:v>
                </c:pt>
                <c:pt idx="277">
                  <c:v>90.121001379840479</c:v>
                </c:pt>
                <c:pt idx="278">
                  <c:v>90.137119500061459</c:v>
                </c:pt>
                <c:pt idx="279">
                  <c:v>90.153240503004525</c:v>
                </c:pt>
                <c:pt idx="280">
                  <c:v>90.169364389185233</c:v>
                </c:pt>
                <c:pt idx="281">
                  <c:v>90.185491159119238</c:v>
                </c:pt>
                <c:pt idx="282">
                  <c:v>90.201620813322307</c:v>
                </c:pt>
                <c:pt idx="283">
                  <c:v>90.217753352310311</c:v>
                </c:pt>
                <c:pt idx="284">
                  <c:v>90.233888776599173</c:v>
                </c:pt>
                <c:pt idx="285">
                  <c:v>90.250027086704932</c:v>
                </c:pt>
                <c:pt idx="286">
                  <c:v>90.266168283143614</c:v>
                </c:pt>
                <c:pt idx="287">
                  <c:v>90.28231236643164</c:v>
                </c:pt>
                <c:pt idx="288">
                  <c:v>90.298459337085205</c:v>
                </c:pt>
                <c:pt idx="289">
                  <c:v>90.314609195620747</c:v>
                </c:pt>
                <c:pt idx="290">
                  <c:v>90.330761942554744</c:v>
                </c:pt>
                <c:pt idx="291">
                  <c:v>90.346917578403804</c:v>
                </c:pt>
                <c:pt idx="292">
                  <c:v>90.363076103684563</c:v>
                </c:pt>
                <c:pt idx="293">
                  <c:v>90.37923751891384</c:v>
                </c:pt>
                <c:pt idx="294">
                  <c:v>90.395401824608498</c:v>
                </c:pt>
                <c:pt idx="295">
                  <c:v>90.411569021285388</c:v>
                </c:pt>
                <c:pt idx="296">
                  <c:v>90.427739109461726</c:v>
                </c:pt>
                <c:pt idx="297">
                  <c:v>90.443912089654631</c:v>
                </c:pt>
                <c:pt idx="298">
                  <c:v>90.460087962381266</c:v>
                </c:pt>
                <c:pt idx="299">
                  <c:v>90.47626672815899</c:v>
                </c:pt>
                <c:pt idx="300">
                  <c:v>90.492448387505235</c:v>
                </c:pt>
                <c:pt idx="301">
                  <c:v>90.508632940937503</c:v>
                </c:pt>
                <c:pt idx="302">
                  <c:v>90.52482038897341</c:v>
                </c:pt>
                <c:pt idx="303">
                  <c:v>90.541010732130644</c:v>
                </c:pt>
                <c:pt idx="304">
                  <c:v>90.557203970926906</c:v>
                </c:pt>
                <c:pt idx="305">
                  <c:v>90.573400105880282</c:v>
                </c:pt>
                <c:pt idx="306">
                  <c:v>90.589599137508628</c:v>
                </c:pt>
                <c:pt idx="307">
                  <c:v>90.605801066330031</c:v>
                </c:pt>
                <c:pt idx="308">
                  <c:v>90.622005892862646</c:v>
                </c:pt>
                <c:pt idx="309">
                  <c:v>90.638213617624757</c:v>
                </c:pt>
                <c:pt idx="310">
                  <c:v>90.654424241134663</c:v>
                </c:pt>
                <c:pt idx="311">
                  <c:v>90.670637763910833</c:v>
                </c:pt>
                <c:pt idx="312">
                  <c:v>90.686854186471791</c:v>
                </c:pt>
                <c:pt idx="313">
                  <c:v>90.703073509336093</c:v>
                </c:pt>
                <c:pt idx="314">
                  <c:v>90.719295733022619</c:v>
                </c:pt>
                <c:pt idx="315">
                  <c:v>90.73552085805008</c:v>
                </c:pt>
                <c:pt idx="316">
                  <c:v>90.751748884937413</c:v>
                </c:pt>
                <c:pt idx="317">
                  <c:v>90.767979814203585</c:v>
                </c:pt>
                <c:pt idx="318">
                  <c:v>90.784213646367689</c:v>
                </c:pt>
                <c:pt idx="319">
                  <c:v>90.80045038194892</c:v>
                </c:pt>
                <c:pt idx="320">
                  <c:v>90.816690021466556</c:v>
                </c:pt>
                <c:pt idx="321">
                  <c:v>90.832932565439947</c:v>
                </c:pt>
                <c:pt idx="322">
                  <c:v>90.849178014388499</c:v>
                </c:pt>
                <c:pt idx="323">
                  <c:v>90.865426368831891</c:v>
                </c:pt>
                <c:pt idx="324">
                  <c:v>90.881677629289726</c:v>
                </c:pt>
                <c:pt idx="325">
                  <c:v>90.897931796281725</c:v>
                </c:pt>
                <c:pt idx="326">
                  <c:v>90.914188870327735</c:v>
                </c:pt>
                <c:pt idx="327">
                  <c:v>90.930448851947659</c:v>
                </c:pt>
                <c:pt idx="328">
                  <c:v>90.946711741661531</c:v>
                </c:pt>
                <c:pt idx="329">
                  <c:v>90.962977539989453</c:v>
                </c:pt>
                <c:pt idx="330">
                  <c:v>90.979246247451655</c:v>
                </c:pt>
                <c:pt idx="331">
                  <c:v>90.995517864568342</c:v>
                </c:pt>
                <c:pt idx="332">
                  <c:v>91.011792391860055</c:v>
                </c:pt>
                <c:pt idx="333">
                  <c:v>91.028069829847198</c:v>
                </c:pt>
                <c:pt idx="334">
                  <c:v>91.044350179050355</c:v>
                </c:pt>
                <c:pt idx="335">
                  <c:v>91.060633439990212</c:v>
                </c:pt>
                <c:pt idx="336">
                  <c:v>91.076919613187499</c:v>
                </c:pt>
                <c:pt idx="337">
                  <c:v>91.093208699163085</c:v>
                </c:pt>
                <c:pt idx="338">
                  <c:v>91.109500698437941</c:v>
                </c:pt>
                <c:pt idx="339">
                  <c:v>91.125795611533078</c:v>
                </c:pt>
                <c:pt idx="340">
                  <c:v>91.142093438969582</c:v>
                </c:pt>
                <c:pt idx="341">
                  <c:v>91.158394181268818</c:v>
                </c:pt>
                <c:pt idx="342">
                  <c:v>91.174697838952042</c:v>
                </c:pt>
                <c:pt idx="343">
                  <c:v>91.191004412540664</c:v>
                </c:pt>
                <c:pt idx="344">
                  <c:v>91.207313902556194</c:v>
                </c:pt>
                <c:pt idx="345">
                  <c:v>91.223626309520228</c:v>
                </c:pt>
                <c:pt idx="346">
                  <c:v>91.239941633954501</c:v>
                </c:pt>
                <c:pt idx="347">
                  <c:v>91.256259876380739</c:v>
                </c:pt>
                <c:pt idx="348">
                  <c:v>91.272581037320862</c:v>
                </c:pt>
                <c:pt idx="349">
                  <c:v>91.288905117296835</c:v>
                </c:pt>
                <c:pt idx="350">
                  <c:v>91.305232116830737</c:v>
                </c:pt>
                <c:pt idx="351">
                  <c:v>91.321562036444718</c:v>
                </c:pt>
                <c:pt idx="352">
                  <c:v>91.337894876661039</c:v>
                </c:pt>
                <c:pt idx="353">
                  <c:v>91.354230638002065</c:v>
                </c:pt>
                <c:pt idx="354">
                  <c:v>91.370569320990128</c:v>
                </c:pt>
                <c:pt idx="355">
                  <c:v>91.386910926147948</c:v>
                </c:pt>
                <c:pt idx="356">
                  <c:v>91.403255453998057</c:v>
                </c:pt>
                <c:pt idx="357">
                  <c:v>91.419602905063186</c:v>
                </c:pt>
                <c:pt idx="358">
                  <c:v>91.435953279866155</c:v>
                </c:pt>
                <c:pt idx="359">
                  <c:v>91.452306578929878</c:v>
                </c:pt>
                <c:pt idx="360">
                  <c:v>91.468662802777317</c:v>
                </c:pt>
                <c:pt idx="361">
                  <c:v>91.485021951931628</c:v>
                </c:pt>
                <c:pt idx="362">
                  <c:v>91.501384026915986</c:v>
                </c:pt>
                <c:pt idx="363">
                  <c:v>91.517749028253576</c:v>
                </c:pt>
                <c:pt idx="364">
                  <c:v>91.53411695646794</c:v>
                </c:pt>
                <c:pt idx="365">
                  <c:v>91.550487812082466</c:v>
                </c:pt>
                <c:pt idx="366">
                  <c:v>91.566861595620736</c:v>
                </c:pt>
                <c:pt idx="367">
                  <c:v>91.583238307606408</c:v>
                </c:pt>
                <c:pt idx="368">
                  <c:v>91.599617948563136</c:v>
                </c:pt>
                <c:pt idx="369">
                  <c:v>91.616000519014918</c:v>
                </c:pt>
                <c:pt idx="370">
                  <c:v>91.632386019485651</c:v>
                </c:pt>
                <c:pt idx="371">
                  <c:v>91.648774450499346</c:v>
                </c:pt>
                <c:pt idx="372">
                  <c:v>91.665165812580128</c:v>
                </c:pt>
                <c:pt idx="373">
                  <c:v>91.681560106252221</c:v>
                </c:pt>
                <c:pt idx="374">
                  <c:v>91.697957332039934</c:v>
                </c:pt>
                <c:pt idx="375">
                  <c:v>91.714357490467677</c:v>
                </c:pt>
                <c:pt idx="376">
                  <c:v>91.730760582059986</c:v>
                </c:pt>
                <c:pt idx="377">
                  <c:v>91.747166607341327</c:v>
                </c:pt>
                <c:pt idx="378">
                  <c:v>91.763575566836565</c:v>
                </c:pt>
                <c:pt idx="379">
                  <c:v>91.779987461070405</c:v>
                </c:pt>
                <c:pt idx="380">
                  <c:v>91.796402290567741</c:v>
                </c:pt>
                <c:pt idx="381">
                  <c:v>91.812820055853521</c:v>
                </c:pt>
                <c:pt idx="382">
                  <c:v>91.829240757452823</c:v>
                </c:pt>
                <c:pt idx="383">
                  <c:v>91.845664395890793</c:v>
                </c:pt>
                <c:pt idx="384">
                  <c:v>91.862090971692709</c:v>
                </c:pt>
                <c:pt idx="385">
                  <c:v>91.878520485383902</c:v>
                </c:pt>
                <c:pt idx="386">
                  <c:v>91.894952937489705</c:v>
                </c:pt>
                <c:pt idx="387">
                  <c:v>91.911388328535864</c:v>
                </c:pt>
                <c:pt idx="388">
                  <c:v>91.927826659047895</c:v>
                </c:pt>
                <c:pt idx="389">
                  <c:v>91.944267929551614</c:v>
                </c:pt>
                <c:pt idx="390">
                  <c:v>91.960712140572682</c:v>
                </c:pt>
                <c:pt idx="391">
                  <c:v>91.977159292637097</c:v>
                </c:pt>
                <c:pt idx="392">
                  <c:v>91.993609386270819</c:v>
                </c:pt>
                <c:pt idx="393">
                  <c:v>92.01006242199999</c:v>
                </c:pt>
                <c:pt idx="394">
                  <c:v>92.026518400350781</c:v>
                </c:pt>
                <c:pt idx="395">
                  <c:v>92.042977321849406</c:v>
                </c:pt>
                <c:pt idx="396">
                  <c:v>92.059439187022406</c:v>
                </c:pt>
                <c:pt idx="397">
                  <c:v>92.075903996396207</c:v>
                </c:pt>
                <c:pt idx="398">
                  <c:v>92.092371750497321</c:v>
                </c:pt>
                <c:pt idx="399">
                  <c:v>92.108842449852474</c:v>
                </c:pt>
                <c:pt idx="400">
                  <c:v>92.125316094988349</c:v>
                </c:pt>
                <c:pt idx="401">
                  <c:v>92.141792686431856</c:v>
                </c:pt>
                <c:pt idx="402">
                  <c:v>92.158272224709933</c:v>
                </c:pt>
                <c:pt idx="403">
                  <c:v>92.174754710349617</c:v>
                </c:pt>
                <c:pt idx="404">
                  <c:v>92.191240143877948</c:v>
                </c:pt>
                <c:pt idx="405">
                  <c:v>92.207728525822347</c:v>
                </c:pt>
                <c:pt idx="406">
                  <c:v>92.224219856710022</c:v>
                </c:pt>
                <c:pt idx="407">
                  <c:v>92.240714137068423</c:v>
                </c:pt>
                <c:pt idx="408">
                  <c:v>92.257211367425029</c:v>
                </c:pt>
                <c:pt idx="409">
                  <c:v>92.273711548307446</c:v>
                </c:pt>
                <c:pt idx="410">
                  <c:v>92.290214680243409</c:v>
                </c:pt>
                <c:pt idx="411">
                  <c:v>92.306720763760708</c:v>
                </c:pt>
                <c:pt idx="412">
                  <c:v>92.323229799387192</c:v>
                </c:pt>
                <c:pt idx="413">
                  <c:v>92.339741787650823</c:v>
                </c:pt>
                <c:pt idx="414">
                  <c:v>92.356256729079803</c:v>
                </c:pt>
                <c:pt idx="415">
                  <c:v>92.372774624202208</c:v>
                </c:pt>
                <c:pt idx="416">
                  <c:v>92.389295473546355</c:v>
                </c:pt>
                <c:pt idx="417">
                  <c:v>92.405819277640575</c:v>
                </c:pt>
                <c:pt idx="418">
                  <c:v>92.422346037013341</c:v>
                </c:pt>
                <c:pt idx="419">
                  <c:v>92.438875752193184</c:v>
                </c:pt>
                <c:pt idx="420">
                  <c:v>92.455408423708747</c:v>
                </c:pt>
                <c:pt idx="421">
                  <c:v>92.471944052088787</c:v>
                </c:pt>
                <c:pt idx="422">
                  <c:v>92.488482637862049</c:v>
                </c:pt>
                <c:pt idx="423">
                  <c:v>92.505024181557644</c:v>
                </c:pt>
                <c:pt idx="424">
                  <c:v>92.521568683704473</c:v>
                </c:pt>
                <c:pt idx="425">
                  <c:v>92.538116144831676</c:v>
                </c:pt>
                <c:pt idx="426">
                  <c:v>92.554666565468494</c:v>
                </c:pt>
                <c:pt idx="427">
                  <c:v>92.571219946144183</c:v>
                </c:pt>
                <c:pt idx="428">
                  <c:v>92.587776287388195</c:v>
                </c:pt>
                <c:pt idx="429">
                  <c:v>92.604335589729999</c:v>
                </c:pt>
                <c:pt idx="430">
                  <c:v>92.620897853699176</c:v>
                </c:pt>
                <c:pt idx="431">
                  <c:v>92.637463079825352</c:v>
                </c:pt>
                <c:pt idx="432">
                  <c:v>92.654031268638477</c:v>
                </c:pt>
                <c:pt idx="433">
                  <c:v>92.670602420668317</c:v>
                </c:pt>
                <c:pt idx="434">
                  <c:v>92.687176536444866</c:v>
                </c:pt>
                <c:pt idx="435">
                  <c:v>92.70375361649819</c:v>
                </c:pt>
                <c:pt idx="436">
                  <c:v>92.720333661358438</c:v>
                </c:pt>
                <c:pt idx="437">
                  <c:v>92.736916671555846</c:v>
                </c:pt>
                <c:pt idx="438">
                  <c:v>92.75350264762082</c:v>
                </c:pt>
                <c:pt idx="439">
                  <c:v>92.770091590083766</c:v>
                </c:pt>
                <c:pt idx="440">
                  <c:v>92.786683499475217</c:v>
                </c:pt>
                <c:pt idx="441">
                  <c:v>92.803278376325721</c:v>
                </c:pt>
                <c:pt idx="442">
                  <c:v>92.819876221166211</c:v>
                </c:pt>
                <c:pt idx="443">
                  <c:v>92.836477034527405</c:v>
                </c:pt>
                <c:pt idx="444">
                  <c:v>92.853080816940221</c:v>
                </c:pt>
                <c:pt idx="445">
                  <c:v>92.86968756893566</c:v>
                </c:pt>
                <c:pt idx="446">
                  <c:v>92.886297291044869</c:v>
                </c:pt>
                <c:pt idx="447">
                  <c:v>92.90290998379902</c:v>
                </c:pt>
                <c:pt idx="448">
                  <c:v>92.919525647729429</c:v>
                </c:pt>
                <c:pt idx="449">
                  <c:v>92.936144283367469</c:v>
                </c:pt>
                <c:pt idx="450">
                  <c:v>92.952765891244582</c:v>
                </c:pt>
                <c:pt idx="451">
                  <c:v>92.969390471892467</c:v>
                </c:pt>
                <c:pt idx="452">
                  <c:v>92.986018025842782</c:v>
                </c:pt>
                <c:pt idx="453">
                  <c:v>93.002648553627253</c:v>
                </c:pt>
                <c:pt idx="454">
                  <c:v>93.019282055777765</c:v>
                </c:pt>
                <c:pt idx="455">
                  <c:v>93.035918532826273</c:v>
                </c:pt>
                <c:pt idx="456">
                  <c:v>93.052557985304873</c:v>
                </c:pt>
                <c:pt idx="457">
                  <c:v>93.069200413745662</c:v>
                </c:pt>
                <c:pt idx="458">
                  <c:v>93.085845818680951</c:v>
                </c:pt>
                <c:pt idx="459">
                  <c:v>93.102494200642965</c:v>
                </c:pt>
                <c:pt idx="460">
                  <c:v>93.119145560164327</c:v>
                </c:pt>
                <c:pt idx="461">
                  <c:v>93.135799897777474</c:v>
                </c:pt>
                <c:pt idx="462">
                  <c:v>93.152457214015044</c:v>
                </c:pt>
                <c:pt idx="463">
                  <c:v>93.169117509409773</c:v>
                </c:pt>
                <c:pt idx="464">
                  <c:v>93.185780784494455</c:v>
                </c:pt>
                <c:pt idx="465">
                  <c:v>93.202447039802024</c:v>
                </c:pt>
                <c:pt idx="466">
                  <c:v>93.219116275865531</c:v>
                </c:pt>
                <c:pt idx="467">
                  <c:v>93.23578849321801</c:v>
                </c:pt>
                <c:pt idx="468">
                  <c:v>93.252463692392638</c:v>
                </c:pt>
                <c:pt idx="469">
                  <c:v>93.269141873922862</c:v>
                </c:pt>
                <c:pt idx="470">
                  <c:v>93.28582303834196</c:v>
                </c:pt>
                <c:pt idx="471">
                  <c:v>93.302507186183476</c:v>
                </c:pt>
                <c:pt idx="472">
                  <c:v>93.319194317980958</c:v>
                </c:pt>
                <c:pt idx="473">
                  <c:v>93.33588443426811</c:v>
                </c:pt>
                <c:pt idx="474">
                  <c:v>93.352577535578675</c:v>
                </c:pt>
                <c:pt idx="475">
                  <c:v>93.369273622446556</c:v>
                </c:pt>
                <c:pt idx="476">
                  <c:v>93.385972695405712</c:v>
                </c:pt>
                <c:pt idx="477">
                  <c:v>93.402674754990102</c:v>
                </c:pt>
                <c:pt idx="478">
                  <c:v>93.419379801734053</c:v>
                </c:pt>
                <c:pt idx="479">
                  <c:v>93.436087836171765</c:v>
                </c:pt>
                <c:pt idx="480">
                  <c:v>93.452798858837554</c:v>
                </c:pt>
                <c:pt idx="481">
                  <c:v>93.469512870265874</c:v>
                </c:pt>
                <c:pt idx="482">
                  <c:v>93.486229870991266</c:v>
                </c:pt>
                <c:pt idx="483">
                  <c:v>93.502949861548387</c:v>
                </c:pt>
                <c:pt idx="484">
                  <c:v>93.519672842471934</c:v>
                </c:pt>
                <c:pt idx="485">
                  <c:v>93.536398814296732</c:v>
                </c:pt>
                <c:pt idx="486">
                  <c:v>93.553127777557663</c:v>
                </c:pt>
                <c:pt idx="487">
                  <c:v>93.569859732789851</c:v>
                </c:pt>
                <c:pt idx="488">
                  <c:v>93.586594680528364</c:v>
                </c:pt>
                <c:pt idx="489">
                  <c:v>93.603332621308411</c:v>
                </c:pt>
                <c:pt idx="490">
                  <c:v>93.620073555665286</c:v>
                </c:pt>
                <c:pt idx="491">
                  <c:v>93.636817484134397</c:v>
                </c:pt>
                <c:pt idx="492">
                  <c:v>93.653564407251224</c:v>
                </c:pt>
                <c:pt idx="493">
                  <c:v>93.670314325551374</c:v>
                </c:pt>
                <c:pt idx="494">
                  <c:v>93.687067239570538</c:v>
                </c:pt>
                <c:pt idx="495">
                  <c:v>93.703823149844411</c:v>
                </c:pt>
                <c:pt idx="496">
                  <c:v>93.720582056909038</c:v>
                </c:pt>
                <c:pt idx="497">
                  <c:v>93.737343961300311</c:v>
                </c:pt>
                <c:pt idx="498">
                  <c:v>93.754108863554308</c:v>
                </c:pt>
                <c:pt idx="499">
                  <c:v>93.770876764207173</c:v>
                </c:pt>
                <c:pt idx="500">
                  <c:v>93.787647663795198</c:v>
                </c:pt>
                <c:pt idx="501">
                  <c:v>93.804421562854714</c:v>
                </c:pt>
                <c:pt idx="502">
                  <c:v>93.821198461922208</c:v>
                </c:pt>
                <c:pt idx="503">
                  <c:v>93.837978361534212</c:v>
                </c:pt>
                <c:pt idx="504">
                  <c:v>93.854761262227299</c:v>
                </c:pt>
                <c:pt idx="505">
                  <c:v>93.871547164538356</c:v>
                </c:pt>
                <c:pt idx="506">
                  <c:v>93.888336069004154</c:v>
                </c:pt>
                <c:pt idx="507">
                  <c:v>93.905127976161623</c:v>
                </c:pt>
                <c:pt idx="508">
                  <c:v>93.921922886547819</c:v>
                </c:pt>
                <c:pt idx="509">
                  <c:v>93.938720800699812</c:v>
                </c:pt>
                <c:pt idx="510">
                  <c:v>93.955521719154888</c:v>
                </c:pt>
                <c:pt idx="511">
                  <c:v>93.972325642450329</c:v>
                </c:pt>
                <c:pt idx="512">
                  <c:v>93.989132571123562</c:v>
                </c:pt>
                <c:pt idx="513">
                  <c:v>94.005942505712028</c:v>
                </c:pt>
                <c:pt idx="514">
                  <c:v>94.022755446753465</c:v>
                </c:pt>
                <c:pt idx="515">
                  <c:v>94.039571394785511</c:v>
                </c:pt>
                <c:pt idx="516">
                  <c:v>94.056390350345964</c:v>
                </c:pt>
                <c:pt idx="517">
                  <c:v>94.073212313972732</c:v>
                </c:pt>
                <c:pt idx="518">
                  <c:v>94.090037286203795</c:v>
                </c:pt>
                <c:pt idx="519">
                  <c:v>94.106865267577248</c:v>
                </c:pt>
                <c:pt idx="520">
                  <c:v>94.123696258631256</c:v>
                </c:pt>
                <c:pt idx="521">
                  <c:v>94.140530259904139</c:v>
                </c:pt>
                <c:pt idx="522">
                  <c:v>94.157367271934149</c:v>
                </c:pt>
                <c:pt idx="523">
                  <c:v>94.174207295259961</c:v>
                </c:pt>
                <c:pt idx="524">
                  <c:v>94.191050330420026</c:v>
                </c:pt>
                <c:pt idx="525">
                  <c:v>94.207896377953034</c:v>
                </c:pt>
                <c:pt idx="526">
                  <c:v>94.224745438397733</c:v>
                </c:pt>
                <c:pt idx="527">
                  <c:v>94.241597512293012</c:v>
                </c:pt>
                <c:pt idx="528">
                  <c:v>94.25845260017779</c:v>
                </c:pt>
                <c:pt idx="529">
                  <c:v>94.275310702591128</c:v>
                </c:pt>
                <c:pt idx="530">
                  <c:v>94.292171820072184</c:v>
                </c:pt>
                <c:pt idx="531">
                  <c:v>94.309035953160105</c:v>
                </c:pt>
                <c:pt idx="532">
                  <c:v>94.325903102394406</c:v>
                </c:pt>
                <c:pt idx="533">
                  <c:v>94.342773268314446</c:v>
                </c:pt>
                <c:pt idx="534">
                  <c:v>94.359646451459753</c:v>
                </c:pt>
                <c:pt idx="535">
                  <c:v>94.376522652369971</c:v>
                </c:pt>
                <c:pt idx="536">
                  <c:v>94.393401871584786</c:v>
                </c:pt>
                <c:pt idx="537">
                  <c:v>94.410284109644067</c:v>
                </c:pt>
                <c:pt idx="538">
                  <c:v>94.4271693670877</c:v>
                </c:pt>
                <c:pt idx="539">
                  <c:v>94.444057644455725</c:v>
                </c:pt>
                <c:pt idx="540">
                  <c:v>94.460948942288155</c:v>
                </c:pt>
                <c:pt idx="541">
                  <c:v>94.477843261125386</c:v>
                </c:pt>
                <c:pt idx="542">
                  <c:v>94.494740601507615</c:v>
                </c:pt>
                <c:pt idx="543">
                  <c:v>94.511640963975253</c:v>
                </c:pt>
                <c:pt idx="544">
                  <c:v>94.52854434906881</c:v>
                </c:pt>
                <c:pt idx="545">
                  <c:v>94.545450757328879</c:v>
                </c:pt>
                <c:pt idx="546">
                  <c:v>94.562360189296143</c:v>
                </c:pt>
                <c:pt idx="547">
                  <c:v>94.579272645511409</c:v>
                </c:pt>
                <c:pt idx="548">
                  <c:v>94.596188126515614</c:v>
                </c:pt>
                <c:pt idx="549">
                  <c:v>94.613106632849622</c:v>
                </c:pt>
                <c:pt idx="550">
                  <c:v>94.630028165054469</c:v>
                </c:pt>
                <c:pt idx="551">
                  <c:v>94.646952723671518</c:v>
                </c:pt>
                <c:pt idx="552">
                  <c:v>94.663880309241947</c:v>
                </c:pt>
                <c:pt idx="553">
                  <c:v>94.680810922307145</c:v>
                </c:pt>
                <c:pt idx="554">
                  <c:v>94.697744563408563</c:v>
                </c:pt>
                <c:pt idx="555">
                  <c:v>94.714681233087774</c:v>
                </c:pt>
                <c:pt idx="556">
                  <c:v>94.73162093188644</c:v>
                </c:pt>
                <c:pt idx="557">
                  <c:v>94.748563660346292</c:v>
                </c:pt>
                <c:pt idx="558">
                  <c:v>94.76550941900922</c:v>
                </c:pt>
                <c:pt idx="559">
                  <c:v>94.782458208417069</c:v>
                </c:pt>
                <c:pt idx="560">
                  <c:v>94.799410029112053</c:v>
                </c:pt>
                <c:pt idx="561">
                  <c:v>94.816364881636261</c:v>
                </c:pt>
                <c:pt idx="562">
                  <c:v>94.833322766531893</c:v>
                </c:pt>
                <c:pt idx="563">
                  <c:v>94.850283684341321</c:v>
                </c:pt>
                <c:pt idx="564">
                  <c:v>94.867247635606972</c:v>
                </c:pt>
                <c:pt idx="565">
                  <c:v>94.88421462087139</c:v>
                </c:pt>
                <c:pt idx="566">
                  <c:v>94.901184640677187</c:v>
                </c:pt>
                <c:pt idx="567">
                  <c:v>94.918157695567075</c:v>
                </c:pt>
                <c:pt idx="568">
                  <c:v>94.935133786083838</c:v>
                </c:pt>
                <c:pt idx="569">
                  <c:v>94.952112912770531</c:v>
                </c:pt>
                <c:pt idx="570">
                  <c:v>94.969095076170092</c:v>
                </c:pt>
                <c:pt idx="571">
                  <c:v>94.98608027682566</c:v>
                </c:pt>
                <c:pt idx="572">
                  <c:v>95.003068515280404</c:v>
                </c:pt>
                <c:pt idx="573">
                  <c:v>95.020059792077703</c:v>
                </c:pt>
                <c:pt idx="574">
                  <c:v>95.037054107760881</c:v>
                </c:pt>
                <c:pt idx="575">
                  <c:v>95.054051462873502</c:v>
                </c:pt>
                <c:pt idx="576">
                  <c:v>95.071051857959148</c:v>
                </c:pt>
                <c:pt idx="577">
                  <c:v>95.088055293561439</c:v>
                </c:pt>
                <c:pt idx="578">
                  <c:v>95.10506177022431</c:v>
                </c:pt>
                <c:pt idx="579">
                  <c:v>95.122071288491611</c:v>
                </c:pt>
                <c:pt idx="580">
                  <c:v>95.139083848907305</c:v>
                </c:pt>
                <c:pt idx="581">
                  <c:v>95.156099452015482</c:v>
                </c:pt>
                <c:pt idx="582">
                  <c:v>95.173118098360348</c:v>
                </c:pt>
                <c:pt idx="583">
                  <c:v>95.190139788486178</c:v>
                </c:pt>
                <c:pt idx="584">
                  <c:v>95.207164522937319</c:v>
                </c:pt>
                <c:pt idx="585">
                  <c:v>95.224192302258288</c:v>
                </c:pt>
                <c:pt idx="586">
                  <c:v>95.24122312699356</c:v>
                </c:pt>
                <c:pt idx="587">
                  <c:v>95.258256997687965</c:v>
                </c:pt>
                <c:pt idx="588">
                  <c:v>95.275293914886205</c:v>
                </c:pt>
                <c:pt idx="589">
                  <c:v>95.292333879133139</c:v>
                </c:pt>
                <c:pt idx="590">
                  <c:v>95.309376890973738</c:v>
                </c:pt>
                <c:pt idx="591">
                  <c:v>95.326422950953045</c:v>
                </c:pt>
                <c:pt idx="592">
                  <c:v>95.343472059616232</c:v>
                </c:pt>
                <c:pt idx="593">
                  <c:v>95.360524217508569</c:v>
                </c:pt>
                <c:pt idx="594">
                  <c:v>95.377579425175384</c:v>
                </c:pt>
                <c:pt idx="595">
                  <c:v>95.394637683162046</c:v>
                </c:pt>
                <c:pt idx="596">
                  <c:v>95.411698992014294</c:v>
                </c:pt>
                <c:pt idx="597">
                  <c:v>95.428763352277684</c:v>
                </c:pt>
                <c:pt idx="598">
                  <c:v>95.445830764497941</c:v>
                </c:pt>
                <c:pt idx="599">
                  <c:v>95.462901229220932</c:v>
                </c:pt>
                <c:pt idx="600">
                  <c:v>95.479974746992568</c:v>
                </c:pt>
                <c:pt idx="601">
                  <c:v>95.497051318358913</c:v>
                </c:pt>
                <c:pt idx="602">
                  <c:v>95.514130943866078</c:v>
                </c:pt>
                <c:pt idx="603">
                  <c:v>95.531213624060342</c:v>
                </c:pt>
                <c:pt idx="604">
                  <c:v>95.548299359487885</c:v>
                </c:pt>
                <c:pt idx="605">
                  <c:v>95.565388150695341</c:v>
                </c:pt>
                <c:pt idx="606">
                  <c:v>95.582479998229161</c:v>
                </c:pt>
                <c:pt idx="607">
                  <c:v>95.59957490263595</c:v>
                </c:pt>
                <c:pt idx="608">
                  <c:v>95.616672864462416</c:v>
                </c:pt>
                <c:pt idx="609">
                  <c:v>95.633773884255405</c:v>
                </c:pt>
                <c:pt idx="610">
                  <c:v>95.650877962561822</c:v>
                </c:pt>
                <c:pt idx="611">
                  <c:v>95.667985099928686</c:v>
                </c:pt>
                <c:pt idx="612">
                  <c:v>95.685095296903114</c:v>
                </c:pt>
                <c:pt idx="613">
                  <c:v>95.702208554032211</c:v>
                </c:pt>
                <c:pt idx="614">
                  <c:v>95.719324871863449</c:v>
                </c:pt>
                <c:pt idx="615">
                  <c:v>95.736444250944189</c:v>
                </c:pt>
                <c:pt idx="616">
                  <c:v>95.753566691821902</c:v>
                </c:pt>
                <c:pt idx="617">
                  <c:v>95.770692195044205</c:v>
                </c:pt>
                <c:pt idx="618">
                  <c:v>95.787820761158798</c:v>
                </c:pt>
                <c:pt idx="619">
                  <c:v>95.804952390713467</c:v>
                </c:pt>
                <c:pt idx="620">
                  <c:v>95.822087084256111</c:v>
                </c:pt>
                <c:pt idx="621">
                  <c:v>95.839224842334716</c:v>
                </c:pt>
                <c:pt idx="622">
                  <c:v>95.856365665497322</c:v>
                </c:pt>
                <c:pt idx="623">
                  <c:v>95.873509554292241</c:v>
                </c:pt>
                <c:pt idx="624">
                  <c:v>95.890656509267714</c:v>
                </c:pt>
                <c:pt idx="625">
                  <c:v>95.90780653097211</c:v>
                </c:pt>
                <c:pt idx="626">
                  <c:v>95.924959619953924</c:v>
                </c:pt>
                <c:pt idx="627">
                  <c:v>95.942115776761725</c:v>
                </c:pt>
                <c:pt idx="628">
                  <c:v>95.959275001944178</c:v>
                </c:pt>
                <c:pt idx="629">
                  <c:v>95.976437296050108</c:v>
                </c:pt>
                <c:pt idx="630">
                  <c:v>95.993602659628337</c:v>
                </c:pt>
                <c:pt idx="631">
                  <c:v>96.010771093227788</c:v>
                </c:pt>
                <c:pt idx="632">
                  <c:v>96.027942597397725</c:v>
                </c:pt>
                <c:pt idx="633">
                  <c:v>96.045117172687156</c:v>
                </c:pt>
                <c:pt idx="634">
                  <c:v>96.062294819645444</c:v>
                </c:pt>
                <c:pt idx="635">
                  <c:v>96.079475538821882</c:v>
                </c:pt>
                <c:pt idx="636">
                  <c:v>96.096659330765974</c:v>
                </c:pt>
                <c:pt idx="637">
                  <c:v>96.113846196027282</c:v>
                </c:pt>
                <c:pt idx="638">
                  <c:v>96.131036135155455</c:v>
                </c:pt>
                <c:pt idx="639">
                  <c:v>96.148229148700253</c:v>
                </c:pt>
                <c:pt idx="640">
                  <c:v>96.165425237211466</c:v>
                </c:pt>
                <c:pt idx="641">
                  <c:v>96.18262440123921</c:v>
                </c:pt>
                <c:pt idx="642">
                  <c:v>96.199826641333459</c:v>
                </c:pt>
                <c:pt idx="643">
                  <c:v>96.217031958044359</c:v>
                </c:pt>
                <c:pt idx="644">
                  <c:v>96.234240351922168</c:v>
                </c:pt>
                <c:pt idx="645">
                  <c:v>96.251451823517229</c:v>
                </c:pt>
                <c:pt idx="646">
                  <c:v>96.268666373379986</c:v>
                </c:pt>
                <c:pt idx="647">
                  <c:v>96.285884002061039</c:v>
                </c:pt>
                <c:pt idx="648">
                  <c:v>96.303104710110972</c:v>
                </c:pt>
                <c:pt idx="649">
                  <c:v>96.320328498080457</c:v>
                </c:pt>
                <c:pt idx="650">
                  <c:v>96.337555366520519</c:v>
                </c:pt>
                <c:pt idx="651">
                  <c:v>96.354785315982014</c:v>
                </c:pt>
                <c:pt idx="652">
                  <c:v>96.372018347015967</c:v>
                </c:pt>
                <c:pt idx="653">
                  <c:v>96.389254460173561</c:v>
                </c:pt>
                <c:pt idx="654">
                  <c:v>96.406493656005964</c:v>
                </c:pt>
                <c:pt idx="655">
                  <c:v>96.42373593506457</c:v>
                </c:pt>
                <c:pt idx="656">
                  <c:v>96.440981297900777</c:v>
                </c:pt>
                <c:pt idx="657">
                  <c:v>96.458229745066163</c:v>
                </c:pt>
                <c:pt idx="658">
                  <c:v>96.475481277112294</c:v>
                </c:pt>
                <c:pt idx="659">
                  <c:v>96.492735894590865</c:v>
                </c:pt>
                <c:pt idx="660">
                  <c:v>96.509993598053853</c:v>
                </c:pt>
                <c:pt idx="661">
                  <c:v>96.527254388053109</c:v>
                </c:pt>
                <c:pt idx="662">
                  <c:v>96.544518265140667</c:v>
                </c:pt>
                <c:pt idx="663">
                  <c:v>96.561785229868647</c:v>
                </c:pt>
                <c:pt idx="664">
                  <c:v>96.579055282789255</c:v>
                </c:pt>
                <c:pt idx="665">
                  <c:v>96.596328424454853</c:v>
                </c:pt>
                <c:pt idx="666">
                  <c:v>96.613604655417802</c:v>
                </c:pt>
                <c:pt idx="667">
                  <c:v>96.630883976230677</c:v>
                </c:pt>
                <c:pt idx="668">
                  <c:v>96.648166387445983</c:v>
                </c:pt>
                <c:pt idx="669">
                  <c:v>96.665451889616619</c:v>
                </c:pt>
                <c:pt idx="670">
                  <c:v>96.682740483295319</c:v>
                </c:pt>
                <c:pt idx="671">
                  <c:v>96.700032169034984</c:v>
                </c:pt>
                <c:pt idx="672">
                  <c:v>96.717326947388656</c:v>
                </c:pt>
                <c:pt idx="673">
                  <c:v>96.734624818909424</c:v>
                </c:pt>
                <c:pt idx="674">
                  <c:v>96.751925784150487</c:v>
                </c:pt>
                <c:pt idx="675">
                  <c:v>96.769229843665201</c:v>
                </c:pt>
                <c:pt idx="676">
                  <c:v>96.786536998006937</c:v>
                </c:pt>
                <c:pt idx="677">
                  <c:v>96.803847247729138</c:v>
                </c:pt>
                <c:pt idx="678">
                  <c:v>96.821160593385571</c:v>
                </c:pt>
                <c:pt idx="679">
                  <c:v>96.838477035529877</c:v>
                </c:pt>
                <c:pt idx="680">
                  <c:v>96.855796574715839</c:v>
                </c:pt>
                <c:pt idx="681">
                  <c:v>96.873119211497368</c:v>
                </c:pt>
                <c:pt idx="682">
                  <c:v>96.890444946428474</c:v>
                </c:pt>
                <c:pt idx="683">
                  <c:v>96.907773780063266</c:v>
                </c:pt>
                <c:pt idx="684">
                  <c:v>96.925105712955926</c:v>
                </c:pt>
                <c:pt idx="685">
                  <c:v>96.94244074566079</c:v>
                </c:pt>
                <c:pt idx="686">
                  <c:v>96.959778878732152</c:v>
                </c:pt>
                <c:pt idx="687">
                  <c:v>96.977120112724648</c:v>
                </c:pt>
                <c:pt idx="688">
                  <c:v>96.994464448192858</c:v>
                </c:pt>
                <c:pt idx="689">
                  <c:v>97.011811885691444</c:v>
                </c:pt>
                <c:pt idx="690">
                  <c:v>97.029162425775198</c:v>
                </c:pt>
                <c:pt idx="691">
                  <c:v>97.04651606899904</c:v>
                </c:pt>
                <c:pt idx="692">
                  <c:v>97.063872815917961</c:v>
                </c:pt>
                <c:pt idx="693">
                  <c:v>97.081232667087022</c:v>
                </c:pt>
                <c:pt idx="694">
                  <c:v>97.098595623061456</c:v>
                </c:pt>
                <c:pt idx="695">
                  <c:v>97.115961684396467</c:v>
                </c:pt>
                <c:pt idx="696">
                  <c:v>97.1333308516476</c:v>
                </c:pt>
                <c:pt idx="697">
                  <c:v>97.150703125370285</c:v>
                </c:pt>
                <c:pt idx="698">
                  <c:v>97.168078506120096</c:v>
                </c:pt>
                <c:pt idx="699">
                  <c:v>97.185456994452721</c:v>
                </c:pt>
                <c:pt idx="700">
                  <c:v>97.20283859092396</c:v>
                </c:pt>
                <c:pt idx="701">
                  <c:v>97.220223296089699</c:v>
                </c:pt>
                <c:pt idx="702">
                  <c:v>97.237611110505938</c:v>
                </c:pt>
                <c:pt idx="703">
                  <c:v>97.255002034728761</c:v>
                </c:pt>
                <c:pt idx="704">
                  <c:v>97.272396069314254</c:v>
                </c:pt>
                <c:pt idx="705">
                  <c:v>97.2897932148189</c:v>
                </c:pt>
                <c:pt idx="706">
                  <c:v>97.307193471798982</c:v>
                </c:pt>
                <c:pt idx="707">
                  <c:v>97.324596840810983</c:v>
                </c:pt>
                <c:pt idx="708">
                  <c:v>97.342003322411628</c:v>
                </c:pt>
                <c:pt idx="709">
                  <c:v>97.359412917157357</c:v>
                </c:pt>
                <c:pt idx="710">
                  <c:v>97.376825625605065</c:v>
                </c:pt>
                <c:pt idx="711">
                  <c:v>97.394241448311661</c:v>
                </c:pt>
                <c:pt idx="712">
                  <c:v>97.411660385834111</c:v>
                </c:pt>
                <c:pt idx="713">
                  <c:v>97.429082438729424</c:v>
                </c:pt>
                <c:pt idx="714">
                  <c:v>97.446507607554949</c:v>
                </c:pt>
                <c:pt idx="715">
                  <c:v>97.463935892867866</c:v>
                </c:pt>
                <c:pt idx="716">
                  <c:v>97.481367295225567</c:v>
                </c:pt>
                <c:pt idx="717">
                  <c:v>97.498801815185558</c:v>
                </c:pt>
                <c:pt idx="718">
                  <c:v>97.516239453305417</c:v>
                </c:pt>
                <c:pt idx="719">
                  <c:v>97.533680210142791</c:v>
                </c:pt>
                <c:pt idx="720">
                  <c:v>97.551124086255498</c:v>
                </c:pt>
                <c:pt idx="721">
                  <c:v>97.568571082201402</c:v>
                </c:pt>
                <c:pt idx="722">
                  <c:v>97.586021198538404</c:v>
                </c:pt>
                <c:pt idx="723">
                  <c:v>97.603474435824765</c:v>
                </c:pt>
                <c:pt idx="724">
                  <c:v>97.620930794618573</c:v>
                </c:pt>
                <c:pt idx="725">
                  <c:v>97.638390275478088</c:v>
                </c:pt>
                <c:pt idx="726">
                  <c:v>97.655852878961724</c:v>
                </c:pt>
                <c:pt idx="727">
                  <c:v>97.673318605627955</c:v>
                </c:pt>
                <c:pt idx="728">
                  <c:v>97.690787456035352</c:v>
                </c:pt>
                <c:pt idx="729">
                  <c:v>97.708259430742572</c:v>
                </c:pt>
                <c:pt idx="730">
                  <c:v>97.725734530308443</c:v>
                </c:pt>
                <c:pt idx="731">
                  <c:v>97.743212755291836</c:v>
                </c:pt>
                <c:pt idx="732">
                  <c:v>97.760694106251606</c:v>
                </c:pt>
                <c:pt idx="733">
                  <c:v>97.778178583747049</c:v>
                </c:pt>
                <c:pt idx="734">
                  <c:v>97.795666188337236</c:v>
                </c:pt>
                <c:pt idx="735">
                  <c:v>97.813156920581463</c:v>
                </c:pt>
                <c:pt idx="736">
                  <c:v>97.830650781039083</c:v>
                </c:pt>
                <c:pt idx="737">
                  <c:v>97.848147770269605</c:v>
                </c:pt>
                <c:pt idx="738">
                  <c:v>97.865647888832584</c:v>
                </c:pt>
                <c:pt idx="739">
                  <c:v>97.883151137287726</c:v>
                </c:pt>
                <c:pt idx="740">
                  <c:v>97.900657516194798</c:v>
                </c:pt>
                <c:pt idx="741">
                  <c:v>97.918167026113608</c:v>
                </c:pt>
                <c:pt idx="742">
                  <c:v>97.935679667604276</c:v>
                </c:pt>
                <c:pt idx="743">
                  <c:v>97.953195441226825</c:v>
                </c:pt>
                <c:pt idx="744">
                  <c:v>97.970714347541431</c:v>
                </c:pt>
                <c:pt idx="745">
                  <c:v>97.988236387108373</c:v>
                </c:pt>
                <c:pt idx="746">
                  <c:v>98.005761560488054</c:v>
                </c:pt>
                <c:pt idx="747">
                  <c:v>98.023289868240909</c:v>
                </c:pt>
                <c:pt idx="748">
                  <c:v>98.040821310927541</c:v>
                </c:pt>
                <c:pt idx="749">
                  <c:v>98.058355889108654</c:v>
                </c:pt>
                <c:pt idx="750">
                  <c:v>98.075893603344895</c:v>
                </c:pt>
                <c:pt idx="751">
                  <c:v>98.093434454197393</c:v>
                </c:pt>
                <c:pt idx="752">
                  <c:v>98.11097844222698</c:v>
                </c:pt>
                <c:pt idx="753">
                  <c:v>98.128525567994771</c:v>
                </c:pt>
                <c:pt idx="754">
                  <c:v>98.146075832061925</c:v>
                </c:pt>
                <c:pt idx="755">
                  <c:v>98.163629234989756</c:v>
                </c:pt>
                <c:pt idx="756">
                  <c:v>98.181185777339635</c:v>
                </c:pt>
                <c:pt idx="757">
                  <c:v>98.198745459673049</c:v>
                </c:pt>
                <c:pt idx="758">
                  <c:v>98.216308282551566</c:v>
                </c:pt>
                <c:pt idx="759">
                  <c:v>98.233874246536828</c:v>
                </c:pt>
                <c:pt idx="760">
                  <c:v>98.251443352190748</c:v>
                </c:pt>
                <c:pt idx="761">
                  <c:v>98.269015600075122</c:v>
                </c:pt>
                <c:pt idx="762">
                  <c:v>98.286590990751975</c:v>
                </c:pt>
                <c:pt idx="763">
                  <c:v>98.304169524783404</c:v>
                </c:pt>
                <c:pt idx="764">
                  <c:v>98.321751202731548</c:v>
                </c:pt>
                <c:pt idx="765">
                  <c:v>98.33933602515873</c:v>
                </c:pt>
                <c:pt idx="766">
                  <c:v>98.35692399262733</c:v>
                </c:pt>
                <c:pt idx="767">
                  <c:v>98.374515105699814</c:v>
                </c:pt>
                <c:pt idx="768">
                  <c:v>98.392109364938733</c:v>
                </c:pt>
                <c:pt idx="769">
                  <c:v>98.409706770906936</c:v>
                </c:pt>
                <c:pt idx="770">
                  <c:v>98.427307324167117</c:v>
                </c:pt>
                <c:pt idx="771">
                  <c:v>98.444911025282153</c:v>
                </c:pt>
                <c:pt idx="772">
                  <c:v>98.462517874815063</c:v>
                </c:pt>
                <c:pt idx="773">
                  <c:v>98.480127873328939</c:v>
                </c:pt>
                <c:pt idx="774">
                  <c:v>98.497741021386972</c:v>
                </c:pt>
                <c:pt idx="775">
                  <c:v>98.51535731955245</c:v>
                </c:pt>
                <c:pt idx="776">
                  <c:v>98.532976768388778</c:v>
                </c:pt>
                <c:pt idx="777">
                  <c:v>98.550599368459359</c:v>
                </c:pt>
                <c:pt idx="778">
                  <c:v>98.568225120327966</c:v>
                </c:pt>
                <c:pt idx="779">
                  <c:v>98.585854024558202</c:v>
                </c:pt>
                <c:pt idx="780">
                  <c:v>98.603486081713896</c:v>
                </c:pt>
                <c:pt idx="781">
                  <c:v>98.621121292358922</c:v>
                </c:pt>
                <c:pt idx="782">
                  <c:v>98.638759657057278</c:v>
                </c:pt>
                <c:pt idx="783">
                  <c:v>98.656401176373095</c:v>
                </c:pt>
                <c:pt idx="784">
                  <c:v>98.674045850870527</c:v>
                </c:pt>
                <c:pt idx="785">
                  <c:v>98.691693681113918</c:v>
                </c:pt>
                <c:pt idx="786">
                  <c:v>98.709344667667565</c:v>
                </c:pt>
                <c:pt idx="787">
                  <c:v>98.726998811096166</c:v>
                </c:pt>
                <c:pt idx="788">
                  <c:v>98.744656111964233</c:v>
                </c:pt>
                <c:pt idx="789">
                  <c:v>98.762316570836475</c:v>
                </c:pt>
                <c:pt idx="790">
                  <c:v>98.779980188277676</c:v>
                </c:pt>
                <c:pt idx="791">
                  <c:v>98.797646964852788</c:v>
                </c:pt>
                <c:pt idx="792">
                  <c:v>98.815316901126792</c:v>
                </c:pt>
                <c:pt idx="793">
                  <c:v>98.832989997664797</c:v>
                </c:pt>
                <c:pt idx="794">
                  <c:v>98.85066625503201</c:v>
                </c:pt>
                <c:pt idx="795">
                  <c:v>98.868345673793684</c:v>
                </c:pt>
                <c:pt idx="796">
                  <c:v>98.886028254515395</c:v>
                </c:pt>
                <c:pt idx="797">
                  <c:v>98.90371399776258</c:v>
                </c:pt>
                <c:pt idx="798">
                  <c:v>98.921402904100859</c:v>
                </c:pt>
                <c:pt idx="799">
                  <c:v>98.939094974095923</c:v>
                </c:pt>
                <c:pt idx="800">
                  <c:v>98.956790208313592</c:v>
                </c:pt>
                <c:pt idx="801">
                  <c:v>98.974488607319813</c:v>
                </c:pt>
                <c:pt idx="802">
                  <c:v>98.992190171680605</c:v>
                </c:pt>
                <c:pt idx="803">
                  <c:v>99.009894901962085</c:v>
                </c:pt>
                <c:pt idx="804">
                  <c:v>99.027602798730385</c:v>
                </c:pt>
                <c:pt idx="805">
                  <c:v>99.045313862552007</c:v>
                </c:pt>
                <c:pt idx="806">
                  <c:v>99.063028093993282</c:v>
                </c:pt>
                <c:pt idx="807">
                  <c:v>99.080745493620753</c:v>
                </c:pt>
                <c:pt idx="808">
                  <c:v>99.098466062001037</c:v>
                </c:pt>
                <c:pt idx="809">
                  <c:v>99.116189799700877</c:v>
                </c:pt>
                <c:pt idx="810">
                  <c:v>99.133916707287099</c:v>
                </c:pt>
                <c:pt idx="811">
                  <c:v>99.151646785326633</c:v>
                </c:pt>
                <c:pt idx="812">
                  <c:v>99.169380034386521</c:v>
                </c:pt>
                <c:pt idx="813">
                  <c:v>99.187116455033816</c:v>
                </c:pt>
                <c:pt idx="814">
                  <c:v>99.204856047835904</c:v>
                </c:pt>
                <c:pt idx="815">
                  <c:v>99.222598813360065</c:v>
                </c:pt>
                <c:pt idx="816">
                  <c:v>99.240344752173726</c:v>
                </c:pt>
                <c:pt idx="817">
                  <c:v>99.258093864844454</c:v>
                </c:pt>
                <c:pt idx="818">
                  <c:v>99.275846151939845</c:v>
                </c:pt>
                <c:pt idx="819">
                  <c:v>99.293601614027693</c:v>
                </c:pt>
                <c:pt idx="820">
                  <c:v>99.311360251675808</c:v>
                </c:pt>
                <c:pt idx="821">
                  <c:v>99.329122065452154</c:v>
                </c:pt>
                <c:pt idx="822">
                  <c:v>99.346887055924682</c:v>
                </c:pt>
                <c:pt idx="823">
                  <c:v>99.364655223661742</c:v>
                </c:pt>
                <c:pt idx="824">
                  <c:v>99.382426569231498</c:v>
                </c:pt>
                <c:pt idx="825">
                  <c:v>99.400201093202284</c:v>
                </c:pt>
                <c:pt idx="826">
                  <c:v>99.417978796142549</c:v>
                </c:pt>
                <c:pt idx="827">
                  <c:v>99.435759678620883</c:v>
                </c:pt>
                <c:pt idx="828">
                  <c:v>99.45354374120592</c:v>
                </c:pt>
                <c:pt idx="829">
                  <c:v>99.471330984466434</c:v>
                </c:pt>
                <c:pt idx="830">
                  <c:v>99.489121408971286</c:v>
                </c:pt>
                <c:pt idx="831">
                  <c:v>99.506915015289351</c:v>
                </c:pt>
                <c:pt idx="832">
                  <c:v>99.52471180398986</c:v>
                </c:pt>
                <c:pt idx="833">
                  <c:v>99.542511775641927</c:v>
                </c:pt>
                <c:pt idx="834">
                  <c:v>99.560314930814783</c:v>
                </c:pt>
                <c:pt idx="835">
                  <c:v>99.57812127007783</c:v>
                </c:pt>
                <c:pt idx="836">
                  <c:v>99.595930794000537</c:v>
                </c:pt>
                <c:pt idx="837">
                  <c:v>99.613743503152449</c:v>
                </c:pt>
                <c:pt idx="838">
                  <c:v>99.631559398103278</c:v>
                </c:pt>
                <c:pt idx="839">
                  <c:v>99.649378479422793</c:v>
                </c:pt>
                <c:pt idx="840">
                  <c:v>99.667200747680795</c:v>
                </c:pt>
                <c:pt idx="841">
                  <c:v>99.685026203447421</c:v>
                </c:pt>
                <c:pt idx="842">
                  <c:v>99.702854847292699</c:v>
                </c:pt>
                <c:pt idx="843">
                  <c:v>99.720686679786766</c:v>
                </c:pt>
                <c:pt idx="844">
                  <c:v>99.738521701499977</c:v>
                </c:pt>
                <c:pt idx="845">
                  <c:v>99.756359913002669</c:v>
                </c:pt>
                <c:pt idx="846">
                  <c:v>99.774201314865365</c:v>
                </c:pt>
                <c:pt idx="847">
                  <c:v>99.792045907658661</c:v>
                </c:pt>
                <c:pt idx="848">
                  <c:v>99.809893691953235</c:v>
                </c:pt>
                <c:pt idx="849">
                  <c:v>99.827744668319795</c:v>
                </c:pt>
                <c:pt idx="850">
                  <c:v>99.845598837329447</c:v>
                </c:pt>
                <c:pt idx="851">
                  <c:v>99.863456199553099</c:v>
                </c:pt>
                <c:pt idx="852">
                  <c:v>99.881316755561826</c:v>
                </c:pt>
                <c:pt idx="853">
                  <c:v>99.899180505926864</c:v>
                </c:pt>
                <c:pt idx="854">
                  <c:v>99.917047451219531</c:v>
                </c:pt>
                <c:pt idx="855">
                  <c:v>99.934917592011203</c:v>
                </c:pt>
                <c:pt idx="856">
                  <c:v>99.952790928873426</c:v>
                </c:pt>
                <c:pt idx="857">
                  <c:v>99.970667462377818</c:v>
                </c:pt>
                <c:pt idx="858">
                  <c:v>99.988547193095997</c:v>
                </c:pt>
                <c:pt idx="859">
                  <c:v>100.00643012159995</c:v>
                </c:pt>
                <c:pt idx="860">
                  <c:v>100.02431624846153</c:v>
                </c:pt>
                <c:pt idx="861">
                  <c:v>100.04220557425275</c:v>
                </c:pt>
                <c:pt idx="862">
                  <c:v>100.06009809954574</c:v>
                </c:pt>
                <c:pt idx="863">
                  <c:v>100.07799382491274</c:v>
                </c:pt>
                <c:pt idx="864">
                  <c:v>100.09589275092608</c:v>
                </c:pt>
                <c:pt idx="865">
                  <c:v>100.11379487815817</c:v>
                </c:pt>
                <c:pt idx="866">
                  <c:v>100.13170020718161</c:v>
                </c:pt>
                <c:pt idx="867">
                  <c:v>100.14960873856896</c:v>
                </c:pt>
                <c:pt idx="868">
                  <c:v>100.16752047289302</c:v>
                </c:pt>
                <c:pt idx="869">
                  <c:v>100.1854354107266</c:v>
                </c:pt>
                <c:pt idx="870">
                  <c:v>100.20335355264268</c:v>
                </c:pt>
                <c:pt idx="871">
                  <c:v>100.22127489921429</c:v>
                </c:pt>
                <c:pt idx="872">
                  <c:v>100.23919945101457</c:v>
                </c:pt>
                <c:pt idx="873">
                  <c:v>100.25712720861679</c:v>
                </c:pt>
                <c:pt idx="874">
                  <c:v>100.27505817259431</c:v>
                </c:pt>
                <c:pt idx="875">
                  <c:v>100.29299234352058</c:v>
                </c:pt>
                <c:pt idx="876">
                  <c:v>100.31092972196917</c:v>
                </c:pt>
                <c:pt idx="877">
                  <c:v>100.32887030851366</c:v>
                </c:pt>
                <c:pt idx="878">
                  <c:v>100.34681410372797</c:v>
                </c:pt>
                <c:pt idx="879">
                  <c:v>100.3647611081859</c:v>
                </c:pt>
                <c:pt idx="880">
                  <c:v>100.38271132246142</c:v>
                </c:pt>
                <c:pt idx="881">
                  <c:v>100.4006647471286</c:v>
                </c:pt>
                <c:pt idx="882">
                  <c:v>100.41862138276163</c:v>
                </c:pt>
                <c:pt idx="883">
                  <c:v>100.43658122993479</c:v>
                </c:pt>
                <c:pt idx="884">
                  <c:v>100.45454428922245</c:v>
                </c:pt>
                <c:pt idx="885">
                  <c:v>100.47251056119912</c:v>
                </c:pt>
                <c:pt idx="886">
                  <c:v>100.49048004643926</c:v>
                </c:pt>
                <c:pt idx="887">
                  <c:v>100.50845274551776</c:v>
                </c:pt>
                <c:pt idx="888">
                  <c:v>100.52642865900934</c:v>
                </c:pt>
                <c:pt idx="889">
                  <c:v>100.54440778748888</c:v>
                </c:pt>
                <c:pt idx="890">
                  <c:v>100.56239013153137</c:v>
                </c:pt>
                <c:pt idx="891">
                  <c:v>100.58037569171195</c:v>
                </c:pt>
                <c:pt idx="892">
                  <c:v>100.59836446860578</c:v>
                </c:pt>
                <c:pt idx="893">
                  <c:v>100.6163564627882</c:v>
                </c:pt>
                <c:pt idx="894">
                  <c:v>100.63435167483462</c:v>
                </c:pt>
                <c:pt idx="895">
                  <c:v>100.65235010532044</c:v>
                </c:pt>
                <c:pt idx="896">
                  <c:v>100.67035175482148</c:v>
                </c:pt>
                <c:pt idx="897">
                  <c:v>100.68835662391336</c:v>
                </c:pt>
                <c:pt idx="898">
                  <c:v>100.70636471317192</c:v>
                </c:pt>
                <c:pt idx="899">
                  <c:v>100.72437602317308</c:v>
                </c:pt>
                <c:pt idx="900">
                  <c:v>100.74239055449284</c:v>
                </c:pt>
                <c:pt idx="901">
                  <c:v>100.76040830770737</c:v>
                </c:pt>
                <c:pt idx="902">
                  <c:v>100.77842928339288</c:v>
                </c:pt>
                <c:pt idx="903">
                  <c:v>100.7964534821257</c:v>
                </c:pt>
                <c:pt idx="904">
                  <c:v>100.81448090448222</c:v>
                </c:pt>
                <c:pt idx="905">
                  <c:v>100.83251155103913</c:v>
                </c:pt>
                <c:pt idx="906">
                  <c:v>100.85054542237303</c:v>
                </c:pt>
                <c:pt idx="907">
                  <c:v>100.8685825190606</c:v>
                </c:pt>
                <c:pt idx="908">
                  <c:v>100.88662284167876</c:v>
                </c:pt>
                <c:pt idx="909">
                  <c:v>100.90466639080444</c:v>
                </c:pt>
                <c:pt idx="910">
                  <c:v>100.92271316701469</c:v>
                </c:pt>
                <c:pt idx="911">
                  <c:v>100.94076317088668</c:v>
                </c:pt>
                <c:pt idx="912">
                  <c:v>100.95881640299768</c:v>
                </c:pt>
                <c:pt idx="913">
                  <c:v>100.97687286392498</c:v>
                </c:pt>
                <c:pt idx="914">
                  <c:v>100.99493255424625</c:v>
                </c:pt>
                <c:pt idx="915">
                  <c:v>101.01299547453891</c:v>
                </c:pt>
                <c:pt idx="916">
                  <c:v>101.0310616253807</c:v>
                </c:pt>
                <c:pt idx="917">
                  <c:v>101.04913100734937</c:v>
                </c:pt>
                <c:pt idx="918">
                  <c:v>101.06720362102284</c:v>
                </c:pt>
                <c:pt idx="919">
                  <c:v>101.08527946697907</c:v>
                </c:pt>
                <c:pt idx="920">
                  <c:v>101.10335854579615</c:v>
                </c:pt>
                <c:pt idx="921">
                  <c:v>101.12144085805231</c:v>
                </c:pt>
                <c:pt idx="922">
                  <c:v>101.13952640432572</c:v>
                </c:pt>
                <c:pt idx="923">
                  <c:v>101.157615185195</c:v>
                </c:pt>
                <c:pt idx="924">
                  <c:v>101.17570720123854</c:v>
                </c:pt>
                <c:pt idx="925">
                  <c:v>101.19380245303496</c:v>
                </c:pt>
                <c:pt idx="926">
                  <c:v>101.21190094116297</c:v>
                </c:pt>
                <c:pt idx="927">
                  <c:v>101.23000266620137</c:v>
                </c:pt>
                <c:pt idx="928">
                  <c:v>101.24810762872913</c:v>
                </c:pt>
                <c:pt idx="929">
                  <c:v>101.26621582932522</c:v>
                </c:pt>
                <c:pt idx="930">
                  <c:v>101.28432726856882</c:v>
                </c:pt>
                <c:pt idx="931">
                  <c:v>101.30244194703901</c:v>
                </c:pt>
                <c:pt idx="932">
                  <c:v>101.32055986531537</c:v>
                </c:pt>
                <c:pt idx="933">
                  <c:v>101.33868102397719</c:v>
                </c:pt>
                <c:pt idx="934">
                  <c:v>101.35680542360406</c:v>
                </c:pt>
                <c:pt idx="935">
                  <c:v>101.37493306477559</c:v>
                </c:pt>
                <c:pt idx="936">
                  <c:v>101.39306394807156</c:v>
                </c:pt>
                <c:pt idx="937">
                  <c:v>101.41119807407181</c:v>
                </c:pt>
                <c:pt idx="938">
                  <c:v>101.42933544335627</c:v>
                </c:pt>
                <c:pt idx="939">
                  <c:v>101.44747605650504</c:v>
                </c:pt>
                <c:pt idx="940">
                  <c:v>101.46561991409818</c:v>
                </c:pt>
                <c:pt idx="941">
                  <c:v>101.48376701671614</c:v>
                </c:pt>
                <c:pt idx="942">
                  <c:v>101.50191736493919</c:v>
                </c:pt>
                <c:pt idx="943">
                  <c:v>101.52007095934782</c:v>
                </c:pt>
                <c:pt idx="944">
                  <c:v>101.53822780052261</c:v>
                </c:pt>
                <c:pt idx="945">
                  <c:v>101.55638788904423</c:v>
                </c:pt>
                <c:pt idx="946">
                  <c:v>101.57455122549348</c:v>
                </c:pt>
                <c:pt idx="947">
                  <c:v>101.59271781045123</c:v>
                </c:pt>
                <c:pt idx="948">
                  <c:v>101.61088764449852</c:v>
                </c:pt>
                <c:pt idx="949">
                  <c:v>101.6290607282164</c:v>
                </c:pt>
                <c:pt idx="950">
                  <c:v>101.64723706218601</c:v>
                </c:pt>
                <c:pt idx="951">
                  <c:v>101.66541664698885</c:v>
                </c:pt>
                <c:pt idx="952">
                  <c:v>101.68359948320619</c:v>
                </c:pt>
                <c:pt idx="953">
                  <c:v>101.70178557141959</c:v>
                </c:pt>
                <c:pt idx="954">
                  <c:v>101.71997491221065</c:v>
                </c:pt>
                <c:pt idx="955">
                  <c:v>101.7381675061611</c:v>
                </c:pt>
                <c:pt idx="956">
                  <c:v>101.75636335385275</c:v>
                </c:pt>
                <c:pt idx="957">
                  <c:v>101.77456245586757</c:v>
                </c:pt>
                <c:pt idx="958">
                  <c:v>101.79276481278755</c:v>
                </c:pt>
                <c:pt idx="959">
                  <c:v>101.81097042519477</c:v>
                </c:pt>
                <c:pt idx="960">
                  <c:v>101.82917929367164</c:v>
                </c:pt>
                <c:pt idx="961">
                  <c:v>101.84739141880041</c:v>
                </c:pt>
                <c:pt idx="962">
                  <c:v>101.86560680116354</c:v>
                </c:pt>
                <c:pt idx="963">
                  <c:v>101.88382544134359</c:v>
                </c:pt>
                <c:pt idx="964">
                  <c:v>101.90204733992323</c:v>
                </c:pt>
                <c:pt idx="965">
                  <c:v>101.92027249748519</c:v>
                </c:pt>
                <c:pt idx="966">
                  <c:v>101.93850091461238</c:v>
                </c:pt>
                <c:pt idx="967">
                  <c:v>101.95673259188774</c:v>
                </c:pt>
                <c:pt idx="968">
                  <c:v>101.97496752989426</c:v>
                </c:pt>
                <c:pt idx="969">
                  <c:v>101.99320572921532</c:v>
                </c:pt>
                <c:pt idx="970">
                  <c:v>102.0114471904341</c:v>
                </c:pt>
                <c:pt idx="971">
                  <c:v>102.02969191413399</c:v>
                </c:pt>
                <c:pt idx="972">
                  <c:v>102.04793990089848</c:v>
                </c:pt>
                <c:pt idx="973">
                  <c:v>102.06619115131119</c:v>
                </c:pt>
                <c:pt idx="974">
                  <c:v>102.0844456659558</c:v>
                </c:pt>
                <c:pt idx="975">
                  <c:v>102.10270344541614</c:v>
                </c:pt>
                <c:pt idx="976">
                  <c:v>102.12096449027608</c:v>
                </c:pt>
                <c:pt idx="977">
                  <c:v>102.1392288011196</c:v>
                </c:pt>
                <c:pt idx="978">
                  <c:v>102.15749637853095</c:v>
                </c:pt>
                <c:pt idx="979">
                  <c:v>102.17576722309431</c:v>
                </c:pt>
                <c:pt idx="980">
                  <c:v>102.19404133539398</c:v>
                </c:pt>
                <c:pt idx="981">
                  <c:v>102.21231871601439</c:v>
                </c:pt>
                <c:pt idx="982">
                  <c:v>102.2305993655401</c:v>
                </c:pt>
                <c:pt idx="983">
                  <c:v>102.24888328455575</c:v>
                </c:pt>
                <c:pt idx="984">
                  <c:v>102.26717047364608</c:v>
                </c:pt>
                <c:pt idx="985">
                  <c:v>102.28546093339595</c:v>
                </c:pt>
                <c:pt idx="986">
                  <c:v>102.3037546643902</c:v>
                </c:pt>
                <c:pt idx="987">
                  <c:v>102.3220516672141</c:v>
                </c:pt>
                <c:pt idx="988">
                  <c:v>102.34035194245271</c:v>
                </c:pt>
                <c:pt idx="989">
                  <c:v>102.35865549069131</c:v>
                </c:pt>
                <c:pt idx="990">
                  <c:v>102.37696231251527</c:v>
                </c:pt>
                <c:pt idx="991">
                  <c:v>102.39527240851008</c:v>
                </c:pt>
                <c:pt idx="992">
                  <c:v>102.41358577926133</c:v>
                </c:pt>
                <c:pt idx="993">
                  <c:v>102.43190242535468</c:v>
                </c:pt>
                <c:pt idx="994">
                  <c:v>102.45022234737594</c:v>
                </c:pt>
                <c:pt idx="995">
                  <c:v>102.46854554591091</c:v>
                </c:pt>
                <c:pt idx="996">
                  <c:v>102.48687202154581</c:v>
                </c:pt>
                <c:pt idx="997">
                  <c:v>102.50520177486661</c:v>
                </c:pt>
                <c:pt idx="998">
                  <c:v>102.52353480645955</c:v>
                </c:pt>
                <c:pt idx="999">
                  <c:v>102.54187111691095</c:v>
                </c:pt>
                <c:pt idx="1000">
                  <c:v>102.56021070680721</c:v>
                </c:pt>
                <c:pt idx="1001">
                  <c:v>102.57855357673489</c:v>
                </c:pt>
                <c:pt idx="1002">
                  <c:v>102.5968997272806</c:v>
                </c:pt>
                <c:pt idx="1003">
                  <c:v>102.61524915903111</c:v>
                </c:pt>
                <c:pt idx="1004">
                  <c:v>102.63360187257311</c:v>
                </c:pt>
                <c:pt idx="1005">
                  <c:v>102.6519578684938</c:v>
                </c:pt>
                <c:pt idx="1006">
                  <c:v>102.67031714738009</c:v>
                </c:pt>
                <c:pt idx="1007">
                  <c:v>102.68867970981916</c:v>
                </c:pt>
                <c:pt idx="1008">
                  <c:v>102.70704555639827</c:v>
                </c:pt>
                <c:pt idx="1009">
                  <c:v>102.72541468770478</c:v>
                </c:pt>
                <c:pt idx="1010">
                  <c:v>102.74378710432617</c:v>
                </c:pt>
                <c:pt idx="1011">
                  <c:v>102.76216280685003</c:v>
                </c:pt>
                <c:pt idx="1012">
                  <c:v>102.78054179586402</c:v>
                </c:pt>
                <c:pt idx="1013">
                  <c:v>102.79892407195584</c:v>
                </c:pt>
                <c:pt idx="1014">
                  <c:v>102.81730963571357</c:v>
                </c:pt>
                <c:pt idx="1015">
                  <c:v>102.83569848772515</c:v>
                </c:pt>
                <c:pt idx="1016">
                  <c:v>102.85409062857862</c:v>
                </c:pt>
                <c:pt idx="1017">
                  <c:v>102.87248605886224</c:v>
                </c:pt>
                <c:pt idx="1018">
                  <c:v>102.8908847791643</c:v>
                </c:pt>
                <c:pt idx="1019">
                  <c:v>102.90928679007321</c:v>
                </c:pt>
                <c:pt idx="1020">
                  <c:v>102.92769209217752</c:v>
                </c:pt>
                <c:pt idx="1021">
                  <c:v>102.94610068606585</c:v>
                </c:pt>
                <c:pt idx="1022">
                  <c:v>102.96451257232683</c:v>
                </c:pt>
                <c:pt idx="1023">
                  <c:v>102.98292775154951</c:v>
                </c:pt>
                <c:pt idx="1024">
                  <c:v>103.00134622432273</c:v>
                </c:pt>
                <c:pt idx="1025">
                  <c:v>103.01976799123553</c:v>
                </c:pt>
                <c:pt idx="1026">
                  <c:v>103.03819305287708</c:v>
                </c:pt>
                <c:pt idx="1027">
                  <c:v>103.05662140983662</c:v>
                </c:pt>
                <c:pt idx="1028">
                  <c:v>103.07505306270365</c:v>
                </c:pt>
                <c:pt idx="1029">
                  <c:v>103.09348801206741</c:v>
                </c:pt>
                <c:pt idx="1030">
                  <c:v>103.11192625851761</c:v>
                </c:pt>
                <c:pt idx="1031">
                  <c:v>103.13036780264392</c:v>
                </c:pt>
                <c:pt idx="1032">
                  <c:v>103.148812645036</c:v>
                </c:pt>
                <c:pt idx="1033">
                  <c:v>103.167260786284</c:v>
                </c:pt>
                <c:pt idx="1034">
                  <c:v>103.18571222697777</c:v>
                </c:pt>
                <c:pt idx="1035">
                  <c:v>103.20416696770744</c:v>
                </c:pt>
                <c:pt idx="1036">
                  <c:v>103.22262500906321</c:v>
                </c:pt>
                <c:pt idx="1037">
                  <c:v>103.24108635163542</c:v>
                </c:pt>
                <c:pt idx="1038">
                  <c:v>103.25955099601445</c:v>
                </c:pt>
                <c:pt idx="1039">
                  <c:v>103.27801894279085</c:v>
                </c:pt>
                <c:pt idx="1040">
                  <c:v>103.29649019255527</c:v>
                </c:pt>
                <c:pt idx="1041">
                  <c:v>103.31496474589832</c:v>
                </c:pt>
                <c:pt idx="1042">
                  <c:v>103.33344260341106</c:v>
                </c:pt>
                <c:pt idx="1043">
                  <c:v>103.35192376568432</c:v>
                </c:pt>
                <c:pt idx="1044">
                  <c:v>103.37040823330921</c:v>
                </c:pt>
                <c:pt idx="1045">
                  <c:v>103.38889600687682</c:v>
                </c:pt>
                <c:pt idx="1046">
                  <c:v>103.40738708697845</c:v>
                </c:pt>
                <c:pt idx="1047">
                  <c:v>103.42588147420548</c:v>
                </c:pt>
                <c:pt idx="1048">
                  <c:v>103.44437916914937</c:v>
                </c:pt>
                <c:pt idx="1049">
                  <c:v>103.46288017240174</c:v>
                </c:pt>
                <c:pt idx="1050">
                  <c:v>103.48138448455416</c:v>
                </c:pt>
                <c:pt idx="1051">
                  <c:v>103.4998921061986</c:v>
                </c:pt>
                <c:pt idx="1052">
                  <c:v>103.5184030379269</c:v>
                </c:pt>
                <c:pt idx="1053">
                  <c:v>103.53691728033102</c:v>
                </c:pt>
                <c:pt idx="1054">
                  <c:v>103.55543483400314</c:v>
                </c:pt>
                <c:pt idx="1055">
                  <c:v>103.57395569953542</c:v>
                </c:pt>
                <c:pt idx="1056">
                  <c:v>103.59247987752023</c:v>
                </c:pt>
                <c:pt idx="1057">
                  <c:v>103.61100736854996</c:v>
                </c:pt>
                <c:pt idx="1058">
                  <c:v>103.6295381732172</c:v>
                </c:pt>
                <c:pt idx="1059">
                  <c:v>103.64807229211446</c:v>
                </c:pt>
                <c:pt idx="1060">
                  <c:v>103.66660972583466</c:v>
                </c:pt>
                <c:pt idx="1061">
                  <c:v>103.68515047497061</c:v>
                </c:pt>
                <c:pt idx="1062">
                  <c:v>103.70369454011524</c:v>
                </c:pt>
                <c:pt idx="1063">
                  <c:v>103.72224192186162</c:v>
                </c:pt>
                <c:pt idx="1064">
                  <c:v>103.74079262080294</c:v>
                </c:pt>
                <c:pt idx="1065">
                  <c:v>103.75934663753247</c:v>
                </c:pt>
                <c:pt idx="1066">
                  <c:v>103.77790397264359</c:v>
                </c:pt>
                <c:pt idx="1067">
                  <c:v>103.79646462672979</c:v>
                </c:pt>
                <c:pt idx="1068">
                  <c:v>103.81502860038459</c:v>
                </c:pt>
                <c:pt idx="1069">
                  <c:v>103.83359589420186</c:v>
                </c:pt>
                <c:pt idx="1070">
                  <c:v>103.85216650877533</c:v>
                </c:pt>
                <c:pt idx="1071">
                  <c:v>103.87074044469894</c:v>
                </c:pt>
                <c:pt idx="1072">
                  <c:v>103.88931770256664</c:v>
                </c:pt>
                <c:pt idx="1073">
                  <c:v>103.90789828297264</c:v>
                </c:pt>
                <c:pt idx="1074">
                  <c:v>103.92648218651114</c:v>
                </c:pt>
                <c:pt idx="1075">
                  <c:v>103.94506941377648</c:v>
                </c:pt>
                <c:pt idx="1076">
                  <c:v>103.96365996536311</c:v>
                </c:pt>
                <c:pt idx="1077">
                  <c:v>103.98225384186549</c:v>
                </c:pt>
                <c:pt idx="1078">
                  <c:v>104.00085104387847</c:v>
                </c:pt>
                <c:pt idx="1079">
                  <c:v>104.01945157199673</c:v>
                </c:pt>
                <c:pt idx="1080">
                  <c:v>104.03805542681512</c:v>
                </c:pt>
                <c:pt idx="1081">
                  <c:v>104.05666260892863</c:v>
                </c:pt>
                <c:pt idx="1082">
                  <c:v>104.07527311893236</c:v>
                </c:pt>
                <c:pt idx="1083">
                  <c:v>104.09388695742152</c:v>
                </c:pt>
                <c:pt idx="1084">
                  <c:v>104.11250412499133</c:v>
                </c:pt>
                <c:pt idx="1085">
                  <c:v>104.13112462223728</c:v>
                </c:pt>
                <c:pt idx="1086">
                  <c:v>104.14974844975477</c:v>
                </c:pt>
                <c:pt idx="1087">
                  <c:v>104.16837560813956</c:v>
                </c:pt>
                <c:pt idx="1088">
                  <c:v>104.18700609798732</c:v>
                </c:pt>
                <c:pt idx="1089">
                  <c:v>104.20563991989388</c:v>
                </c:pt>
                <c:pt idx="1090">
                  <c:v>104.22427707445517</c:v>
                </c:pt>
                <c:pt idx="1091">
                  <c:v>104.24291756226724</c:v>
                </c:pt>
                <c:pt idx="1092">
                  <c:v>104.26156138392622</c:v>
                </c:pt>
                <c:pt idx="1093">
                  <c:v>104.2802085400284</c:v>
                </c:pt>
                <c:pt idx="1094">
                  <c:v>104.29885903117014</c:v>
                </c:pt>
                <c:pt idx="1095">
                  <c:v>104.31751285794778</c:v>
                </c:pt>
                <c:pt idx="1096">
                  <c:v>104.33617002095812</c:v>
                </c:pt>
                <c:pt idx="1097">
                  <c:v>104.35483052079776</c:v>
                </c:pt>
                <c:pt idx="1098">
                  <c:v>104.37349435806345</c:v>
                </c:pt>
                <c:pt idx="1099">
                  <c:v>104.39216153335214</c:v>
                </c:pt>
                <c:pt idx="1100">
                  <c:v>104.41083204726078</c:v>
                </c:pt>
                <c:pt idx="1101">
                  <c:v>104.42950590038652</c:v>
                </c:pt>
                <c:pt idx="1102">
                  <c:v>104.44818309332655</c:v>
                </c:pt>
                <c:pt idx="1103">
                  <c:v>104.46686362667825</c:v>
                </c:pt>
                <c:pt idx="1104">
                  <c:v>104.48554750103887</c:v>
                </c:pt>
                <c:pt idx="1105">
                  <c:v>104.50423471700621</c:v>
                </c:pt>
                <c:pt idx="1106">
                  <c:v>104.52292527517781</c:v>
                </c:pt>
                <c:pt idx="1107">
                  <c:v>104.54161917615139</c:v>
                </c:pt>
                <c:pt idx="1108">
                  <c:v>104.56031642052483</c:v>
                </c:pt>
                <c:pt idx="1109">
                  <c:v>104.5790170088961</c:v>
                </c:pt>
                <c:pt idx="1110">
                  <c:v>104.59772094186327</c:v>
                </c:pt>
                <c:pt idx="1111">
                  <c:v>104.6164282200245</c:v>
                </c:pt>
                <c:pt idx="1112">
                  <c:v>104.63513884397813</c:v>
                </c:pt>
                <c:pt idx="1113">
                  <c:v>104.65385281432241</c:v>
                </c:pt>
                <c:pt idx="1114">
                  <c:v>104.67257013165603</c:v>
                </c:pt>
                <c:pt idx="1115">
                  <c:v>104.69129079657755</c:v>
                </c:pt>
                <c:pt idx="1116">
                  <c:v>104.71001480968562</c:v>
                </c:pt>
                <c:pt idx="1117">
                  <c:v>104.72874217157911</c:v>
                </c:pt>
                <c:pt idx="1118">
                  <c:v>104.74747288285695</c:v>
                </c:pt>
                <c:pt idx="1119">
                  <c:v>104.76620694411815</c:v>
                </c:pt>
                <c:pt idx="1120">
                  <c:v>104.78494435596187</c:v>
                </c:pt>
                <c:pt idx="1121">
                  <c:v>104.80368511898736</c:v>
                </c:pt>
                <c:pt idx="1122">
                  <c:v>104.82242923379387</c:v>
                </c:pt>
                <c:pt idx="1123">
                  <c:v>104.84117670098108</c:v>
                </c:pt>
                <c:pt idx="1124">
                  <c:v>104.85992752114845</c:v>
                </c:pt>
                <c:pt idx="1125">
                  <c:v>104.87868169489566</c:v>
                </c:pt>
                <c:pt idx="1126">
                  <c:v>104.89743922282251</c:v>
                </c:pt>
                <c:pt idx="1127">
                  <c:v>104.91620010552887</c:v>
                </c:pt>
                <c:pt idx="1128">
                  <c:v>104.93496434361477</c:v>
                </c:pt>
                <c:pt idx="1129">
                  <c:v>104.9537319376803</c:v>
                </c:pt>
                <c:pt idx="1130">
                  <c:v>104.97250288832566</c:v>
                </c:pt>
                <c:pt idx="1131">
                  <c:v>104.99127719615115</c:v>
                </c:pt>
                <c:pt idx="1132">
                  <c:v>105.01005486175731</c:v>
                </c:pt>
                <c:pt idx="1133">
                  <c:v>105.0288358857446</c:v>
                </c:pt>
                <c:pt idx="1134">
                  <c:v>105.0476202687137</c:v>
                </c:pt>
                <c:pt idx="1135">
                  <c:v>105.06640801126534</c:v>
                </c:pt>
                <c:pt idx="1136">
                  <c:v>105.08519911400039</c:v>
                </c:pt>
                <c:pt idx="1137">
                  <c:v>105.1039935775198</c:v>
                </c:pt>
                <c:pt idx="1138">
                  <c:v>105.12279140242465</c:v>
                </c:pt>
                <c:pt idx="1139">
                  <c:v>105.14159258931615</c:v>
                </c:pt>
                <c:pt idx="1140">
                  <c:v>105.16039713879545</c:v>
                </c:pt>
                <c:pt idx="1141">
                  <c:v>105.17920505146418</c:v>
                </c:pt>
                <c:pt idx="1142">
                  <c:v>105.19801632792372</c:v>
                </c:pt>
                <c:pt idx="1143">
                  <c:v>105.21683096877572</c:v>
                </c:pt>
                <c:pt idx="1144">
                  <c:v>105.23564897462188</c:v>
                </c:pt>
                <c:pt idx="1145">
                  <c:v>105.254470346064</c:v>
                </c:pt>
                <c:pt idx="1146">
                  <c:v>105.27329508370406</c:v>
                </c:pt>
                <c:pt idx="1147">
                  <c:v>105.29212318814407</c:v>
                </c:pt>
                <c:pt idx="1148">
                  <c:v>105.31095465998622</c:v>
                </c:pt>
                <c:pt idx="1149">
                  <c:v>105.32978949983264</c:v>
                </c:pt>
                <c:pt idx="1150">
                  <c:v>105.3486277082859</c:v>
                </c:pt>
                <c:pt idx="1151">
                  <c:v>105.36746928594837</c:v>
                </c:pt>
                <c:pt idx="1152">
                  <c:v>105.38631423342267</c:v>
                </c:pt>
                <c:pt idx="1153">
                  <c:v>105.40516255131145</c:v>
                </c:pt>
                <c:pt idx="1154">
                  <c:v>105.4240142402175</c:v>
                </c:pt>
                <c:pt idx="1155">
                  <c:v>105.44286930074374</c:v>
                </c:pt>
                <c:pt idx="1156">
                  <c:v>105.46172773349321</c:v>
                </c:pt>
                <c:pt idx="1157">
                  <c:v>105.48058953906899</c:v>
                </c:pt>
                <c:pt idx="1158">
                  <c:v>105.49945471807433</c:v>
                </c:pt>
                <c:pt idx="1159">
                  <c:v>105.51832327111249</c:v>
                </c:pt>
                <c:pt idx="1160">
                  <c:v>105.53719519878706</c:v>
                </c:pt>
                <c:pt idx="1161">
                  <c:v>105.55607050170154</c:v>
                </c:pt>
                <c:pt idx="1162">
                  <c:v>105.57494918045957</c:v>
                </c:pt>
                <c:pt idx="1163">
                  <c:v>105.59383123566492</c:v>
                </c:pt>
                <c:pt idx="1164">
                  <c:v>105.61271666792148</c:v>
                </c:pt>
                <c:pt idx="1165">
                  <c:v>105.6316054778332</c:v>
                </c:pt>
                <c:pt idx="1166">
                  <c:v>105.65049766600423</c:v>
                </c:pt>
                <c:pt idx="1167">
                  <c:v>105.66939323303872</c:v>
                </c:pt>
                <c:pt idx="1168">
                  <c:v>105.68829217954089</c:v>
                </c:pt>
                <c:pt idx="1169">
                  <c:v>105.70719450611537</c:v>
                </c:pt>
                <c:pt idx="1170">
                  <c:v>105.72610021336659</c:v>
                </c:pt>
                <c:pt idx="1171">
                  <c:v>105.74500930189917</c:v>
                </c:pt>
                <c:pt idx="1172">
                  <c:v>105.76392177231784</c:v>
                </c:pt>
                <c:pt idx="1173">
                  <c:v>105.78283762522749</c:v>
                </c:pt>
                <c:pt idx="1174">
                  <c:v>105.80175686123303</c:v>
                </c:pt>
                <c:pt idx="1175">
                  <c:v>105.82067948093953</c:v>
                </c:pt>
                <c:pt idx="1176">
                  <c:v>105.8396054849522</c:v>
                </c:pt>
                <c:pt idx="1177">
                  <c:v>105.85853487387622</c:v>
                </c:pt>
                <c:pt idx="1178">
                  <c:v>105.87746764831715</c:v>
                </c:pt>
                <c:pt idx="1179">
                  <c:v>105.89640380888041</c:v>
                </c:pt>
                <c:pt idx="1180">
                  <c:v>105.91534335617159</c:v>
                </c:pt>
                <c:pt idx="1181">
                  <c:v>105.93428629079642</c:v>
                </c:pt>
                <c:pt idx="1182">
                  <c:v>105.95323261336071</c:v>
                </c:pt>
                <c:pt idx="1183">
                  <c:v>105.97218232447041</c:v>
                </c:pt>
                <c:pt idx="1184">
                  <c:v>105.99113542473155</c:v>
                </c:pt>
                <c:pt idx="1185">
                  <c:v>106.01009191475029</c:v>
                </c:pt>
                <c:pt idx="1186">
                  <c:v>106.02905179513276</c:v>
                </c:pt>
                <c:pt idx="1187">
                  <c:v>106.04801506648566</c:v>
                </c:pt>
                <c:pt idx="1188">
                  <c:v>106.06698172941515</c:v>
                </c:pt>
                <c:pt idx="1189">
                  <c:v>106.08595178452791</c:v>
                </c:pt>
                <c:pt idx="1190">
                  <c:v>106.10492523243063</c:v>
                </c:pt>
                <c:pt idx="1191">
                  <c:v>106.12390207373009</c:v>
                </c:pt>
                <c:pt idx="1192">
                  <c:v>106.14288230903327</c:v>
                </c:pt>
                <c:pt idx="1193">
                  <c:v>106.1618659389471</c:v>
                </c:pt>
                <c:pt idx="1194">
                  <c:v>106.18085296407874</c:v>
                </c:pt>
                <c:pt idx="1195">
                  <c:v>106.19984338503535</c:v>
                </c:pt>
                <c:pt idx="1196">
                  <c:v>106.21883720242444</c:v>
                </c:pt>
                <c:pt idx="1197">
                  <c:v>106.23783441685337</c:v>
                </c:pt>
                <c:pt idx="1198">
                  <c:v>106.25683502892971</c:v>
                </c:pt>
                <c:pt idx="1199">
                  <c:v>106.2758390392611</c:v>
                </c:pt>
                <c:pt idx="1200">
                  <c:v>106.29484644845535</c:v>
                </c:pt>
                <c:pt idx="1201">
                  <c:v>106.3138572571203</c:v>
                </c:pt>
                <c:pt idx="1202">
                  <c:v>106.33287146586402</c:v>
                </c:pt>
                <c:pt idx="1203">
                  <c:v>106.35188907529455</c:v>
                </c:pt>
                <c:pt idx="1204">
                  <c:v>106.37091008602003</c:v>
                </c:pt>
                <c:pt idx="1205">
                  <c:v>106.38993449864896</c:v>
                </c:pt>
                <c:pt idx="1206">
                  <c:v>106.40896231378967</c:v>
                </c:pt>
                <c:pt idx="1207">
                  <c:v>106.42799353205075</c:v>
                </c:pt>
                <c:pt idx="1208">
                  <c:v>106.44702815404077</c:v>
                </c:pt>
                <c:pt idx="1209">
                  <c:v>106.46606618036853</c:v>
                </c:pt>
                <c:pt idx="1210">
                  <c:v>106.4851076116429</c:v>
                </c:pt>
                <c:pt idx="1211">
                  <c:v>106.50415244847285</c:v>
                </c:pt>
                <c:pt idx="1212">
                  <c:v>106.52320069146744</c:v>
                </c:pt>
                <c:pt idx="1213">
                  <c:v>106.54225234123578</c:v>
                </c:pt>
                <c:pt idx="1214">
                  <c:v>106.56130739838737</c:v>
                </c:pt>
                <c:pt idx="1215">
                  <c:v>106.58036586353151</c:v>
                </c:pt>
                <c:pt idx="1216">
                  <c:v>106.59942773727774</c:v>
                </c:pt>
                <c:pt idx="1217">
                  <c:v>106.61849302023566</c:v>
                </c:pt>
                <c:pt idx="1218">
                  <c:v>106.63756171301503</c:v>
                </c:pt>
                <c:pt idx="1219">
                  <c:v>106.65663381622568</c:v>
                </c:pt>
                <c:pt idx="1220">
                  <c:v>106.67570933047757</c:v>
                </c:pt>
                <c:pt idx="1221">
                  <c:v>106.69478825638079</c:v>
                </c:pt>
                <c:pt idx="1222">
                  <c:v>106.71387059454536</c:v>
                </c:pt>
                <c:pt idx="1223">
                  <c:v>106.7329563455818</c:v>
                </c:pt>
                <c:pt idx="1224">
                  <c:v>106.7520455101004</c:v>
                </c:pt>
                <c:pt idx="1225">
                  <c:v>106.77113808871164</c:v>
                </c:pt>
                <c:pt idx="1226">
                  <c:v>106.79023408202615</c:v>
                </c:pt>
                <c:pt idx="1227">
                  <c:v>106.80933349065464</c:v>
                </c:pt>
                <c:pt idx="1228">
                  <c:v>106.82843631520792</c:v>
                </c:pt>
                <c:pt idx="1229">
                  <c:v>106.84754255629696</c:v>
                </c:pt>
                <c:pt idx="1230">
                  <c:v>106.86665221453279</c:v>
                </c:pt>
                <c:pt idx="1231">
                  <c:v>106.88576529052649</c:v>
                </c:pt>
                <c:pt idx="1232">
                  <c:v>106.90488178488948</c:v>
                </c:pt>
                <c:pt idx="1233">
                  <c:v>106.92400169823307</c:v>
                </c:pt>
                <c:pt idx="1234">
                  <c:v>106.94312503116872</c:v>
                </c:pt>
                <c:pt idx="1235">
                  <c:v>106.96225178430805</c:v>
                </c:pt>
                <c:pt idx="1236">
                  <c:v>106.98138195826274</c:v>
                </c:pt>
                <c:pt idx="1237">
                  <c:v>107.0005155536446</c:v>
                </c:pt>
                <c:pt idx="1238">
                  <c:v>107.01965257106558</c:v>
                </c:pt>
                <c:pt idx="1239">
                  <c:v>107.0387930111377</c:v>
                </c:pt>
                <c:pt idx="1240">
                  <c:v>107.05793687447309</c:v>
                </c:pt>
                <c:pt idx="1241">
                  <c:v>107.07708416168389</c:v>
                </c:pt>
                <c:pt idx="1242">
                  <c:v>107.09623487338267</c:v>
                </c:pt>
                <c:pt idx="1243">
                  <c:v>107.1153890101818</c:v>
                </c:pt>
                <c:pt idx="1244">
                  <c:v>107.13454657269388</c:v>
                </c:pt>
                <c:pt idx="1245">
                  <c:v>107.15370756153156</c:v>
                </c:pt>
                <c:pt idx="1246">
                  <c:v>107.17287197730765</c:v>
                </c:pt>
                <c:pt idx="1247">
                  <c:v>107.19203982063507</c:v>
                </c:pt>
                <c:pt idx="1248">
                  <c:v>107.21121109212685</c:v>
                </c:pt>
                <c:pt idx="1249">
                  <c:v>107.23038579239608</c:v>
                </c:pt>
                <c:pt idx="1250">
                  <c:v>107.2495639220559</c:v>
                </c:pt>
                <c:pt idx="1251">
                  <c:v>107.26874548171989</c:v>
                </c:pt>
                <c:pt idx="1252">
                  <c:v>107.28793047200135</c:v>
                </c:pt>
                <c:pt idx="1253">
                  <c:v>107.3071188935139</c:v>
                </c:pt>
                <c:pt idx="1254">
                  <c:v>107.3263107468712</c:v>
                </c:pt>
                <c:pt idx="1255">
                  <c:v>107.34550603268701</c:v>
                </c:pt>
                <c:pt idx="1256">
                  <c:v>107.36470475157525</c:v>
                </c:pt>
                <c:pt idx="1257">
                  <c:v>107.38390690414991</c:v>
                </c:pt>
                <c:pt idx="1258">
                  <c:v>107.40311249102511</c:v>
                </c:pt>
                <c:pt idx="1259">
                  <c:v>107.42232151281499</c:v>
                </c:pt>
                <c:pt idx="1260">
                  <c:v>107.44153397013405</c:v>
                </c:pt>
                <c:pt idx="1261">
                  <c:v>107.46074986359666</c:v>
                </c:pt>
                <c:pt idx="1262">
                  <c:v>107.47996919381737</c:v>
                </c:pt>
                <c:pt idx="1263">
                  <c:v>107.4991919614108</c:v>
                </c:pt>
                <c:pt idx="1264">
                  <c:v>107.51841816699181</c:v>
                </c:pt>
                <c:pt idx="1265">
                  <c:v>107.53764781117522</c:v>
                </c:pt>
                <c:pt idx="1266">
                  <c:v>107.55688089457601</c:v>
                </c:pt>
                <c:pt idx="1267">
                  <c:v>107.57611741780934</c:v>
                </c:pt>
                <c:pt idx="1268">
                  <c:v>107.59535738149029</c:v>
                </c:pt>
                <c:pt idx="1269">
                  <c:v>107.61460078623438</c:v>
                </c:pt>
                <c:pt idx="1270">
                  <c:v>107.63384763265695</c:v>
                </c:pt>
                <c:pt idx="1271">
                  <c:v>107.65309792137357</c:v>
                </c:pt>
                <c:pt idx="1272">
                  <c:v>107.67235165299985</c:v>
                </c:pt>
                <c:pt idx="1273">
                  <c:v>107.69160882815157</c:v>
                </c:pt>
                <c:pt idx="1274">
                  <c:v>107.71086944744459</c:v>
                </c:pt>
                <c:pt idx="1275">
                  <c:v>107.73013351149493</c:v>
                </c:pt>
                <c:pt idx="1276">
                  <c:v>107.74940102091865</c:v>
                </c:pt>
                <c:pt idx="1277">
                  <c:v>107.76867197633187</c:v>
                </c:pt>
                <c:pt idx="1278">
                  <c:v>107.78794637835112</c:v>
                </c:pt>
                <c:pt idx="1279">
                  <c:v>107.8072242275927</c:v>
                </c:pt>
                <c:pt idx="1280">
                  <c:v>107.82650552467312</c:v>
                </c:pt>
                <c:pt idx="1281">
                  <c:v>107.84579027020911</c:v>
                </c:pt>
                <c:pt idx="1282">
                  <c:v>107.86507846481732</c:v>
                </c:pt>
                <c:pt idx="1283">
                  <c:v>107.8843701091147</c:v>
                </c:pt>
                <c:pt idx="1284">
                  <c:v>107.90366520371818</c:v>
                </c:pt>
                <c:pt idx="1285">
                  <c:v>107.92296374924486</c:v>
                </c:pt>
                <c:pt idx="1286">
                  <c:v>107.94226574631185</c:v>
                </c:pt>
                <c:pt idx="1287">
                  <c:v>107.96157119553664</c:v>
                </c:pt>
                <c:pt idx="1288">
                  <c:v>107.98088009753653</c:v>
                </c:pt>
                <c:pt idx="1289">
                  <c:v>108.0001924529291</c:v>
                </c:pt>
                <c:pt idx="1290">
                  <c:v>108.01950826233194</c:v>
                </c:pt>
                <c:pt idx="1291">
                  <c:v>108.03882752636282</c:v>
                </c:pt>
                <c:pt idx="1292">
                  <c:v>108.0581502456396</c:v>
                </c:pt>
                <c:pt idx="1293">
                  <c:v>108.07747642078023</c:v>
                </c:pt>
                <c:pt idx="1294">
                  <c:v>108.09680605240283</c:v>
                </c:pt>
                <c:pt idx="1295">
                  <c:v>108.11613914112549</c:v>
                </c:pt>
                <c:pt idx="1296">
                  <c:v>108.13547568756664</c:v>
                </c:pt>
                <c:pt idx="1297">
                  <c:v>108.15481569234467</c:v>
                </c:pt>
                <c:pt idx="1298">
                  <c:v>108.17415915607808</c:v>
                </c:pt>
                <c:pt idx="1299">
                  <c:v>108.19350607938546</c:v>
                </c:pt>
                <c:pt idx="1300">
                  <c:v>108.21285646288563</c:v>
                </c:pt>
                <c:pt idx="1301">
                  <c:v>108.23221030719739</c:v>
                </c:pt>
                <c:pt idx="1302">
                  <c:v>108.25156761293972</c:v>
                </c:pt>
                <c:pt idx="1303">
                  <c:v>108.2709283807317</c:v>
                </c:pt>
                <c:pt idx="1304">
                  <c:v>108.29029261119243</c:v>
                </c:pt>
                <c:pt idx="1305">
                  <c:v>108.30966030494137</c:v>
                </c:pt>
                <c:pt idx="1306">
                  <c:v>108.32903146259787</c:v>
                </c:pt>
                <c:pt idx="1307">
                  <c:v>108.34840608478142</c:v>
                </c:pt>
                <c:pt idx="1308">
                  <c:v>108.36778417211166</c:v>
                </c:pt>
                <c:pt idx="1309">
                  <c:v>108.38716572520835</c:v>
                </c:pt>
                <c:pt idx="1310">
                  <c:v>108.40655074469129</c:v>
                </c:pt>
                <c:pt idx="1311">
                  <c:v>108.42593923118049</c:v>
                </c:pt>
                <c:pt idx="1312">
                  <c:v>108.445331185296</c:v>
                </c:pt>
                <c:pt idx="1313">
                  <c:v>108.46472660765792</c:v>
                </c:pt>
                <c:pt idx="1314">
                  <c:v>108.48412549888673</c:v>
                </c:pt>
                <c:pt idx="1315">
                  <c:v>108.50352785960274</c:v>
                </c:pt>
                <c:pt idx="1316">
                  <c:v>108.52293369042648</c:v>
                </c:pt>
                <c:pt idx="1317">
                  <c:v>108.54234299197856</c:v>
                </c:pt>
                <c:pt idx="1318">
                  <c:v>108.56175576487973</c:v>
                </c:pt>
                <c:pt idx="1319">
                  <c:v>108.58117200975084</c:v>
                </c:pt>
                <c:pt idx="1320">
                  <c:v>108.60059172721284</c:v>
                </c:pt>
                <c:pt idx="1321">
                  <c:v>108.62001491788682</c:v>
                </c:pt>
                <c:pt idx="1322">
                  <c:v>108.63944158239386</c:v>
                </c:pt>
                <c:pt idx="1323">
                  <c:v>108.65887172135542</c:v>
                </c:pt>
                <c:pt idx="1324">
                  <c:v>108.67830533539284</c:v>
                </c:pt>
                <c:pt idx="1325">
                  <c:v>108.69774242512764</c:v>
                </c:pt>
                <c:pt idx="1326">
                  <c:v>108.71718299118143</c:v>
                </c:pt>
                <c:pt idx="1327">
                  <c:v>108.73662703417597</c:v>
                </c:pt>
                <c:pt idx="1328">
                  <c:v>108.75607455473308</c:v>
                </c:pt>
                <c:pt idx="1329">
                  <c:v>108.77552555347472</c:v>
                </c:pt>
                <c:pt idx="1330">
                  <c:v>108.794980031023</c:v>
                </c:pt>
                <c:pt idx="1331">
                  <c:v>108.81443798799999</c:v>
                </c:pt>
                <c:pt idx="1332">
                  <c:v>108.83389942502818</c:v>
                </c:pt>
                <c:pt idx="1333">
                  <c:v>108.85336434272985</c:v>
                </c:pt>
                <c:pt idx="1334">
                  <c:v>108.87283274172755</c:v>
                </c:pt>
                <c:pt idx="1335">
                  <c:v>108.89230462264392</c:v>
                </c:pt>
                <c:pt idx="1336">
                  <c:v>108.91177998610166</c:v>
                </c:pt>
                <c:pt idx="1337">
                  <c:v>108.93125883272366</c:v>
                </c:pt>
                <c:pt idx="1338">
                  <c:v>108.95074116313286</c:v>
                </c:pt>
                <c:pt idx="1339">
                  <c:v>108.97022697795234</c:v>
                </c:pt>
                <c:pt idx="1340">
                  <c:v>108.98971627780517</c:v>
                </c:pt>
                <c:pt idx="1341">
                  <c:v>109.0092090633149</c:v>
                </c:pt>
                <c:pt idx="1342">
                  <c:v>109.02870533510477</c:v>
                </c:pt>
                <c:pt idx="1343">
                  <c:v>109.04820509379834</c:v>
                </c:pt>
                <c:pt idx="1344">
                  <c:v>109.06770834001924</c:v>
                </c:pt>
                <c:pt idx="1345">
                  <c:v>109.08721507439121</c:v>
                </c:pt>
                <c:pt idx="1346">
                  <c:v>109.10672529753811</c:v>
                </c:pt>
                <c:pt idx="1347">
                  <c:v>109.12623901008399</c:v>
                </c:pt>
                <c:pt idx="1348">
                  <c:v>109.14575621265273</c:v>
                </c:pt>
                <c:pt idx="1349">
                  <c:v>109.16527690586867</c:v>
                </c:pt>
                <c:pt idx="1350">
                  <c:v>109.18480109035592</c:v>
                </c:pt>
                <c:pt idx="1351">
                  <c:v>109.20432876673918</c:v>
                </c:pt>
                <c:pt idx="1352">
                  <c:v>109.22385993564281</c:v>
                </c:pt>
                <c:pt idx="1353">
                  <c:v>109.24339459769148</c:v>
                </c:pt>
                <c:pt idx="1354">
                  <c:v>109.26293275350994</c:v>
                </c:pt>
                <c:pt idx="1355">
                  <c:v>109.28247440372304</c:v>
                </c:pt>
                <c:pt idx="1356">
                  <c:v>109.30201954895576</c:v>
                </c:pt>
                <c:pt idx="1357">
                  <c:v>109.32156818983319</c:v>
                </c:pt>
                <c:pt idx="1358">
                  <c:v>109.34112032698049</c:v>
                </c:pt>
                <c:pt idx="1359">
                  <c:v>109.36067596102288</c:v>
                </c:pt>
                <c:pt idx="1360">
                  <c:v>109.38023509258599</c:v>
                </c:pt>
                <c:pt idx="1361">
                  <c:v>109.39979772229528</c:v>
                </c:pt>
                <c:pt idx="1362">
                  <c:v>109.41936385077634</c:v>
                </c:pt>
                <c:pt idx="1363">
                  <c:v>109.43893347865496</c:v>
                </c:pt>
                <c:pt idx="1364">
                  <c:v>109.45850660655697</c:v>
                </c:pt>
                <c:pt idx="1365">
                  <c:v>109.4780832351084</c:v>
                </c:pt>
                <c:pt idx="1366">
                  <c:v>109.49766336493529</c:v>
                </c:pt>
                <c:pt idx="1367">
                  <c:v>109.51724699666386</c:v>
                </c:pt>
                <c:pt idx="1368">
                  <c:v>109.53683413092034</c:v>
                </c:pt>
                <c:pt idx="1369">
                  <c:v>109.55642476833135</c:v>
                </c:pt>
                <c:pt idx="1370">
                  <c:v>109.57601890952333</c:v>
                </c:pt>
                <c:pt idx="1371">
                  <c:v>109.59561655512289</c:v>
                </c:pt>
                <c:pt idx="1372">
                  <c:v>109.61521770575685</c:v>
                </c:pt>
                <c:pt idx="1373">
                  <c:v>109.63482236205205</c:v>
                </c:pt>
                <c:pt idx="1374">
                  <c:v>109.6544305246355</c:v>
                </c:pt>
                <c:pt idx="1375">
                  <c:v>109.67404219413427</c:v>
                </c:pt>
                <c:pt idx="1376">
                  <c:v>109.6936573711756</c:v>
                </c:pt>
                <c:pt idx="1377">
                  <c:v>109.7132760563867</c:v>
                </c:pt>
                <c:pt idx="1378">
                  <c:v>109.73289825039519</c:v>
                </c:pt>
                <c:pt idx="1379">
                  <c:v>109.75252395382856</c:v>
                </c:pt>
                <c:pt idx="1380">
                  <c:v>109.77215316731443</c:v>
                </c:pt>
                <c:pt idx="1381">
                  <c:v>109.79178589148057</c:v>
                </c:pt>
                <c:pt idx="1382">
                  <c:v>109.81142212695489</c:v>
                </c:pt>
                <c:pt idx="1383">
                  <c:v>109.8310618743654</c:v>
                </c:pt>
                <c:pt idx="1384">
                  <c:v>109.85070513434015</c:v>
                </c:pt>
                <c:pt idx="1385">
                  <c:v>109.87035190750741</c:v>
                </c:pt>
                <c:pt idx="1386">
                  <c:v>109.89000219449539</c:v>
                </c:pt>
                <c:pt idx="1387">
                  <c:v>109.90965599593278</c:v>
                </c:pt>
                <c:pt idx="1388">
                  <c:v>109.92931331244796</c:v>
                </c:pt>
                <c:pt idx="1389">
                  <c:v>109.94897414466966</c:v>
                </c:pt>
                <c:pt idx="1390">
                  <c:v>109.96863849322666</c:v>
                </c:pt>
                <c:pt idx="1391">
                  <c:v>109.98830635874785</c:v>
                </c:pt>
                <c:pt idx="1392">
                  <c:v>110.00797774186222</c:v>
                </c:pt>
                <c:pt idx="1393">
                  <c:v>110.02765264319891</c:v>
                </c:pt>
                <c:pt idx="1394">
                  <c:v>110.04733106338713</c:v>
                </c:pt>
                <c:pt idx="1395">
                  <c:v>110.06701300305615</c:v>
                </c:pt>
                <c:pt idx="1396">
                  <c:v>110.08669846283561</c:v>
                </c:pt>
                <c:pt idx="1397">
                  <c:v>110.10638744335503</c:v>
                </c:pt>
                <c:pt idx="1398">
                  <c:v>110.12607994524402</c:v>
                </c:pt>
                <c:pt idx="1399">
                  <c:v>110.14577596913242</c:v>
                </c:pt>
                <c:pt idx="1400">
                  <c:v>110.16547551565013</c:v>
                </c:pt>
                <c:pt idx="1401">
                  <c:v>110.18517858542718</c:v>
                </c:pt>
                <c:pt idx="1402">
                  <c:v>110.20488517909369</c:v>
                </c:pt>
                <c:pt idx="1403">
                  <c:v>110.22459529727992</c:v>
                </c:pt>
                <c:pt idx="1404">
                  <c:v>110.24430894061609</c:v>
                </c:pt>
                <c:pt idx="1405">
                  <c:v>110.26402610973292</c:v>
                </c:pt>
                <c:pt idx="1406">
                  <c:v>110.2837468052609</c:v>
                </c:pt>
                <c:pt idx="1407">
                  <c:v>110.3034710278307</c:v>
                </c:pt>
                <c:pt idx="1408">
                  <c:v>110.32319877807313</c:v>
                </c:pt>
                <c:pt idx="1409">
                  <c:v>110.34293005661912</c:v>
                </c:pt>
                <c:pt idx="1410">
                  <c:v>110.3626648640997</c:v>
                </c:pt>
                <c:pt idx="1411">
                  <c:v>110.38240320114603</c:v>
                </c:pt>
                <c:pt idx="1412">
                  <c:v>110.40214506838939</c:v>
                </c:pt>
                <c:pt idx="1413">
                  <c:v>110.42189046646102</c:v>
                </c:pt>
                <c:pt idx="1414">
                  <c:v>110.44163939599261</c:v>
                </c:pt>
                <c:pt idx="1415">
                  <c:v>110.46139185761569</c:v>
                </c:pt>
                <c:pt idx="1416">
                  <c:v>110.48114785196195</c:v>
                </c:pt>
                <c:pt idx="1417">
                  <c:v>110.5009073796632</c:v>
                </c:pt>
                <c:pt idx="1418">
                  <c:v>110.52067044135143</c:v>
                </c:pt>
                <c:pt idx="1419">
                  <c:v>110.54043703765865</c:v>
                </c:pt>
                <c:pt idx="1420">
                  <c:v>110.56020716921705</c:v>
                </c:pt>
                <c:pt idx="1421">
                  <c:v>110.57998083665889</c:v>
                </c:pt>
                <c:pt idx="1422">
                  <c:v>110.59975804061649</c:v>
                </c:pt>
                <c:pt idx="1423">
                  <c:v>110.61953878172251</c:v>
                </c:pt>
                <c:pt idx="1424">
                  <c:v>110.63932306060953</c:v>
                </c:pt>
                <c:pt idx="1425">
                  <c:v>110.65911087791021</c:v>
                </c:pt>
                <c:pt idx="1426">
                  <c:v>110.67890223425746</c:v>
                </c:pt>
                <c:pt idx="1427">
                  <c:v>110.69869713028419</c:v>
                </c:pt>
                <c:pt idx="1428">
                  <c:v>110.71849556662349</c:v>
                </c:pt>
                <c:pt idx="1429">
                  <c:v>110.73829754390854</c:v>
                </c:pt>
                <c:pt idx="1430">
                  <c:v>110.75810306277266</c:v>
                </c:pt>
                <c:pt idx="1431">
                  <c:v>110.77791212384913</c:v>
                </c:pt>
                <c:pt idx="1432">
                  <c:v>110.79772472777168</c:v>
                </c:pt>
                <c:pt idx="1433">
                  <c:v>110.81754087517386</c:v>
                </c:pt>
                <c:pt idx="1434">
                  <c:v>110.8373605666894</c:v>
                </c:pt>
                <c:pt idx="1435">
                  <c:v>110.85718380295218</c:v>
                </c:pt>
                <c:pt idx="1436">
                  <c:v>110.87701058459618</c:v>
                </c:pt>
                <c:pt idx="1437">
                  <c:v>110.89684091225548</c:v>
                </c:pt>
                <c:pt idx="1438">
                  <c:v>110.9166747865643</c:v>
                </c:pt>
                <c:pt idx="1439">
                  <c:v>110.93651220815693</c:v>
                </c:pt>
                <c:pt idx="1440">
                  <c:v>110.95635317766774</c:v>
                </c:pt>
                <c:pt idx="1441">
                  <c:v>110.97619769573141</c:v>
                </c:pt>
                <c:pt idx="1442">
                  <c:v>110.99604576298258</c:v>
                </c:pt>
                <c:pt idx="1443">
                  <c:v>111.01589738005596</c:v>
                </c:pt>
                <c:pt idx="1444">
                  <c:v>111.03575254758644</c:v>
                </c:pt>
                <c:pt idx="1445">
                  <c:v>111.05561126620907</c:v>
                </c:pt>
                <c:pt idx="1446">
                  <c:v>111.0754735365589</c:v>
                </c:pt>
                <c:pt idx="1447">
                  <c:v>111.09533935927119</c:v>
                </c:pt>
                <c:pt idx="1448">
                  <c:v>111.11520873498128</c:v>
                </c:pt>
                <c:pt idx="1449">
                  <c:v>111.13508166432459</c:v>
                </c:pt>
                <c:pt idx="1450">
                  <c:v>111.15495814793663</c:v>
                </c:pt>
                <c:pt idx="1451">
                  <c:v>111.17483818645326</c:v>
                </c:pt>
                <c:pt idx="1452">
                  <c:v>111.19472178051015</c:v>
                </c:pt>
                <c:pt idx="1453">
                  <c:v>111.21460893074325</c:v>
                </c:pt>
                <c:pt idx="1454">
                  <c:v>111.23449963778856</c:v>
                </c:pt>
                <c:pt idx="1455">
                  <c:v>111.25439390228222</c:v>
                </c:pt>
                <c:pt idx="1456">
                  <c:v>111.27429172486046</c:v>
                </c:pt>
                <c:pt idx="1457">
                  <c:v>111.29419310615967</c:v>
                </c:pt>
                <c:pt idx="1458">
                  <c:v>111.31409804681634</c:v>
                </c:pt>
                <c:pt idx="1459">
                  <c:v>111.3340065474669</c:v>
                </c:pt>
                <c:pt idx="1460">
                  <c:v>111.35391860874829</c:v>
                </c:pt>
                <c:pt idx="1461">
                  <c:v>111.37383423129727</c:v>
                </c:pt>
                <c:pt idx="1462">
                  <c:v>111.39375341575068</c:v>
                </c:pt>
                <c:pt idx="1463">
                  <c:v>111.41367616274563</c:v>
                </c:pt>
                <c:pt idx="1464">
                  <c:v>111.43360247291928</c:v>
                </c:pt>
                <c:pt idx="1465">
                  <c:v>111.45353234690887</c:v>
                </c:pt>
                <c:pt idx="1466">
                  <c:v>111.47346578535182</c:v>
                </c:pt>
                <c:pt idx="1467">
                  <c:v>111.4934027888856</c:v>
                </c:pt>
                <c:pt idx="1468">
                  <c:v>111.51334335814776</c:v>
                </c:pt>
                <c:pt idx="1469">
                  <c:v>111.53328749377621</c:v>
                </c:pt>
                <c:pt idx="1470">
                  <c:v>111.55323519640872</c:v>
                </c:pt>
                <c:pt idx="1471">
                  <c:v>111.57318646668318</c:v>
                </c:pt>
                <c:pt idx="1472">
                  <c:v>111.59314130523774</c:v>
                </c:pt>
                <c:pt idx="1473">
                  <c:v>111.61309971271054</c:v>
                </c:pt>
                <c:pt idx="1474">
                  <c:v>111.6330616897399</c:v>
                </c:pt>
                <c:pt idx="1475">
                  <c:v>111.65302723696422</c:v>
                </c:pt>
                <c:pt idx="1476">
                  <c:v>111.67299635502204</c:v>
                </c:pt>
                <c:pt idx="1477">
                  <c:v>111.69296904455192</c:v>
                </c:pt>
                <c:pt idx="1478">
                  <c:v>111.71294530619276</c:v>
                </c:pt>
                <c:pt idx="1479">
                  <c:v>111.73292514058339</c:v>
                </c:pt>
                <c:pt idx="1480">
                  <c:v>111.75290854836277</c:v>
                </c:pt>
                <c:pt idx="1481">
                  <c:v>111.77289553016999</c:v>
                </c:pt>
                <c:pt idx="1482">
                  <c:v>111.79288608664427</c:v>
                </c:pt>
                <c:pt idx="1483">
                  <c:v>111.81288021842498</c:v>
                </c:pt>
                <c:pt idx="1484">
                  <c:v>111.8328779261515</c:v>
                </c:pt>
                <c:pt idx="1485">
                  <c:v>111.85287921046343</c:v>
                </c:pt>
                <c:pt idx="1486">
                  <c:v>111.87288407200029</c:v>
                </c:pt>
                <c:pt idx="1487">
                  <c:v>111.89289251140214</c:v>
                </c:pt>
                <c:pt idx="1488">
                  <c:v>111.91290452930873</c:v>
                </c:pt>
                <c:pt idx="1489">
                  <c:v>111.93292012636007</c:v>
                </c:pt>
                <c:pt idx="1490">
                  <c:v>111.95293930319635</c:v>
                </c:pt>
                <c:pt idx="1491">
                  <c:v>111.97296206045775</c:v>
                </c:pt>
                <c:pt idx="1492">
                  <c:v>111.99298839878462</c:v>
                </c:pt>
                <c:pt idx="1493">
                  <c:v>112.0130183188175</c:v>
                </c:pt>
                <c:pt idx="1494">
                  <c:v>112.03305182119691</c:v>
                </c:pt>
                <c:pt idx="1495">
                  <c:v>112.0530889065635</c:v>
                </c:pt>
                <c:pt idx="1496">
                  <c:v>112.07312957555826</c:v>
                </c:pt>
                <c:pt idx="1497">
                  <c:v>112.09317382882202</c:v>
                </c:pt>
                <c:pt idx="1498">
                  <c:v>112.11322166699583</c:v>
                </c:pt>
                <c:pt idx="1499">
                  <c:v>112.13327309072086</c:v>
                </c:pt>
                <c:pt idx="1500">
                  <c:v>112.15332810063838</c:v>
                </c:pt>
                <c:pt idx="1501">
                  <c:v>112.17338669738979</c:v>
                </c:pt>
                <c:pt idx="1502">
                  <c:v>112.19344888161656</c:v>
                </c:pt>
                <c:pt idx="1503">
                  <c:v>112.21351465396035</c:v>
                </c:pt>
                <c:pt idx="1504">
                  <c:v>112.23358401506276</c:v>
                </c:pt>
                <c:pt idx="1505">
                  <c:v>112.25365696556587</c:v>
                </c:pt>
                <c:pt idx="1506">
                  <c:v>112.2737335061115</c:v>
                </c:pt>
                <c:pt idx="1507">
                  <c:v>112.29381363734188</c:v>
                </c:pt>
                <c:pt idx="1508">
                  <c:v>112.31389735989899</c:v>
                </c:pt>
                <c:pt idx="1509">
                  <c:v>112.3339846744252</c:v>
                </c:pt>
                <c:pt idx="1510">
                  <c:v>112.35407558156298</c:v>
                </c:pt>
                <c:pt idx="1511">
                  <c:v>112.37417008195484</c:v>
                </c:pt>
                <c:pt idx="1512">
                  <c:v>112.39426817624343</c:v>
                </c:pt>
                <c:pt idx="1513">
                  <c:v>112.41436986507145</c:v>
                </c:pt>
                <c:pt idx="1514">
                  <c:v>112.43447514908195</c:v>
                </c:pt>
                <c:pt idx="1515">
                  <c:v>112.45458402891784</c:v>
                </c:pt>
                <c:pt idx="1516">
                  <c:v>112.47469650522221</c:v>
                </c:pt>
                <c:pt idx="1517">
                  <c:v>112.49481257863835</c:v>
                </c:pt>
                <c:pt idx="1518">
                  <c:v>112.51493224980953</c:v>
                </c:pt>
                <c:pt idx="1519">
                  <c:v>112.53505551937923</c:v>
                </c:pt>
                <c:pt idx="1520">
                  <c:v>112.55518238799104</c:v>
                </c:pt>
                <c:pt idx="1521">
                  <c:v>112.57531285628865</c:v>
                </c:pt>
                <c:pt idx="1522">
                  <c:v>112.59544692491575</c:v>
                </c:pt>
                <c:pt idx="1523">
                  <c:v>112.61558459451646</c:v>
                </c:pt>
                <c:pt idx="1524">
                  <c:v>112.6357258657347</c:v>
                </c:pt>
                <c:pt idx="1525">
                  <c:v>112.65587073921465</c:v>
                </c:pt>
                <c:pt idx="1526">
                  <c:v>112.67601921560055</c:v>
                </c:pt>
                <c:pt idx="1527">
                  <c:v>112.69617129553677</c:v>
                </c:pt>
                <c:pt idx="1528">
                  <c:v>112.71632697966784</c:v>
                </c:pt>
                <c:pt idx="1529">
                  <c:v>112.73648626863834</c:v>
                </c:pt>
                <c:pt idx="1530">
                  <c:v>112.756649163093</c:v>
                </c:pt>
                <c:pt idx="1531">
                  <c:v>112.77681566367667</c:v>
                </c:pt>
                <c:pt idx="1532">
                  <c:v>112.79698577103419</c:v>
                </c:pt>
                <c:pt idx="1533">
                  <c:v>112.81715948581083</c:v>
                </c:pt>
                <c:pt idx="1534">
                  <c:v>112.8373368086517</c:v>
                </c:pt>
                <c:pt idx="1535">
                  <c:v>112.85751774020207</c:v>
                </c:pt>
                <c:pt idx="1536">
                  <c:v>112.87770228110739</c:v>
                </c:pt>
                <c:pt idx="1537">
                  <c:v>112.89789043201317</c:v>
                </c:pt>
                <c:pt idx="1538">
                  <c:v>112.91808219356507</c:v>
                </c:pt>
                <c:pt idx="1539">
                  <c:v>112.93827756640883</c:v>
                </c:pt>
                <c:pt idx="1540">
                  <c:v>112.95847655119034</c:v>
                </c:pt>
                <c:pt idx="1541">
                  <c:v>112.97867914855553</c:v>
                </c:pt>
                <c:pt idx="1542">
                  <c:v>112.99888535915065</c:v>
                </c:pt>
                <c:pt idx="1543">
                  <c:v>113.01909518362187</c:v>
                </c:pt>
                <c:pt idx="1544">
                  <c:v>113.03930862261552</c:v>
                </c:pt>
                <c:pt idx="1545">
                  <c:v>113.05952567677805</c:v>
                </c:pt>
                <c:pt idx="1546">
                  <c:v>113.07974634675601</c:v>
                </c:pt>
                <c:pt idx="1547">
                  <c:v>113.09997063319615</c:v>
                </c:pt>
                <c:pt idx="1548">
                  <c:v>113.12019853674521</c:v>
                </c:pt>
                <c:pt idx="1549">
                  <c:v>113.14043005805013</c:v>
                </c:pt>
                <c:pt idx="1550">
                  <c:v>113.16066519775785</c:v>
                </c:pt>
                <c:pt idx="1551">
                  <c:v>113.18090395651573</c:v>
                </c:pt>
                <c:pt idx="1552">
                  <c:v>113.20114633497091</c:v>
                </c:pt>
                <c:pt idx="1553">
                  <c:v>113.22139233377081</c:v>
                </c:pt>
                <c:pt idx="1554">
                  <c:v>113.2416419535629</c:v>
                </c:pt>
                <c:pt idx="1555">
                  <c:v>113.26189519499478</c:v>
                </c:pt>
                <c:pt idx="1556">
                  <c:v>113.28215205871422</c:v>
                </c:pt>
                <c:pt idx="1557">
                  <c:v>113.30241254536905</c:v>
                </c:pt>
                <c:pt idx="1558">
                  <c:v>113.3226766556072</c:v>
                </c:pt>
                <c:pt idx="1559">
                  <c:v>113.3429443900767</c:v>
                </c:pt>
                <c:pt idx="1560">
                  <c:v>113.36321574942589</c:v>
                </c:pt>
                <c:pt idx="1561">
                  <c:v>113.38349073430302</c:v>
                </c:pt>
                <c:pt idx="1562">
                  <c:v>113.40376934535647</c:v>
                </c:pt>
                <c:pt idx="1563">
                  <c:v>113.42405158323486</c:v>
                </c:pt>
                <c:pt idx="1564">
                  <c:v>113.44433744858677</c:v>
                </c:pt>
                <c:pt idx="1565">
                  <c:v>113.46462694206097</c:v>
                </c:pt>
                <c:pt idx="1566">
                  <c:v>113.48492006430641</c:v>
                </c:pt>
                <c:pt idx="1567">
                  <c:v>113.50521681597206</c:v>
                </c:pt>
                <c:pt idx="1568">
                  <c:v>113.52551719770695</c:v>
                </c:pt>
                <c:pt idx="1569">
                  <c:v>113.54582121016048</c:v>
                </c:pt>
                <c:pt idx="1570">
                  <c:v>113.56612885398197</c:v>
                </c:pt>
                <c:pt idx="1571">
                  <c:v>113.58644012982084</c:v>
                </c:pt>
                <c:pt idx="1572">
                  <c:v>113.60675503832668</c:v>
                </c:pt>
                <c:pt idx="1573">
                  <c:v>113.62707358014922</c:v>
                </c:pt>
                <c:pt idx="1574">
                  <c:v>113.64739575593825</c:v>
                </c:pt>
                <c:pt idx="1575">
                  <c:v>113.6677215663437</c:v>
                </c:pt>
                <c:pt idx="1576">
                  <c:v>113.68805101201563</c:v>
                </c:pt>
                <c:pt idx="1577">
                  <c:v>113.70838409360414</c:v>
                </c:pt>
                <c:pt idx="1578">
                  <c:v>113.72872081175966</c:v>
                </c:pt>
                <c:pt idx="1579">
                  <c:v>113.74906116713251</c:v>
                </c:pt>
                <c:pt idx="1580">
                  <c:v>113.76940516037322</c:v>
                </c:pt>
                <c:pt idx="1581">
                  <c:v>113.78975279213239</c:v>
                </c:pt>
                <c:pt idx="1582">
                  <c:v>113.81010406306081</c:v>
                </c:pt>
                <c:pt idx="1583">
                  <c:v>113.8304589738093</c:v>
                </c:pt>
                <c:pt idx="1584">
                  <c:v>113.85081752502886</c:v>
                </c:pt>
                <c:pt idx="1585">
                  <c:v>113.87117971737061</c:v>
                </c:pt>
                <c:pt idx="1586">
                  <c:v>113.89154555148565</c:v>
                </c:pt>
                <c:pt idx="1587">
                  <c:v>113.91191502802548</c:v>
                </c:pt>
                <c:pt idx="1588">
                  <c:v>113.93228814764149</c:v>
                </c:pt>
                <c:pt idx="1589">
                  <c:v>113.95266491098519</c:v>
                </c:pt>
                <c:pt idx="1590">
                  <c:v>113.97304531870832</c:v>
                </c:pt>
                <c:pt idx="1591">
                  <c:v>113.99342937146265</c:v>
                </c:pt>
                <c:pt idx="1592">
                  <c:v>114.01381706990009</c:v>
                </c:pt>
                <c:pt idx="1593">
                  <c:v>114.03420841467268</c:v>
                </c:pt>
                <c:pt idx="1594">
                  <c:v>114.05460340643253</c:v>
                </c:pt>
                <c:pt idx="1595">
                  <c:v>114.07500204583188</c:v>
                </c:pt>
                <c:pt idx="1596">
                  <c:v>114.09540433352322</c:v>
                </c:pt>
                <c:pt idx="1597">
                  <c:v>114.115810270159</c:v>
                </c:pt>
                <c:pt idx="1598">
                  <c:v>114.13621985639183</c:v>
                </c:pt>
                <c:pt idx="1599">
                  <c:v>114.15663309287442</c:v>
                </c:pt>
                <c:pt idx="1600">
                  <c:v>114.17704998025962</c:v>
                </c:pt>
                <c:pt idx="1601">
                  <c:v>114.19747051920041</c:v>
                </c:pt>
                <c:pt idx="1602">
                  <c:v>114.21789471034987</c:v>
                </c:pt>
                <c:pt idx="1603">
                  <c:v>114.23832255436118</c:v>
                </c:pt>
                <c:pt idx="1604">
                  <c:v>114.25875405188754</c:v>
                </c:pt>
                <c:pt idx="1605">
                  <c:v>114.27918920358262</c:v>
                </c:pt>
                <c:pt idx="1606">
                  <c:v>114.29962801009984</c:v>
                </c:pt>
                <c:pt idx="1607">
                  <c:v>114.32007047209288</c:v>
                </c:pt>
                <c:pt idx="1608">
                  <c:v>114.34051659021549</c:v>
                </c:pt>
                <c:pt idx="1609">
                  <c:v>114.36096636512161</c:v>
                </c:pt>
                <c:pt idx="1610">
                  <c:v>114.38141979746523</c:v>
                </c:pt>
                <c:pt idx="1611">
                  <c:v>114.40187688790049</c:v>
                </c:pt>
                <c:pt idx="1612">
                  <c:v>114.42233763708163</c:v>
                </c:pt>
                <c:pt idx="1613">
                  <c:v>114.44280204566292</c:v>
                </c:pt>
                <c:pt idx="1614">
                  <c:v>114.46327011429905</c:v>
                </c:pt>
                <c:pt idx="1615">
                  <c:v>114.48374184364451</c:v>
                </c:pt>
                <c:pt idx="1616">
                  <c:v>114.50421723435402</c:v>
                </c:pt>
                <c:pt idx="1617">
                  <c:v>114.52469628708243</c:v>
                </c:pt>
                <c:pt idx="1618">
                  <c:v>114.54517900248466</c:v>
                </c:pt>
                <c:pt idx="1619">
                  <c:v>114.56566538121581</c:v>
                </c:pt>
                <c:pt idx="1620">
                  <c:v>114.58615542393103</c:v>
                </c:pt>
                <c:pt idx="1621">
                  <c:v>114.60664913128565</c:v>
                </c:pt>
                <c:pt idx="1622">
                  <c:v>114.62714650393498</c:v>
                </c:pt>
                <c:pt idx="1623">
                  <c:v>114.64764754253478</c:v>
                </c:pt>
                <c:pt idx="1624">
                  <c:v>114.66815224774057</c:v>
                </c:pt>
                <c:pt idx="1625">
                  <c:v>114.68866062020814</c:v>
                </c:pt>
                <c:pt idx="1626">
                  <c:v>114.70917266059338</c:v>
                </c:pt>
                <c:pt idx="1627">
                  <c:v>114.72968836955228</c:v>
                </c:pt>
                <c:pt idx="1628">
                  <c:v>114.75020774774099</c:v>
                </c:pt>
                <c:pt idx="1629">
                  <c:v>114.77073079581572</c:v>
                </c:pt>
                <c:pt idx="1630">
                  <c:v>114.79125751443284</c:v>
                </c:pt>
                <c:pt idx="1631">
                  <c:v>114.81178790424875</c:v>
                </c:pt>
                <c:pt idx="1632">
                  <c:v>114.8323219659202</c:v>
                </c:pt>
                <c:pt idx="1633">
                  <c:v>114.85285970010383</c:v>
                </c:pt>
                <c:pt idx="1634">
                  <c:v>114.87340110745649</c:v>
                </c:pt>
                <c:pt idx="1635">
                  <c:v>114.89394618863507</c:v>
                </c:pt>
                <c:pt idx="1636">
                  <c:v>114.91449494429665</c:v>
                </c:pt>
                <c:pt idx="1637">
                  <c:v>114.93504737509845</c:v>
                </c:pt>
                <c:pt idx="1638">
                  <c:v>114.95560348169772</c:v>
                </c:pt>
                <c:pt idx="1639">
                  <c:v>114.97616326475189</c:v>
                </c:pt>
                <c:pt idx="1640">
                  <c:v>114.9967267249184</c:v>
                </c:pt>
                <c:pt idx="1641">
                  <c:v>115.01729386285511</c:v>
                </c:pt>
                <c:pt idx="1642">
                  <c:v>115.03786467921965</c:v>
                </c:pt>
                <c:pt idx="1643">
                  <c:v>115.05843917466997</c:v>
                </c:pt>
                <c:pt idx="1644">
                  <c:v>115.079017349864</c:v>
                </c:pt>
                <c:pt idx="1645">
                  <c:v>115.09959920545991</c:v>
                </c:pt>
                <c:pt idx="1646">
                  <c:v>115.12018474211592</c:v>
                </c:pt>
                <c:pt idx="1647">
                  <c:v>115.14077396049042</c:v>
                </c:pt>
                <c:pt idx="1648">
                  <c:v>115.16136686124182</c:v>
                </c:pt>
                <c:pt idx="1649">
                  <c:v>115.18196344502867</c:v>
                </c:pt>
                <c:pt idx="1650">
                  <c:v>115.20256371250984</c:v>
                </c:pt>
                <c:pt idx="1651">
                  <c:v>115.2231676643441</c:v>
                </c:pt>
                <c:pt idx="1652">
                  <c:v>115.24377530119037</c:v>
                </c:pt>
                <c:pt idx="1653">
                  <c:v>115.26438662370769</c:v>
                </c:pt>
                <c:pt idx="1654">
                  <c:v>115.28500163255531</c:v>
                </c:pt>
                <c:pt idx="1655">
                  <c:v>115.30562032839245</c:v>
                </c:pt>
                <c:pt idx="1656">
                  <c:v>115.32624271187859</c:v>
                </c:pt>
                <c:pt idx="1657">
                  <c:v>115.34686878367322</c:v>
                </c:pt>
                <c:pt idx="1658">
                  <c:v>115.36749854443592</c:v>
                </c:pt>
                <c:pt idx="1659">
                  <c:v>115.38813199482667</c:v>
                </c:pt>
                <c:pt idx="1660">
                  <c:v>115.40876913550521</c:v>
                </c:pt>
                <c:pt idx="1661">
                  <c:v>115.4294099671316</c:v>
                </c:pt>
                <c:pt idx="1662">
                  <c:v>115.45005449036593</c:v>
                </c:pt>
                <c:pt idx="1663">
                  <c:v>115.47070270586849</c:v>
                </c:pt>
                <c:pt idx="1664">
                  <c:v>115.49135461429958</c:v>
                </c:pt>
                <c:pt idx="1665">
                  <c:v>115.51201021631972</c:v>
                </c:pt>
                <c:pt idx="1666">
                  <c:v>115.53266951258949</c:v>
                </c:pt>
                <c:pt idx="1667">
                  <c:v>115.55333250376974</c:v>
                </c:pt>
                <c:pt idx="1668">
                  <c:v>115.57399919052094</c:v>
                </c:pt>
                <c:pt idx="1669">
                  <c:v>115.59466957350439</c:v>
                </c:pt>
                <c:pt idx="1670">
                  <c:v>115.61534365338106</c:v>
                </c:pt>
                <c:pt idx="1671">
                  <c:v>115.63602143081212</c:v>
                </c:pt>
                <c:pt idx="1672">
                  <c:v>115.65670290645888</c:v>
                </c:pt>
                <c:pt idx="1673">
                  <c:v>115.67738808098277</c:v>
                </c:pt>
                <c:pt idx="1674">
                  <c:v>115.69807695504534</c:v>
                </c:pt>
                <c:pt idx="1675">
                  <c:v>115.71876952930823</c:v>
                </c:pt>
                <c:pt idx="1676">
                  <c:v>115.73946580443324</c:v>
                </c:pt>
                <c:pt idx="1677">
                  <c:v>115.76016578108216</c:v>
                </c:pt>
                <c:pt idx="1678">
                  <c:v>115.7808694599172</c:v>
                </c:pt>
                <c:pt idx="1679">
                  <c:v>115.80157684160041</c:v>
                </c:pt>
                <c:pt idx="1680">
                  <c:v>115.82228792679405</c:v>
                </c:pt>
                <c:pt idx="1681">
                  <c:v>115.84300271616048</c:v>
                </c:pt>
                <c:pt idx="1682">
                  <c:v>115.86372121036217</c:v>
                </c:pt>
                <c:pt idx="1683">
                  <c:v>115.88444341006176</c:v>
                </c:pt>
                <c:pt idx="1684">
                  <c:v>115.90516931592197</c:v>
                </c:pt>
                <c:pt idx="1685">
                  <c:v>115.92589892860563</c:v>
                </c:pt>
                <c:pt idx="1686">
                  <c:v>115.94663224877563</c:v>
                </c:pt>
                <c:pt idx="1687">
                  <c:v>115.96736927709523</c:v>
                </c:pt>
                <c:pt idx="1688">
                  <c:v>115.98811001422756</c:v>
                </c:pt>
                <c:pt idx="1689">
                  <c:v>116.00885446083589</c:v>
                </c:pt>
                <c:pt idx="1690">
                  <c:v>116.02960261758371</c:v>
                </c:pt>
                <c:pt idx="1691">
                  <c:v>116.05035448513456</c:v>
                </c:pt>
                <c:pt idx="1692">
                  <c:v>116.07111006415211</c:v>
                </c:pt>
                <c:pt idx="1693">
                  <c:v>116.09186935530016</c:v>
                </c:pt>
                <c:pt idx="1694">
                  <c:v>116.11263235924262</c:v>
                </c:pt>
                <c:pt idx="1695">
                  <c:v>116.13339907664343</c:v>
                </c:pt>
                <c:pt idx="1696">
                  <c:v>116.15416950816693</c:v>
                </c:pt>
                <c:pt idx="1697">
                  <c:v>116.17494365447732</c:v>
                </c:pt>
                <c:pt idx="1698">
                  <c:v>116.19572151623895</c:v>
                </c:pt>
                <c:pt idx="1699">
                  <c:v>116.21650309411632</c:v>
                </c:pt>
                <c:pt idx="1700">
                  <c:v>116.2372883887741</c:v>
                </c:pt>
                <c:pt idx="1701">
                  <c:v>116.25807740087703</c:v>
                </c:pt>
                <c:pt idx="1702">
                  <c:v>116.27887013108993</c:v>
                </c:pt>
                <c:pt idx="1703">
                  <c:v>116.29966658007784</c:v>
                </c:pt>
                <c:pt idx="1704">
                  <c:v>116.32046674850571</c:v>
                </c:pt>
                <c:pt idx="1705">
                  <c:v>116.34127063703899</c:v>
                </c:pt>
                <c:pt idx="1706">
                  <c:v>116.36207824634293</c:v>
                </c:pt>
                <c:pt idx="1707">
                  <c:v>116.38288957708296</c:v>
                </c:pt>
                <c:pt idx="1708">
                  <c:v>116.40370462992468</c:v>
                </c:pt>
                <c:pt idx="1709">
                  <c:v>116.42452340553376</c:v>
                </c:pt>
                <c:pt idx="1710">
                  <c:v>116.44534590457607</c:v>
                </c:pt>
                <c:pt idx="1711">
                  <c:v>116.46617212771748</c:v>
                </c:pt>
                <c:pt idx="1712">
                  <c:v>116.48700207562409</c:v>
                </c:pt>
                <c:pt idx="1713">
                  <c:v>116.50783574896195</c:v>
                </c:pt>
                <c:pt idx="1714">
                  <c:v>116.52867314839757</c:v>
                </c:pt>
                <c:pt idx="1715">
                  <c:v>116.54951427459724</c:v>
                </c:pt>
                <c:pt idx="1716">
                  <c:v>116.57035912822751</c:v>
                </c:pt>
                <c:pt idx="1717">
                  <c:v>116.59120770995503</c:v>
                </c:pt>
                <c:pt idx="1718">
                  <c:v>116.61206002044655</c:v>
                </c:pt>
                <c:pt idx="1719">
                  <c:v>116.63291606036898</c:v>
                </c:pt>
                <c:pt idx="1720">
                  <c:v>116.65377583038932</c:v>
                </c:pt>
                <c:pt idx="1721">
                  <c:v>116.67463933117469</c:v>
                </c:pt>
                <c:pt idx="1722">
                  <c:v>116.69550656339224</c:v>
                </c:pt>
                <c:pt idx="1723">
                  <c:v>116.71637752770953</c:v>
                </c:pt>
                <c:pt idx="1724">
                  <c:v>116.73725222479396</c:v>
                </c:pt>
                <c:pt idx="1725">
                  <c:v>116.75813065531315</c:v>
                </c:pt>
                <c:pt idx="1726">
                  <c:v>116.77901281993479</c:v>
                </c:pt>
                <c:pt idx="1727">
                  <c:v>116.79989871932673</c:v>
                </c:pt>
                <c:pt idx="1728">
                  <c:v>116.82078835415693</c:v>
                </c:pt>
                <c:pt idx="1729">
                  <c:v>116.84168172509351</c:v>
                </c:pt>
                <c:pt idx="1730">
                  <c:v>116.8625788328046</c:v>
                </c:pt>
                <c:pt idx="1731">
                  <c:v>116.8834796779585</c:v>
                </c:pt>
                <c:pt idx="1732">
                  <c:v>116.9043842612238</c:v>
                </c:pt>
                <c:pt idx="1733">
                  <c:v>116.92529258326898</c:v>
                </c:pt>
                <c:pt idx="1734">
                  <c:v>116.94620464476269</c:v>
                </c:pt>
                <c:pt idx="1735">
                  <c:v>116.96712044637377</c:v>
                </c:pt>
                <c:pt idx="1736">
                  <c:v>116.98803998877113</c:v>
                </c:pt>
                <c:pt idx="1737">
                  <c:v>117.0089632726238</c:v>
                </c:pt>
                <c:pt idx="1738">
                  <c:v>117.02989029860095</c:v>
                </c:pt>
                <c:pt idx="1739">
                  <c:v>117.05082106737183</c:v>
                </c:pt>
                <c:pt idx="1740">
                  <c:v>117.07175557960586</c:v>
                </c:pt>
                <c:pt idx="1741">
                  <c:v>117.09269383597247</c:v>
                </c:pt>
                <c:pt idx="1742">
                  <c:v>117.11363583714146</c:v>
                </c:pt>
                <c:pt idx="1743">
                  <c:v>117.13458158378251</c:v>
                </c:pt>
                <c:pt idx="1744">
                  <c:v>117.15553107656551</c:v>
                </c:pt>
                <c:pt idx="1745">
                  <c:v>117.17648431616044</c:v>
                </c:pt>
                <c:pt idx="1746">
                  <c:v>117.1974413032374</c:v>
                </c:pt>
                <c:pt idx="1747">
                  <c:v>117.21840203846665</c:v>
                </c:pt>
                <c:pt idx="1748">
                  <c:v>117.23936652251857</c:v>
                </c:pt>
                <c:pt idx="1749">
                  <c:v>117.26033475606357</c:v>
                </c:pt>
                <c:pt idx="1750">
                  <c:v>117.28130673977218</c:v>
                </c:pt>
                <c:pt idx="1751">
                  <c:v>117.30228247431535</c:v>
                </c:pt>
                <c:pt idx="1752">
                  <c:v>117.32326196036377</c:v>
                </c:pt>
                <c:pt idx="1753">
                  <c:v>117.34424519858838</c:v>
                </c:pt>
                <c:pt idx="1754">
                  <c:v>117.36523218966032</c:v>
                </c:pt>
                <c:pt idx="1755">
                  <c:v>117.38622293425075</c:v>
                </c:pt>
                <c:pt idx="1756">
                  <c:v>117.40721743303099</c:v>
                </c:pt>
                <c:pt idx="1757">
                  <c:v>117.42821568667246</c:v>
                </c:pt>
                <c:pt idx="1758">
                  <c:v>117.44921769584674</c:v>
                </c:pt>
                <c:pt idx="1759">
                  <c:v>117.47022346122539</c:v>
                </c:pt>
                <c:pt idx="1760">
                  <c:v>117.4912329834804</c:v>
                </c:pt>
                <c:pt idx="1761">
                  <c:v>117.51224626328361</c:v>
                </c:pt>
                <c:pt idx="1762">
                  <c:v>117.53326330130704</c:v>
                </c:pt>
                <c:pt idx="1763">
                  <c:v>117.55428409822288</c:v>
                </c:pt>
                <c:pt idx="1764">
                  <c:v>117.57530865470335</c:v>
                </c:pt>
                <c:pt idx="1765">
                  <c:v>117.59633697142088</c:v>
                </c:pt>
                <c:pt idx="1766">
                  <c:v>117.61736904904799</c:v>
                </c:pt>
                <c:pt idx="1767">
                  <c:v>117.63840488825731</c:v>
                </c:pt>
                <c:pt idx="1768">
                  <c:v>117.65944448972149</c:v>
                </c:pt>
                <c:pt idx="1769">
                  <c:v>117.68048785411364</c:v>
                </c:pt>
                <c:pt idx="1770">
                  <c:v>117.70153498210662</c:v>
                </c:pt>
                <c:pt idx="1771">
                  <c:v>117.72258587437356</c:v>
                </c:pt>
                <c:pt idx="1772">
                  <c:v>117.74364053158774</c:v>
                </c:pt>
                <c:pt idx="1773">
                  <c:v>117.76469895442246</c:v>
                </c:pt>
                <c:pt idx="1774">
                  <c:v>117.78576114355123</c:v>
                </c:pt>
                <c:pt idx="1775">
                  <c:v>117.80682709964763</c:v>
                </c:pt>
                <c:pt idx="1776">
                  <c:v>117.82789682338543</c:v>
                </c:pt>
                <c:pt idx="1777">
                  <c:v>117.84897031543832</c:v>
                </c:pt>
                <c:pt idx="1778">
                  <c:v>117.87004757648047</c:v>
                </c:pt>
                <c:pt idx="1779">
                  <c:v>117.89112860718589</c:v>
                </c:pt>
                <c:pt idx="1780">
                  <c:v>117.91221340822877</c:v>
                </c:pt>
                <c:pt idx="1781">
                  <c:v>117.93330198028345</c:v>
                </c:pt>
                <c:pt idx="1782">
                  <c:v>117.95439432402434</c:v>
                </c:pt>
                <c:pt idx="1783">
                  <c:v>117.97549044012602</c:v>
                </c:pt>
                <c:pt idx="1784">
                  <c:v>117.99659032926316</c:v>
                </c:pt>
                <c:pt idx="1785">
                  <c:v>118.01769399211061</c:v>
                </c:pt>
                <c:pt idx="1786">
                  <c:v>118.03880142934315</c:v>
                </c:pt>
                <c:pt idx="1787">
                  <c:v>118.05991264163607</c:v>
                </c:pt>
                <c:pt idx="1788">
                  <c:v>118.08102762966442</c:v>
                </c:pt>
                <c:pt idx="1789">
                  <c:v>118.10214639410347</c:v>
                </c:pt>
                <c:pt idx="1790">
                  <c:v>118.12326893562869</c:v>
                </c:pt>
                <c:pt idx="1791">
                  <c:v>118.14439525491551</c:v>
                </c:pt>
                <c:pt idx="1792">
                  <c:v>118.16552535263969</c:v>
                </c:pt>
                <c:pt idx="1793">
                  <c:v>118.18665922947693</c:v>
                </c:pt>
                <c:pt idx="1794">
                  <c:v>118.20779688610314</c:v>
                </c:pt>
                <c:pt idx="1795">
                  <c:v>118.22893832319426</c:v>
                </c:pt>
                <c:pt idx="1796">
                  <c:v>118.25008354142659</c:v>
                </c:pt>
                <c:pt idx="1797">
                  <c:v>118.27123254147631</c:v>
                </c:pt>
                <c:pt idx="1798">
                  <c:v>118.29238532401979</c:v>
                </c:pt>
                <c:pt idx="1799">
                  <c:v>118.31354188973351</c:v>
                </c:pt>
                <c:pt idx="1800">
                  <c:v>118.33470223929413</c:v>
                </c:pt>
                <c:pt idx="1801">
                  <c:v>118.35586637337836</c:v>
                </c:pt>
                <c:pt idx="1802">
                  <c:v>118.37703429266308</c:v>
                </c:pt>
                <c:pt idx="1803">
                  <c:v>118.39820599782524</c:v>
                </c:pt>
                <c:pt idx="1804">
                  <c:v>118.41938148954186</c:v>
                </c:pt>
                <c:pt idx="1805">
                  <c:v>118.44056076849039</c:v>
                </c:pt>
                <c:pt idx="1806">
                  <c:v>118.46174383534806</c:v>
                </c:pt>
                <c:pt idx="1807">
                  <c:v>118.48293069079232</c:v>
                </c:pt>
                <c:pt idx="1808">
                  <c:v>118.50412133550077</c:v>
                </c:pt>
                <c:pt idx="1809">
                  <c:v>118.5253157701511</c:v>
                </c:pt>
                <c:pt idx="1810">
                  <c:v>118.54651399542118</c:v>
                </c:pt>
                <c:pt idx="1811">
                  <c:v>118.56771601198892</c:v>
                </c:pt>
                <c:pt idx="1812">
                  <c:v>118.58892182053242</c:v>
                </c:pt>
                <c:pt idx="1813">
                  <c:v>118.61013142172978</c:v>
                </c:pt>
                <c:pt idx="1814">
                  <c:v>118.63134481625949</c:v>
                </c:pt>
                <c:pt idx="1815">
                  <c:v>118.65256200479989</c:v>
                </c:pt>
                <c:pt idx="1816">
                  <c:v>118.67378298802954</c:v>
                </c:pt>
                <c:pt idx="1817">
                  <c:v>118.69500776662714</c:v>
                </c:pt>
                <c:pt idx="1818">
                  <c:v>118.71623634127148</c:v>
                </c:pt>
                <c:pt idx="1819">
                  <c:v>118.73746871264146</c:v>
                </c:pt>
                <c:pt idx="1820">
                  <c:v>118.75870488141616</c:v>
                </c:pt>
                <c:pt idx="1821">
                  <c:v>118.77994484827471</c:v>
                </c:pt>
                <c:pt idx="1822">
                  <c:v>118.80118861389631</c:v>
                </c:pt>
                <c:pt idx="1823">
                  <c:v>118.8224361789606</c:v>
                </c:pt>
                <c:pt idx="1824">
                  <c:v>118.84368754414696</c:v>
                </c:pt>
                <c:pt idx="1825">
                  <c:v>118.86494271013507</c:v>
                </c:pt>
                <c:pt idx="1826">
                  <c:v>118.88620167760479</c:v>
                </c:pt>
                <c:pt idx="1827">
                  <c:v>118.90746444723581</c:v>
                </c:pt>
                <c:pt idx="1828">
                  <c:v>118.92873101970827</c:v>
                </c:pt>
                <c:pt idx="1829">
                  <c:v>118.95000139570226</c:v>
                </c:pt>
                <c:pt idx="1830">
                  <c:v>118.97127557589808</c:v>
                </c:pt>
                <c:pt idx="1831">
                  <c:v>118.99255356097611</c:v>
                </c:pt>
                <c:pt idx="1832">
                  <c:v>119.01383535161672</c:v>
                </c:pt>
                <c:pt idx="1833">
                  <c:v>119.03512094850079</c:v>
                </c:pt>
                <c:pt idx="1834">
                  <c:v>119.05641035230892</c:v>
                </c:pt>
                <c:pt idx="1835">
                  <c:v>119.07770356372198</c:v>
                </c:pt>
                <c:pt idx="1836">
                  <c:v>119.09900058342099</c:v>
                </c:pt>
                <c:pt idx="1837">
                  <c:v>119.12030141208702</c:v>
                </c:pt>
                <c:pt idx="1838">
                  <c:v>119.14160605040134</c:v>
                </c:pt>
                <c:pt idx="1839">
                  <c:v>119.16291449904526</c:v>
                </c:pt>
                <c:pt idx="1840">
                  <c:v>119.18422675870029</c:v>
                </c:pt>
                <c:pt idx="1841">
                  <c:v>119.20554283004793</c:v>
                </c:pt>
                <c:pt idx="1842">
                  <c:v>119.22686271377009</c:v>
                </c:pt>
                <c:pt idx="1843">
                  <c:v>119.24818641054853</c:v>
                </c:pt>
                <c:pt idx="1844">
                  <c:v>119.26951392106518</c:v>
                </c:pt>
                <c:pt idx="1845">
                  <c:v>119.29084524600216</c:v>
                </c:pt>
                <c:pt idx="1846">
                  <c:v>119.31218038604167</c:v>
                </c:pt>
                <c:pt idx="1847">
                  <c:v>119.33351934186602</c:v>
                </c:pt>
                <c:pt idx="1848">
                  <c:v>119.35486211415767</c:v>
                </c:pt>
                <c:pt idx="1849">
                  <c:v>119.37620870359922</c:v>
                </c:pt>
                <c:pt idx="1850">
                  <c:v>119.39755911087322</c:v>
                </c:pt>
                <c:pt idx="1851">
                  <c:v>119.41891333666273</c:v>
                </c:pt>
                <c:pt idx="1852">
                  <c:v>119.44027138165058</c:v>
                </c:pt>
                <c:pt idx="1853">
                  <c:v>119.46163324651982</c:v>
                </c:pt>
                <c:pt idx="1854">
                  <c:v>119.48299893195366</c:v>
                </c:pt>
                <c:pt idx="1855">
                  <c:v>119.50436843863538</c:v>
                </c:pt>
                <c:pt idx="1856">
                  <c:v>119.52574176724841</c:v>
                </c:pt>
                <c:pt idx="1857">
                  <c:v>119.54711891847633</c:v>
                </c:pt>
                <c:pt idx="1858">
                  <c:v>119.56849989300278</c:v>
                </c:pt>
                <c:pt idx="1859">
                  <c:v>119.58988469151147</c:v>
                </c:pt>
                <c:pt idx="1860">
                  <c:v>119.61127331468653</c:v>
                </c:pt>
                <c:pt idx="1861">
                  <c:v>119.63266576321189</c:v>
                </c:pt>
                <c:pt idx="1862">
                  <c:v>119.65406203777172</c:v>
                </c:pt>
                <c:pt idx="1863">
                  <c:v>119.67546213905028</c:v>
                </c:pt>
                <c:pt idx="1864">
                  <c:v>119.696866067732</c:v>
                </c:pt>
                <c:pt idx="1865">
                  <c:v>119.71827382450144</c:v>
                </c:pt>
                <c:pt idx="1866">
                  <c:v>119.73968541004317</c:v>
                </c:pt>
                <c:pt idx="1867">
                  <c:v>119.76110082504205</c:v>
                </c:pt>
                <c:pt idx="1868">
                  <c:v>119.78252007018281</c:v>
                </c:pt>
                <c:pt idx="1869">
                  <c:v>119.80394314615073</c:v>
                </c:pt>
                <c:pt idx="1870">
                  <c:v>119.82537005363082</c:v>
                </c:pt>
                <c:pt idx="1871">
                  <c:v>119.84680079330835</c:v>
                </c:pt>
                <c:pt idx="1872">
                  <c:v>119.8682353658687</c:v>
                </c:pt>
                <c:pt idx="1873">
                  <c:v>119.88967377199739</c:v>
                </c:pt>
                <c:pt idx="1874">
                  <c:v>119.91111601238003</c:v>
                </c:pt>
                <c:pt idx="1875">
                  <c:v>119.93256208770242</c:v>
                </c:pt>
                <c:pt idx="1876">
                  <c:v>119.95401199865042</c:v>
                </c:pt>
                <c:pt idx="1877">
                  <c:v>119.97546574590991</c:v>
                </c:pt>
                <c:pt idx="1878">
                  <c:v>119.99692333016721</c:v>
                </c:pt>
                <c:pt idx="1879">
                  <c:v>120.01838475210852</c:v>
                </c:pt>
                <c:pt idx="1880">
                  <c:v>120.03985001242015</c:v>
                </c:pt>
                <c:pt idx="1881">
                  <c:v>120.06131911178862</c:v>
                </c:pt>
                <c:pt idx="1882">
                  <c:v>120.08279205090055</c:v>
                </c:pt>
                <c:pt idx="1883">
                  <c:v>120.10426883044265</c:v>
                </c:pt>
                <c:pt idx="1884">
                  <c:v>120.12574945110181</c:v>
                </c:pt>
                <c:pt idx="1885">
                  <c:v>120.14723391356497</c:v>
                </c:pt>
                <c:pt idx="1886">
                  <c:v>120.16872221851919</c:v>
                </c:pt>
                <c:pt idx="1887">
                  <c:v>120.19021436665187</c:v>
                </c:pt>
                <c:pt idx="1888">
                  <c:v>120.21171035865028</c:v>
                </c:pt>
                <c:pt idx="1889">
                  <c:v>120.23321019520186</c:v>
                </c:pt>
                <c:pt idx="1890">
                  <c:v>120.25471387699423</c:v>
                </c:pt>
                <c:pt idx="1891">
                  <c:v>120.2762214047151</c:v>
                </c:pt>
                <c:pt idx="1892">
                  <c:v>120.29773277905234</c:v>
                </c:pt>
                <c:pt idx="1893">
                  <c:v>120.31924800069389</c:v>
                </c:pt>
                <c:pt idx="1894">
                  <c:v>120.34076707032784</c:v>
                </c:pt>
                <c:pt idx="1895">
                  <c:v>120.3622899886423</c:v>
                </c:pt>
                <c:pt idx="1896">
                  <c:v>120.38381675632583</c:v>
                </c:pt>
                <c:pt idx="1897">
                  <c:v>120.40534737406678</c:v>
                </c:pt>
                <c:pt idx="1898">
                  <c:v>120.42688184255371</c:v>
                </c:pt>
                <c:pt idx="1899">
                  <c:v>120.44842016247536</c:v>
                </c:pt>
                <c:pt idx="1900">
                  <c:v>120.46996233452052</c:v>
                </c:pt>
                <c:pt idx="1901">
                  <c:v>120.49150835937817</c:v>
                </c:pt>
                <c:pt idx="1902">
                  <c:v>120.51305823773737</c:v>
                </c:pt>
                <c:pt idx="1903">
                  <c:v>120.53461197028733</c:v>
                </c:pt>
                <c:pt idx="1904">
                  <c:v>120.55616955771725</c:v>
                </c:pt>
                <c:pt idx="1905">
                  <c:v>120.5777310007168</c:v>
                </c:pt>
                <c:pt idx="1906">
                  <c:v>120.59929629997544</c:v>
                </c:pt>
                <c:pt idx="1907">
                  <c:v>120.62086545618284</c:v>
                </c:pt>
                <c:pt idx="1908">
                  <c:v>120.64243847002885</c:v>
                </c:pt>
                <c:pt idx="1909">
                  <c:v>120.66401534220336</c:v>
                </c:pt>
                <c:pt idx="1910">
                  <c:v>120.68559607339648</c:v>
                </c:pt>
                <c:pt idx="1911">
                  <c:v>120.70718066429839</c:v>
                </c:pt>
                <c:pt idx="1912">
                  <c:v>120.72876911559936</c:v>
                </c:pt>
                <c:pt idx="1913">
                  <c:v>120.75036142798976</c:v>
                </c:pt>
                <c:pt idx="1914">
                  <c:v>120.7719576021603</c:v>
                </c:pt>
                <c:pt idx="1915">
                  <c:v>120.79355763880163</c:v>
                </c:pt>
                <c:pt idx="1916">
                  <c:v>120.81516153860449</c:v>
                </c:pt>
                <c:pt idx="1917">
                  <c:v>120.83676930225982</c:v>
                </c:pt>
                <c:pt idx="1918">
                  <c:v>120.85838093045868</c:v>
                </c:pt>
                <c:pt idx="1919">
                  <c:v>120.87999642389224</c:v>
                </c:pt>
                <c:pt idx="1920">
                  <c:v>120.90161578325178</c:v>
                </c:pt>
                <c:pt idx="1921">
                  <c:v>120.92323900922875</c:v>
                </c:pt>
                <c:pt idx="1922">
                  <c:v>120.94486610251457</c:v>
                </c:pt>
                <c:pt idx="1923">
                  <c:v>120.96649706380111</c:v>
                </c:pt>
                <c:pt idx="1924">
                  <c:v>120.98813189378008</c:v>
                </c:pt>
                <c:pt idx="1925">
                  <c:v>121.00977059314336</c:v>
                </c:pt>
                <c:pt idx="1926">
                  <c:v>121.03141316258301</c:v>
                </c:pt>
                <c:pt idx="1927">
                  <c:v>121.05305960279121</c:v>
                </c:pt>
                <c:pt idx="1928">
                  <c:v>121.07470991446021</c:v>
                </c:pt>
                <c:pt idx="1929">
                  <c:v>121.09636409828245</c:v>
                </c:pt>
                <c:pt idx="1930">
                  <c:v>121.11802215495044</c:v>
                </c:pt>
                <c:pt idx="1931">
                  <c:v>121.13968408515676</c:v>
                </c:pt>
                <c:pt idx="1932">
                  <c:v>121.16134988959438</c:v>
                </c:pt>
                <c:pt idx="1933">
                  <c:v>121.18301956895608</c:v>
                </c:pt>
                <c:pt idx="1934">
                  <c:v>121.20469312393494</c:v>
                </c:pt>
                <c:pt idx="1935">
                  <c:v>121.22637055522408</c:v>
                </c:pt>
                <c:pt idx="1936">
                  <c:v>121.24805186351679</c:v>
                </c:pt>
                <c:pt idx="1937">
                  <c:v>121.26973704950645</c:v>
                </c:pt>
                <c:pt idx="1938">
                  <c:v>121.2914261138866</c:v>
                </c:pt>
                <c:pt idx="1939">
                  <c:v>121.3131190573509</c:v>
                </c:pt>
                <c:pt idx="1940">
                  <c:v>121.33481588059301</c:v>
                </c:pt>
                <c:pt idx="1941">
                  <c:v>121.35651658430704</c:v>
                </c:pt>
                <c:pt idx="1942">
                  <c:v>121.3782211691869</c:v>
                </c:pt>
                <c:pt idx="1943">
                  <c:v>121.39992963592674</c:v>
                </c:pt>
                <c:pt idx="1944">
                  <c:v>121.42164198522083</c:v>
                </c:pt>
                <c:pt idx="1945">
                  <c:v>121.44335821776355</c:v>
                </c:pt>
                <c:pt idx="1946">
                  <c:v>121.46507833424943</c:v>
                </c:pt>
                <c:pt idx="1947">
                  <c:v>121.48680233537313</c:v>
                </c:pt>
                <c:pt idx="1948">
                  <c:v>121.50853022182937</c:v>
                </c:pt>
                <c:pt idx="1949">
                  <c:v>121.53026199431299</c:v>
                </c:pt>
                <c:pt idx="1950">
                  <c:v>121.55199765351918</c:v>
                </c:pt>
                <c:pt idx="1951">
                  <c:v>121.573737200143</c:v>
                </c:pt>
                <c:pt idx="1952">
                  <c:v>121.59548063487968</c:v>
                </c:pt>
                <c:pt idx="1953">
                  <c:v>121.61722795842464</c:v>
                </c:pt>
                <c:pt idx="1954">
                  <c:v>121.63897917147335</c:v>
                </c:pt>
                <c:pt idx="1955">
                  <c:v>121.66073427472149</c:v>
                </c:pt>
                <c:pt idx="1956">
                  <c:v>121.6824932688648</c:v>
                </c:pt>
                <c:pt idx="1957">
                  <c:v>121.70425615459919</c:v>
                </c:pt>
                <c:pt idx="1958">
                  <c:v>121.72602293262067</c:v>
                </c:pt>
                <c:pt idx="1959">
                  <c:v>121.74779360362521</c:v>
                </c:pt>
                <c:pt idx="1960">
                  <c:v>121.76956816830933</c:v>
                </c:pt>
                <c:pt idx="1961">
                  <c:v>121.79134662736932</c:v>
                </c:pt>
                <c:pt idx="1962">
                  <c:v>121.81312898150165</c:v>
                </c:pt>
                <c:pt idx="1963">
                  <c:v>121.83491523140297</c:v>
                </c:pt>
                <c:pt idx="1964">
                  <c:v>121.85670537777004</c:v>
                </c:pt>
                <c:pt idx="1965">
                  <c:v>121.87849942129975</c:v>
                </c:pt>
                <c:pt idx="1966">
                  <c:v>121.9002973626891</c:v>
                </c:pt>
                <c:pt idx="1967">
                  <c:v>121.92209920263521</c:v>
                </c:pt>
                <c:pt idx="1968">
                  <c:v>121.94390494183523</c:v>
                </c:pt>
                <c:pt idx="1969">
                  <c:v>121.96571458098676</c:v>
                </c:pt>
                <c:pt idx="1970">
                  <c:v>121.98752812078722</c:v>
                </c:pt>
                <c:pt idx="1971">
                  <c:v>122.00934556193421</c:v>
                </c:pt>
                <c:pt idx="1972">
                  <c:v>122.03116690512549</c:v>
                </c:pt>
                <c:pt idx="1973">
                  <c:v>122.05299215105894</c:v>
                </c:pt>
                <c:pt idx="1974">
                  <c:v>122.0748213004326</c:v>
                </c:pt>
                <c:pt idx="1975">
                  <c:v>122.09665435394453</c:v>
                </c:pt>
                <c:pt idx="1976">
                  <c:v>122.11849131229306</c:v>
                </c:pt>
                <c:pt idx="1977">
                  <c:v>122.1403321761764</c:v>
                </c:pt>
                <c:pt idx="1978">
                  <c:v>122.1621769462933</c:v>
                </c:pt>
                <c:pt idx="1979">
                  <c:v>122.18402562334227</c:v>
                </c:pt>
                <c:pt idx="1980">
                  <c:v>122.20587820802207</c:v>
                </c:pt>
                <c:pt idx="1981">
                  <c:v>122.22773470103159</c:v>
                </c:pt>
                <c:pt idx="1982">
                  <c:v>122.24959510306982</c:v>
                </c:pt>
                <c:pt idx="1983">
                  <c:v>122.27145941483587</c:v>
                </c:pt>
                <c:pt idx="1984">
                  <c:v>122.29332763702904</c:v>
                </c:pt>
                <c:pt idx="1985">
                  <c:v>122.31519977034867</c:v>
                </c:pt>
                <c:pt idx="1986">
                  <c:v>122.33707581549429</c:v>
                </c:pt>
                <c:pt idx="1987">
                  <c:v>122.35895577316549</c:v>
                </c:pt>
                <c:pt idx="1988">
                  <c:v>122.38083964406208</c:v>
                </c:pt>
                <c:pt idx="1989">
                  <c:v>122.40272742888391</c:v>
                </c:pt>
                <c:pt idx="1990">
                  <c:v>122.42461912833097</c:v>
                </c:pt>
                <c:pt idx="1991">
                  <c:v>122.44651474310341</c:v>
                </c:pt>
                <c:pt idx="1992">
                  <c:v>122.46841427390147</c:v>
                </c:pt>
                <c:pt idx="1993">
                  <c:v>122.49031772142554</c:v>
                </c:pt>
                <c:pt idx="1994">
                  <c:v>122.51222508637613</c:v>
                </c:pt>
                <c:pt idx="1995">
                  <c:v>122.53413636945379</c:v>
                </c:pt>
                <c:pt idx="1996">
                  <c:v>122.55605157135943</c:v>
                </c:pt>
                <c:pt idx="1997">
                  <c:v>122.57797069279385</c:v>
                </c:pt>
                <c:pt idx="1998">
                  <c:v>122.59989373445808</c:v>
                </c:pt>
                <c:pt idx="1999">
                  <c:v>122.62182069705322</c:v>
                </c:pt>
                <c:pt idx="2000">
                  <c:v>122.64375158128055</c:v>
                </c:pt>
                <c:pt idx="2001">
                  <c:v>122.66568638784143</c:v>
                </c:pt>
                <c:pt idx="2002">
                  <c:v>122.68762511743741</c:v>
                </c:pt>
                <c:pt idx="2003">
                  <c:v>122.70956777077006</c:v>
                </c:pt>
                <c:pt idx="2004">
                  <c:v>122.73151434854111</c:v>
                </c:pt>
                <c:pt idx="2005">
                  <c:v>122.75346485145258</c:v>
                </c:pt>
                <c:pt idx="2006">
                  <c:v>122.77541928020644</c:v>
                </c:pt>
                <c:pt idx="2007">
                  <c:v>122.79737763550479</c:v>
                </c:pt>
                <c:pt idx="2008">
                  <c:v>122.81933991804988</c:v>
                </c:pt>
                <c:pt idx="2009">
                  <c:v>122.84130612854412</c:v>
                </c:pt>
                <c:pt idx="2010">
                  <c:v>122.86327626769003</c:v>
                </c:pt>
                <c:pt idx="2011">
                  <c:v>122.88525033619024</c:v>
                </c:pt>
                <c:pt idx="2012">
                  <c:v>122.9072283347475</c:v>
                </c:pt>
                <c:pt idx="2013">
                  <c:v>122.92921026406461</c:v>
                </c:pt>
                <c:pt idx="2014">
                  <c:v>122.95119612484478</c:v>
                </c:pt>
                <c:pt idx="2015">
                  <c:v>122.97318591779107</c:v>
                </c:pt>
                <c:pt idx="2016">
                  <c:v>122.99517964360673</c:v>
                </c:pt>
                <c:pt idx="2017">
                  <c:v>123.01717730299517</c:v>
                </c:pt>
                <c:pt idx="2018">
                  <c:v>123.03917889665989</c:v>
                </c:pt>
                <c:pt idx="2019">
                  <c:v>123.06118442530453</c:v>
                </c:pt>
                <c:pt idx="2020">
                  <c:v>123.08319388963288</c:v>
                </c:pt>
                <c:pt idx="2021">
                  <c:v>123.10520729034882</c:v>
                </c:pt>
                <c:pt idx="2022">
                  <c:v>123.12722462815628</c:v>
                </c:pt>
                <c:pt idx="2023">
                  <c:v>123.14924590375961</c:v>
                </c:pt>
                <c:pt idx="2024">
                  <c:v>123.17127111786299</c:v>
                </c:pt>
                <c:pt idx="2025">
                  <c:v>123.1933002711708</c:v>
                </c:pt>
                <c:pt idx="2026">
                  <c:v>123.21533336438758</c:v>
                </c:pt>
                <c:pt idx="2027">
                  <c:v>123.23737039821798</c:v>
                </c:pt>
                <c:pt idx="2028">
                  <c:v>123.25941137336677</c:v>
                </c:pt>
                <c:pt idx="2029">
                  <c:v>123.28145629053886</c:v>
                </c:pt>
                <c:pt idx="2030">
                  <c:v>123.30350515043928</c:v>
                </c:pt>
                <c:pt idx="2031">
                  <c:v>123.32555795377318</c:v>
                </c:pt>
                <c:pt idx="2032">
                  <c:v>123.34761470124576</c:v>
                </c:pt>
                <c:pt idx="2033">
                  <c:v>123.3696753935626</c:v>
                </c:pt>
                <c:pt idx="2034">
                  <c:v>123.39174003142917</c:v>
                </c:pt>
                <c:pt idx="2035">
                  <c:v>123.41380861555109</c:v>
                </c:pt>
                <c:pt idx="2036">
                  <c:v>123.43588114663419</c:v>
                </c:pt>
                <c:pt idx="2037">
                  <c:v>123.45795762538435</c:v>
                </c:pt>
                <c:pt idx="2038">
                  <c:v>123.48003805250762</c:v>
                </c:pt>
                <c:pt idx="2039">
                  <c:v>123.50212242871018</c:v>
                </c:pt>
                <c:pt idx="2040">
                  <c:v>123.52421075469829</c:v>
                </c:pt>
                <c:pt idx="2041">
                  <c:v>123.54630303117828</c:v>
                </c:pt>
                <c:pt idx="2042">
                  <c:v>123.56839925885691</c:v>
                </c:pt>
                <c:pt idx="2043">
                  <c:v>123.59049943844077</c:v>
                </c:pt>
                <c:pt idx="2044">
                  <c:v>123.61260357063659</c:v>
                </c:pt>
                <c:pt idx="2045">
                  <c:v>123.63471165615137</c:v>
                </c:pt>
                <c:pt idx="2046">
                  <c:v>123.65682369569208</c:v>
                </c:pt>
                <c:pt idx="2047">
                  <c:v>123.67893968996599</c:v>
                </c:pt>
                <c:pt idx="2048">
                  <c:v>123.70105963968031</c:v>
                </c:pt>
                <c:pt idx="2049">
                  <c:v>123.72318354554254</c:v>
                </c:pt>
                <c:pt idx="2050">
                  <c:v>123.74531140826008</c:v>
                </c:pt>
                <c:pt idx="2051">
                  <c:v>123.76744322854084</c:v>
                </c:pt>
                <c:pt idx="2052">
                  <c:v>123.78957900709256</c:v>
                </c:pt>
                <c:pt idx="2053">
                  <c:v>123.81171874462312</c:v>
                </c:pt>
                <c:pt idx="2054">
                  <c:v>123.83386244184064</c:v>
                </c:pt>
                <c:pt idx="2055">
                  <c:v>123.85601009945327</c:v>
                </c:pt>
                <c:pt idx="2056">
                  <c:v>123.87816171816931</c:v>
                </c:pt>
                <c:pt idx="2057">
                  <c:v>123.90031729869726</c:v>
                </c:pt>
                <c:pt idx="2058">
                  <c:v>123.92247684174563</c:v>
                </c:pt>
                <c:pt idx="2059">
                  <c:v>123.94464034802303</c:v>
                </c:pt>
                <c:pt idx="2060">
                  <c:v>123.96680781823851</c:v>
                </c:pt>
                <c:pt idx="2061">
                  <c:v>123.98897925310092</c:v>
                </c:pt>
                <c:pt idx="2062">
                  <c:v>124.01115465331928</c:v>
                </c:pt>
                <c:pt idx="2063">
                  <c:v>124.03333401960286</c:v>
                </c:pt>
                <c:pt idx="2064">
                  <c:v>124.05551735266097</c:v>
                </c:pt>
                <c:pt idx="2065">
                  <c:v>124.07770465320304</c:v>
                </c:pt>
                <c:pt idx="2066">
                  <c:v>124.09989592193868</c:v>
                </c:pt>
                <c:pt idx="2067">
                  <c:v>124.12209115957759</c:v>
                </c:pt>
                <c:pt idx="2068">
                  <c:v>124.14429036682951</c:v>
                </c:pt>
                <c:pt idx="2069">
                  <c:v>124.1664935444046</c:v>
                </c:pt>
                <c:pt idx="2070">
                  <c:v>124.18870069301288</c:v>
                </c:pt>
                <c:pt idx="2071">
                  <c:v>124.21091181336452</c:v>
                </c:pt>
                <c:pt idx="2072">
                  <c:v>124.2331269061699</c:v>
                </c:pt>
                <c:pt idx="2073">
                  <c:v>124.25534597213947</c:v>
                </c:pt>
                <c:pt idx="2074">
                  <c:v>124.27756901198386</c:v>
                </c:pt>
                <c:pt idx="2075">
                  <c:v>124.29979602641377</c:v>
                </c:pt>
                <c:pt idx="2076">
                  <c:v>124.32202701614005</c:v>
                </c:pt>
                <c:pt idx="2077">
                  <c:v>124.34426198187361</c:v>
                </c:pt>
                <c:pt idx="2078">
                  <c:v>124.36650092432573</c:v>
                </c:pt>
                <c:pt idx="2079">
                  <c:v>124.38874384420757</c:v>
                </c:pt>
                <c:pt idx="2080">
                  <c:v>124.41099074223047</c:v>
                </c:pt>
                <c:pt idx="2081">
                  <c:v>124.43324161910593</c:v>
                </c:pt>
                <c:pt idx="2082">
                  <c:v>124.45549647554556</c:v>
                </c:pt>
                <c:pt idx="2083">
                  <c:v>124.47775531226112</c:v>
                </c:pt>
                <c:pt idx="2084">
                  <c:v>124.50001812996446</c:v>
                </c:pt>
                <c:pt idx="2085">
                  <c:v>124.52228492936759</c:v>
                </c:pt>
                <c:pt idx="2086">
                  <c:v>124.54455571118253</c:v>
                </c:pt>
                <c:pt idx="2087">
                  <c:v>124.56683047612174</c:v>
                </c:pt>
                <c:pt idx="2088">
                  <c:v>124.58910922489751</c:v>
                </c:pt>
                <c:pt idx="2089">
                  <c:v>124.61139195822234</c:v>
                </c:pt>
                <c:pt idx="2090">
                  <c:v>124.63367867680884</c:v>
                </c:pt>
                <c:pt idx="2091">
                  <c:v>124.65596938136983</c:v>
                </c:pt>
                <c:pt idx="2092">
                  <c:v>124.67826407261815</c:v>
                </c:pt>
                <c:pt idx="2093">
                  <c:v>124.70056275126683</c:v>
                </c:pt>
                <c:pt idx="2094">
                  <c:v>124.72286541802904</c:v>
                </c:pt>
                <c:pt idx="2095">
                  <c:v>124.74517207361791</c:v>
                </c:pt>
                <c:pt idx="2096">
                  <c:v>124.76748271874708</c:v>
                </c:pt>
                <c:pt idx="2097">
                  <c:v>124.78979735412995</c:v>
                </c:pt>
                <c:pt idx="2098">
                  <c:v>124.81211598048021</c:v>
                </c:pt>
                <c:pt idx="2099">
                  <c:v>124.83443859851162</c:v>
                </c:pt>
                <c:pt idx="2100">
                  <c:v>124.85676520893807</c:v>
                </c:pt>
                <c:pt idx="2101">
                  <c:v>124.87909581247365</c:v>
                </c:pt>
                <c:pt idx="2102">
                  <c:v>124.90143040983249</c:v>
                </c:pt>
                <c:pt idx="2103">
                  <c:v>124.9237690017289</c:v>
                </c:pt>
                <c:pt idx="2104">
                  <c:v>124.94611158887717</c:v>
                </c:pt>
                <c:pt idx="2105">
                  <c:v>124.9684581719921</c:v>
                </c:pt>
                <c:pt idx="2106">
                  <c:v>124.99080875178824</c:v>
                </c:pt>
                <c:pt idx="2107">
                  <c:v>125.0131633289804</c:v>
                </c:pt>
                <c:pt idx="2108">
                  <c:v>125.03552190428351</c:v>
                </c:pt>
                <c:pt idx="2109">
                  <c:v>125.05788447841263</c:v>
                </c:pt>
                <c:pt idx="2110">
                  <c:v>125.08025105208296</c:v>
                </c:pt>
                <c:pt idx="2111">
                  <c:v>125.10262162600981</c:v>
                </c:pt>
                <c:pt idx="2112">
                  <c:v>125.12499620090863</c:v>
                </c:pt>
                <c:pt idx="2113">
                  <c:v>125.14737477749486</c:v>
                </c:pt>
                <c:pt idx="2114">
                  <c:v>125.16975735648445</c:v>
                </c:pt>
                <c:pt idx="2115">
                  <c:v>125.19214393859312</c:v>
                </c:pt>
                <c:pt idx="2116">
                  <c:v>125.21453452453679</c:v>
                </c:pt>
                <c:pt idx="2117">
                  <c:v>125.23692911503159</c:v>
                </c:pt>
                <c:pt idx="2118">
                  <c:v>125.2593277107937</c:v>
                </c:pt>
                <c:pt idx="2119">
                  <c:v>125.28173031253948</c:v>
                </c:pt>
                <c:pt idx="2120">
                  <c:v>125.30413692098539</c:v>
                </c:pt>
                <c:pt idx="2121">
                  <c:v>125.32654753684801</c:v>
                </c:pt>
                <c:pt idx="2122">
                  <c:v>125.34896216084401</c:v>
                </c:pt>
                <c:pt idx="2123">
                  <c:v>125.37138079369041</c:v>
                </c:pt>
                <c:pt idx="2124">
                  <c:v>125.39380343610411</c:v>
                </c:pt>
                <c:pt idx="2125">
                  <c:v>125.41623008880219</c:v>
                </c:pt>
                <c:pt idx="2126">
                  <c:v>125.43866075250193</c:v>
                </c:pt>
                <c:pt idx="2127">
                  <c:v>125.46109542792068</c:v>
                </c:pt>
                <c:pt idx="2128">
                  <c:v>125.48353411577592</c:v>
                </c:pt>
                <c:pt idx="2129">
                  <c:v>125.50597681678531</c:v>
                </c:pt>
                <c:pt idx="2130">
                  <c:v>125.52842353166655</c:v>
                </c:pt>
                <c:pt idx="2131">
                  <c:v>125.55087426113744</c:v>
                </c:pt>
                <c:pt idx="2132">
                  <c:v>125.57332900591622</c:v>
                </c:pt>
                <c:pt idx="2133">
                  <c:v>125.59578776672089</c:v>
                </c:pt>
                <c:pt idx="2134">
                  <c:v>125.61825054426973</c:v>
                </c:pt>
                <c:pt idx="2135">
                  <c:v>125.64071733928112</c:v>
                </c:pt>
                <c:pt idx="2136">
                  <c:v>125.66318815247362</c:v>
                </c:pt>
                <c:pt idx="2137">
                  <c:v>125.68566298456584</c:v>
                </c:pt>
                <c:pt idx="2138">
                  <c:v>125.70814183627657</c:v>
                </c:pt>
                <c:pt idx="2139">
                  <c:v>125.73062470832473</c:v>
                </c:pt>
                <c:pt idx="2140">
                  <c:v>125.75311160142923</c:v>
                </c:pt>
                <c:pt idx="2141">
                  <c:v>125.77560251630945</c:v>
                </c:pt>
                <c:pt idx="2142">
                  <c:v>125.7980974536846</c:v>
                </c:pt>
                <c:pt idx="2143">
                  <c:v>125.82059641427409</c:v>
                </c:pt>
                <c:pt idx="2144">
                  <c:v>125.84309939879748</c:v>
                </c:pt>
                <c:pt idx="2145">
                  <c:v>125.86560640797443</c:v>
                </c:pt>
                <c:pt idx="2146">
                  <c:v>125.88811744252487</c:v>
                </c:pt>
                <c:pt idx="2147">
                  <c:v>125.91063250316853</c:v>
                </c:pt>
                <c:pt idx="2148">
                  <c:v>125.93315159062554</c:v>
                </c:pt>
                <c:pt idx="2149">
                  <c:v>125.95567470561613</c:v>
                </c:pt>
                <c:pt idx="2150">
                  <c:v>125.97820184886052</c:v>
                </c:pt>
                <c:pt idx="2151">
                  <c:v>126.00073302107937</c:v>
                </c:pt>
                <c:pt idx="2152">
                  <c:v>126.02326822299315</c:v>
                </c:pt>
                <c:pt idx="2153">
                  <c:v>126.04580745532259</c:v>
                </c:pt>
                <c:pt idx="2154">
                  <c:v>126.06835071878848</c:v>
                </c:pt>
                <c:pt idx="2155">
                  <c:v>126.09089801411183</c:v>
                </c:pt>
                <c:pt idx="2156">
                  <c:v>126.11344934201374</c:v>
                </c:pt>
                <c:pt idx="2157">
                  <c:v>126.13600470321539</c:v>
                </c:pt>
                <c:pt idx="2158">
                  <c:v>126.15856409843819</c:v>
                </c:pt>
                <c:pt idx="2159">
                  <c:v>126.18112752840349</c:v>
                </c:pt>
                <c:pt idx="2160">
                  <c:v>126.20369499383312</c:v>
                </c:pt>
                <c:pt idx="2161">
                  <c:v>126.22626649544871</c:v>
                </c:pt>
                <c:pt idx="2162">
                  <c:v>126.24884203397215</c:v>
                </c:pt>
                <c:pt idx="2163">
                  <c:v>126.27142161012542</c:v>
                </c:pt>
                <c:pt idx="2164">
                  <c:v>126.29400522463062</c:v>
                </c:pt>
                <c:pt idx="2165">
                  <c:v>126.31659287821007</c:v>
                </c:pt>
                <c:pt idx="2166">
                  <c:v>126.33918457158615</c:v>
                </c:pt>
                <c:pt idx="2167">
                  <c:v>126.36178030548133</c:v>
                </c:pt>
                <c:pt idx="2168">
                  <c:v>126.38438008061819</c:v>
                </c:pt>
                <c:pt idx="2169">
                  <c:v>126.40698389771971</c:v>
                </c:pt>
                <c:pt idx="2170">
                  <c:v>126.42959175750867</c:v>
                </c:pt>
                <c:pt idx="2171">
                  <c:v>126.45220366070812</c:v>
                </c:pt>
                <c:pt idx="2172">
                  <c:v>126.4748196080412</c:v>
                </c:pt>
                <c:pt idx="2173">
                  <c:v>126.49743960023125</c:v>
                </c:pt>
                <c:pt idx="2174">
                  <c:v>126.52006363800166</c:v>
                </c:pt>
                <c:pt idx="2175">
                  <c:v>126.54269172207597</c:v>
                </c:pt>
                <c:pt idx="2176">
                  <c:v>126.56532385317789</c:v>
                </c:pt>
                <c:pt idx="2177">
                  <c:v>126.58796003203111</c:v>
                </c:pt>
                <c:pt idx="2178">
                  <c:v>126.61060025935976</c:v>
                </c:pt>
                <c:pt idx="2179">
                  <c:v>126.63324453588783</c:v>
                </c:pt>
                <c:pt idx="2180">
                  <c:v>126.65589286233953</c:v>
                </c:pt>
                <c:pt idx="2181">
                  <c:v>126.67854523943916</c:v>
                </c:pt>
                <c:pt idx="2182">
                  <c:v>126.70120166791118</c:v>
                </c:pt>
                <c:pt idx="2183">
                  <c:v>126.72386214848018</c:v>
                </c:pt>
                <c:pt idx="2184">
                  <c:v>126.74652668187088</c:v>
                </c:pt>
                <c:pt idx="2185">
                  <c:v>126.76919526880815</c:v>
                </c:pt>
                <c:pt idx="2186">
                  <c:v>126.79186791001682</c:v>
                </c:pt>
                <c:pt idx="2187">
                  <c:v>126.81454460622221</c:v>
                </c:pt>
                <c:pt idx="2188">
                  <c:v>126.8372253581495</c:v>
                </c:pt>
                <c:pt idx="2189">
                  <c:v>126.859910166524</c:v>
                </c:pt>
                <c:pt idx="2190">
                  <c:v>126.88259903207121</c:v>
                </c:pt>
                <c:pt idx="2191">
                  <c:v>126.90529195551679</c:v>
                </c:pt>
                <c:pt idx="2192">
                  <c:v>126.92798893758645</c:v>
                </c:pt>
                <c:pt idx="2193">
                  <c:v>126.95068997900611</c:v>
                </c:pt>
                <c:pt idx="2194">
                  <c:v>126.97339508050176</c:v>
                </c:pt>
                <c:pt idx="2195">
                  <c:v>126.99610424279945</c:v>
                </c:pt>
                <c:pt idx="2196">
                  <c:v>127.01881746662568</c:v>
                </c:pt>
                <c:pt idx="2197">
                  <c:v>127.04153475270671</c:v>
                </c:pt>
                <c:pt idx="2198">
                  <c:v>127.06425610176909</c:v>
                </c:pt>
                <c:pt idx="2199">
                  <c:v>127.08698151453949</c:v>
                </c:pt>
                <c:pt idx="2200">
                  <c:v>127.10971099174472</c:v>
                </c:pt>
                <c:pt idx="2201">
                  <c:v>127.13244453411167</c:v>
                </c:pt>
                <c:pt idx="2202">
                  <c:v>127.15518214236739</c:v>
                </c:pt>
                <c:pt idx="2203">
                  <c:v>127.17792381723909</c:v>
                </c:pt>
                <c:pt idx="2204">
                  <c:v>127.20066955945397</c:v>
                </c:pt>
                <c:pt idx="2205">
                  <c:v>127.22341936973969</c:v>
                </c:pt>
                <c:pt idx="2206">
                  <c:v>127.24617324882369</c:v>
                </c:pt>
                <c:pt idx="2207">
                  <c:v>127.2689311974337</c:v>
                </c:pt>
                <c:pt idx="2208">
                  <c:v>127.29169321629757</c:v>
                </c:pt>
                <c:pt idx="2209">
                  <c:v>127.31445930614322</c:v>
                </c:pt>
                <c:pt idx="2210">
                  <c:v>127.33722946769878</c:v>
                </c:pt>
                <c:pt idx="2211">
                  <c:v>127.36000370169243</c:v>
                </c:pt>
                <c:pt idx="2212">
                  <c:v>127.3827820088526</c:v>
                </c:pt>
                <c:pt idx="2213">
                  <c:v>127.40556438990758</c:v>
                </c:pt>
                <c:pt idx="2214">
                  <c:v>127.42835084558627</c:v>
                </c:pt>
                <c:pt idx="2215">
                  <c:v>127.45114137661724</c:v>
                </c:pt>
                <c:pt idx="2216">
                  <c:v>127.47393598372945</c:v>
                </c:pt>
                <c:pt idx="2217">
                  <c:v>127.49673466765185</c:v>
                </c:pt>
                <c:pt idx="2218">
                  <c:v>127.51953742911357</c:v>
                </c:pt>
                <c:pt idx="2219">
                  <c:v>127.54234426884392</c:v>
                </c:pt>
                <c:pt idx="2220">
                  <c:v>127.56515518757226</c:v>
                </c:pt>
                <c:pt idx="2221">
                  <c:v>127.58797018602813</c:v>
                </c:pt>
                <c:pt idx="2222">
                  <c:v>127.61078926494108</c:v>
                </c:pt>
                <c:pt idx="2223">
                  <c:v>127.63361242504112</c:v>
                </c:pt>
                <c:pt idx="2224">
                  <c:v>127.65643966705805</c:v>
                </c:pt>
                <c:pt idx="2225">
                  <c:v>127.67927099172195</c:v>
                </c:pt>
                <c:pt idx="2226">
                  <c:v>127.70210639976295</c:v>
                </c:pt>
                <c:pt idx="2227">
                  <c:v>127.7249458919114</c:v>
                </c:pt>
                <c:pt idx="2228">
                  <c:v>127.74778946889772</c:v>
                </c:pt>
                <c:pt idx="2229">
                  <c:v>127.7706371314525</c:v>
                </c:pt>
                <c:pt idx="2230">
                  <c:v>127.79348888030644</c:v>
                </c:pt>
                <c:pt idx="2231">
                  <c:v>127.81634471619026</c:v>
                </c:pt>
                <c:pt idx="2232">
                  <c:v>127.83920463983513</c:v>
                </c:pt>
                <c:pt idx="2233">
                  <c:v>127.86206865197205</c:v>
                </c:pt>
                <c:pt idx="2234">
                  <c:v>127.88493675333227</c:v>
                </c:pt>
                <c:pt idx="2235">
                  <c:v>127.9078089446471</c:v>
                </c:pt>
                <c:pt idx="2236">
                  <c:v>127.93068522664807</c:v>
                </c:pt>
                <c:pt idx="2237">
                  <c:v>127.95356560006674</c:v>
                </c:pt>
                <c:pt idx="2238">
                  <c:v>127.97645006563492</c:v>
                </c:pt>
                <c:pt idx="2239">
                  <c:v>127.99933862408446</c:v>
                </c:pt>
                <c:pt idx="2240">
                  <c:v>128.02223127614727</c:v>
                </c:pt>
                <c:pt idx="2241">
                  <c:v>128.0451280225557</c:v>
                </c:pt>
                <c:pt idx="2242">
                  <c:v>128.06802886404191</c:v>
                </c:pt>
                <c:pt idx="2243">
                  <c:v>128.09093380133834</c:v>
                </c:pt>
                <c:pt idx="2244">
                  <c:v>128.11384283517751</c:v>
                </c:pt>
                <c:pt idx="2245">
                  <c:v>128.13675596629204</c:v>
                </c:pt>
                <c:pt idx="2246">
                  <c:v>128.15967319541477</c:v>
                </c:pt>
                <c:pt idx="2247">
                  <c:v>128.18259452327865</c:v>
                </c:pt>
                <c:pt idx="2248">
                  <c:v>128.20551995061666</c:v>
                </c:pt>
                <c:pt idx="2249">
                  <c:v>128.22844947816208</c:v>
                </c:pt>
                <c:pt idx="2250">
                  <c:v>128.25138310664806</c:v>
                </c:pt>
                <c:pt idx="2251">
                  <c:v>128.2743208368083</c:v>
                </c:pt>
                <c:pt idx="2252">
                  <c:v>128.29726266937629</c:v>
                </c:pt>
                <c:pt idx="2253">
                  <c:v>128.3202086050857</c:v>
                </c:pt>
                <c:pt idx="2254">
                  <c:v>128.34315864467038</c:v>
                </c:pt>
                <c:pt idx="2255">
                  <c:v>128.36611278886431</c:v>
                </c:pt>
                <c:pt idx="2256">
                  <c:v>128.38907103840165</c:v>
                </c:pt>
                <c:pt idx="2257">
                  <c:v>128.41203339401659</c:v>
                </c:pt>
                <c:pt idx="2258">
                  <c:v>128.43499985644351</c:v>
                </c:pt>
                <c:pt idx="2259">
                  <c:v>128.45797042641681</c:v>
                </c:pt>
                <c:pt idx="2260">
                  <c:v>128.48094510467135</c:v>
                </c:pt>
                <c:pt idx="2261">
                  <c:v>128.50392389194175</c:v>
                </c:pt>
                <c:pt idx="2262">
                  <c:v>128.52690678896295</c:v>
                </c:pt>
                <c:pt idx="2263">
                  <c:v>128.54989379646995</c:v>
                </c:pt>
                <c:pt idx="2264">
                  <c:v>128.5728849151979</c:v>
                </c:pt>
                <c:pt idx="2265">
                  <c:v>128.59588014588215</c:v>
                </c:pt>
                <c:pt idx="2266">
                  <c:v>128.61887948925803</c:v>
                </c:pt>
                <c:pt idx="2267">
                  <c:v>128.6418829460612</c:v>
                </c:pt>
                <c:pt idx="2268">
                  <c:v>128.66489051702715</c:v>
                </c:pt>
                <c:pt idx="2269">
                  <c:v>128.68790220289193</c:v>
                </c:pt>
                <c:pt idx="2270">
                  <c:v>128.7109180043914</c:v>
                </c:pt>
                <c:pt idx="2271">
                  <c:v>128.73393792226167</c:v>
                </c:pt>
                <c:pt idx="2272">
                  <c:v>128.7569619572389</c:v>
                </c:pt>
                <c:pt idx="2273">
                  <c:v>128.77999011005946</c:v>
                </c:pt>
                <c:pt idx="2274">
                  <c:v>128.80302238145981</c:v>
                </c:pt>
                <c:pt idx="2275">
                  <c:v>128.82605877217657</c:v>
                </c:pt>
                <c:pt idx="2276">
                  <c:v>128.84909928294647</c:v>
                </c:pt>
                <c:pt idx="2277">
                  <c:v>128.87214391450627</c:v>
                </c:pt>
                <c:pt idx="2278">
                  <c:v>128.89519266759322</c:v>
                </c:pt>
                <c:pt idx="2279">
                  <c:v>128.91824554294428</c:v>
                </c:pt>
                <c:pt idx="2280">
                  <c:v>128.94130254129678</c:v>
                </c:pt>
                <c:pt idx="2281">
                  <c:v>128.9643636633881</c:v>
                </c:pt>
                <c:pt idx="2282">
                  <c:v>128.98742890995575</c:v>
                </c:pt>
                <c:pt idx="2283">
                  <c:v>129.01049828173743</c:v>
                </c:pt>
                <c:pt idx="2284">
                  <c:v>129.03357177947089</c:v>
                </c:pt>
                <c:pt idx="2285">
                  <c:v>129.05664940389406</c:v>
                </c:pt>
                <c:pt idx="2286">
                  <c:v>129.07973115574492</c:v>
                </c:pt>
                <c:pt idx="2287">
                  <c:v>129.10281703576186</c:v>
                </c:pt>
                <c:pt idx="2288">
                  <c:v>129.12590704468309</c:v>
                </c:pt>
                <c:pt idx="2289">
                  <c:v>129.14900118324709</c:v>
                </c:pt>
                <c:pt idx="2290">
                  <c:v>129.17209945219238</c:v>
                </c:pt>
                <c:pt idx="2291">
                  <c:v>129.19520185225775</c:v>
                </c:pt>
                <c:pt idx="2292">
                  <c:v>129.21830838418202</c:v>
                </c:pt>
                <c:pt idx="2293">
                  <c:v>129.24141904870416</c:v>
                </c:pt>
                <c:pt idx="2294">
                  <c:v>129.2645338465633</c:v>
                </c:pt>
                <c:pt idx="2295">
                  <c:v>129.2876527784986</c:v>
                </c:pt>
                <c:pt idx="2296">
                  <c:v>129.31077584524959</c:v>
                </c:pt>
                <c:pt idx="2297">
                  <c:v>129.33390304755571</c:v>
                </c:pt>
                <c:pt idx="2298">
                  <c:v>129.35703438615664</c:v>
                </c:pt>
                <c:pt idx="2299">
                  <c:v>129.3801698617921</c:v>
                </c:pt>
                <c:pt idx="2300">
                  <c:v>129.40330947520204</c:v>
                </c:pt>
                <c:pt idx="2301">
                  <c:v>129.42645322712644</c:v>
                </c:pt>
                <c:pt idx="2302">
                  <c:v>129.44960111830554</c:v>
                </c:pt>
                <c:pt idx="2303">
                  <c:v>129.47275314947962</c:v>
                </c:pt>
                <c:pt idx="2304">
                  <c:v>129.49590932138898</c:v>
                </c:pt>
                <c:pt idx="2305">
                  <c:v>129.51906963477455</c:v>
                </c:pt>
                <c:pt idx="2306">
                  <c:v>129.5422340903767</c:v>
                </c:pt>
                <c:pt idx="2307">
                  <c:v>129.56540268893636</c:v>
                </c:pt>
                <c:pt idx="2308">
                  <c:v>129.5885754311945</c:v>
                </c:pt>
                <c:pt idx="2309">
                  <c:v>129.61175231789224</c:v>
                </c:pt>
                <c:pt idx="2310">
                  <c:v>129.63493334977079</c:v>
                </c:pt>
                <c:pt idx="2311">
                  <c:v>129.65811852757153</c:v>
                </c:pt>
                <c:pt idx="2312">
                  <c:v>129.68130785203596</c:v>
                </c:pt>
                <c:pt idx="2313">
                  <c:v>129.70450132390556</c:v>
                </c:pt>
                <c:pt idx="2314">
                  <c:v>129.72769894392235</c:v>
                </c:pt>
                <c:pt idx="2315">
                  <c:v>129.7509007128281</c:v>
                </c:pt>
                <c:pt idx="2316">
                  <c:v>129.77410663136487</c:v>
                </c:pt>
                <c:pt idx="2317">
                  <c:v>129.79731670027476</c:v>
                </c:pt>
                <c:pt idx="2318">
                  <c:v>129.82053092030014</c:v>
                </c:pt>
                <c:pt idx="2319">
                  <c:v>129.84374929218336</c:v>
                </c:pt>
                <c:pt idx="2320">
                  <c:v>129.86697181666702</c:v>
                </c:pt>
                <c:pt idx="2321">
                  <c:v>129.89019849449383</c:v>
                </c:pt>
                <c:pt idx="2322">
                  <c:v>129.91342932640654</c:v>
                </c:pt>
                <c:pt idx="2323">
                  <c:v>129.93666431314807</c:v>
                </c:pt>
                <c:pt idx="2324">
                  <c:v>129.9599034554617</c:v>
                </c:pt>
                <c:pt idx="2325">
                  <c:v>129.98314675409057</c:v>
                </c:pt>
                <c:pt idx="2326">
                  <c:v>130.00639420977802</c:v>
                </c:pt>
                <c:pt idx="2327">
                  <c:v>130.02964582326751</c:v>
                </c:pt>
                <c:pt idx="2328">
                  <c:v>130.0529015953027</c:v>
                </c:pt>
                <c:pt idx="2329">
                  <c:v>130.07616152662735</c:v>
                </c:pt>
                <c:pt idx="2330">
                  <c:v>130.0994256179853</c:v>
                </c:pt>
                <c:pt idx="2331">
                  <c:v>130.1226938701206</c:v>
                </c:pt>
                <c:pt idx="2332">
                  <c:v>130.14596628377728</c:v>
                </c:pt>
                <c:pt idx="2333">
                  <c:v>130.16924285969989</c:v>
                </c:pt>
                <c:pt idx="2334">
                  <c:v>130.19252359863273</c:v>
                </c:pt>
                <c:pt idx="2335">
                  <c:v>130.21580850132031</c:v>
                </c:pt>
                <c:pt idx="2336">
                  <c:v>130.23909756850733</c:v>
                </c:pt>
                <c:pt idx="2337">
                  <c:v>130.26239080093862</c:v>
                </c:pt>
                <c:pt idx="2338">
                  <c:v>130.28568819935916</c:v>
                </c:pt>
                <c:pt idx="2339">
                  <c:v>130.30898976451402</c:v>
                </c:pt>
                <c:pt idx="2340">
                  <c:v>130.33229549714838</c:v>
                </c:pt>
                <c:pt idx="2341">
                  <c:v>130.35560539800753</c:v>
                </c:pt>
                <c:pt idx="2342">
                  <c:v>130.37891946783714</c:v>
                </c:pt>
                <c:pt idx="2343">
                  <c:v>130.40223770738274</c:v>
                </c:pt>
                <c:pt idx="2344">
                  <c:v>130.42556011739012</c:v>
                </c:pt>
                <c:pt idx="2345">
                  <c:v>130.44888669860509</c:v>
                </c:pt>
                <c:pt idx="2346">
                  <c:v>130.47221745177373</c:v>
                </c:pt>
                <c:pt idx="2347">
                  <c:v>130.49555237764216</c:v>
                </c:pt>
                <c:pt idx="2348">
                  <c:v>130.51889147695667</c:v>
                </c:pt>
                <c:pt idx="2349">
                  <c:v>130.54223475046368</c:v>
                </c:pt>
                <c:pt idx="2350">
                  <c:v>130.56558219890962</c:v>
                </c:pt>
                <c:pt idx="2351">
                  <c:v>130.58893382304149</c:v>
                </c:pt>
                <c:pt idx="2352">
                  <c:v>130.61228962360585</c:v>
                </c:pt>
                <c:pt idx="2353">
                  <c:v>130.63564960134977</c:v>
                </c:pt>
                <c:pt idx="2354">
                  <c:v>130.65901375702029</c:v>
                </c:pt>
                <c:pt idx="2355">
                  <c:v>130.68238209136464</c:v>
                </c:pt>
                <c:pt idx="2356">
                  <c:v>130.70575460513018</c:v>
                </c:pt>
                <c:pt idx="2357">
                  <c:v>130.72913129906439</c:v>
                </c:pt>
                <c:pt idx="2358">
                  <c:v>130.75251217391491</c:v>
                </c:pt>
                <c:pt idx="2359">
                  <c:v>130.77589723042934</c:v>
                </c:pt>
                <c:pt idx="2360">
                  <c:v>130.79928646935582</c:v>
                </c:pt>
                <c:pt idx="2361">
                  <c:v>130.82267989144228</c:v>
                </c:pt>
                <c:pt idx="2362">
                  <c:v>130.84607749743688</c:v>
                </c:pt>
                <c:pt idx="2363">
                  <c:v>130.86947928808786</c:v>
                </c:pt>
                <c:pt idx="2364">
                  <c:v>130.8928852641437</c:v>
                </c:pt>
                <c:pt idx="2365">
                  <c:v>130.91629542635292</c:v>
                </c:pt>
                <c:pt idx="2366">
                  <c:v>130.93970977546422</c:v>
                </c:pt>
                <c:pt idx="2367">
                  <c:v>130.96312831222644</c:v>
                </c:pt>
                <c:pt idx="2368">
                  <c:v>130.98655103738847</c:v>
                </c:pt>
                <c:pt idx="2369">
                  <c:v>131.00997795169954</c:v>
                </c:pt>
                <c:pt idx="2370">
                  <c:v>131.03340905590878</c:v>
                </c:pt>
                <c:pt idx="2371">
                  <c:v>131.05684435076563</c:v>
                </c:pt>
                <c:pt idx="2372">
                  <c:v>131.08028383701952</c:v>
                </c:pt>
                <c:pt idx="2373">
                  <c:v>131.10372751542008</c:v>
                </c:pt>
                <c:pt idx="2374">
                  <c:v>131.12717538671711</c:v>
                </c:pt>
                <c:pt idx="2375">
                  <c:v>131.15062745166048</c:v>
                </c:pt>
                <c:pt idx="2376">
                  <c:v>131.17408371100024</c:v>
                </c:pt>
                <c:pt idx="2377">
                  <c:v>131.19754416548645</c:v>
                </c:pt>
                <c:pt idx="2378">
                  <c:v>131.2210088158696</c:v>
                </c:pt>
                <c:pt idx="2379">
                  <c:v>131.24447766290004</c:v>
                </c:pt>
                <c:pt idx="2380">
                  <c:v>131.26795070732834</c:v>
                </c:pt>
                <c:pt idx="2381">
                  <c:v>131.2914279499052</c:v>
                </c:pt>
                <c:pt idx="2382">
                  <c:v>131.31490939138146</c:v>
                </c:pt>
                <c:pt idx="2383">
                  <c:v>131.33839503250809</c:v>
                </c:pt>
                <c:pt idx="2384">
                  <c:v>131.36188487403618</c:v>
                </c:pt>
                <c:pt idx="2385">
                  <c:v>131.385378916717</c:v>
                </c:pt>
                <c:pt idx="2386">
                  <c:v>131.40887716130177</c:v>
                </c:pt>
                <c:pt idx="2387">
                  <c:v>131.43237960854228</c:v>
                </c:pt>
                <c:pt idx="2388">
                  <c:v>131.45588625919004</c:v>
                </c:pt>
                <c:pt idx="2389">
                  <c:v>131.47939711399681</c:v>
                </c:pt>
                <c:pt idx="2390">
                  <c:v>131.50291217371455</c:v>
                </c:pt>
                <c:pt idx="2391">
                  <c:v>131.52643143909523</c:v>
                </c:pt>
                <c:pt idx="2392">
                  <c:v>131.54995491089107</c:v>
                </c:pt>
                <c:pt idx="2393">
                  <c:v>131.57348258985442</c:v>
                </c:pt>
                <c:pt idx="2394">
                  <c:v>131.59701447673768</c:v>
                </c:pt>
                <c:pt idx="2395">
                  <c:v>131.62055057229335</c:v>
                </c:pt>
                <c:pt idx="2396">
                  <c:v>131.64409087727441</c:v>
                </c:pt>
                <c:pt idx="2397">
                  <c:v>131.66763539243354</c:v>
                </c:pt>
                <c:pt idx="2398">
                  <c:v>131.69118411852372</c:v>
                </c:pt>
                <c:pt idx="2399">
                  <c:v>131.71473705629813</c:v>
                </c:pt>
                <c:pt idx="2400">
                  <c:v>131.73829420651003</c:v>
                </c:pt>
                <c:pt idx="2401">
                  <c:v>131.76185556991274</c:v>
                </c:pt>
                <c:pt idx="2402">
                  <c:v>131.78542114725988</c:v>
                </c:pt>
                <c:pt idx="2403">
                  <c:v>131.80899093930506</c:v>
                </c:pt>
                <c:pt idx="2404">
                  <c:v>131.83256494680197</c:v>
                </c:pt>
                <c:pt idx="2405">
                  <c:v>131.85614317050477</c:v>
                </c:pt>
                <c:pt idx="2406">
                  <c:v>131.8797256111674</c:v>
                </c:pt>
                <c:pt idx="2407">
                  <c:v>131.9033122695441</c:v>
                </c:pt>
                <c:pt idx="2408">
                  <c:v>131.92690314638918</c:v>
                </c:pt>
                <c:pt idx="2409">
                  <c:v>131.95049824245712</c:v>
                </c:pt>
                <c:pt idx="2410">
                  <c:v>131.97409755850254</c:v>
                </c:pt>
                <c:pt idx="2411">
                  <c:v>131.99770109528015</c:v>
                </c:pt>
                <c:pt idx="2412">
                  <c:v>132.02130885354487</c:v>
                </c:pt>
                <c:pt idx="2413">
                  <c:v>132.04492083405154</c:v>
                </c:pt>
                <c:pt idx="2414">
                  <c:v>132.06853703755559</c:v>
                </c:pt>
                <c:pt idx="2415">
                  <c:v>132.09215746481215</c:v>
                </c:pt>
                <c:pt idx="2416">
                  <c:v>132.11578211657667</c:v>
                </c:pt>
                <c:pt idx="2417">
                  <c:v>132.13941099360466</c:v>
                </c:pt>
                <c:pt idx="2418">
                  <c:v>132.16304409665187</c:v>
                </c:pt>
                <c:pt idx="2419">
                  <c:v>132.18668142647408</c:v>
                </c:pt>
                <c:pt idx="2420">
                  <c:v>132.21032298382724</c:v>
                </c:pt>
                <c:pt idx="2421">
                  <c:v>132.23396876946742</c:v>
                </c:pt>
                <c:pt idx="2422">
                  <c:v>132.25761878415085</c:v>
                </c:pt>
                <c:pt idx="2423">
                  <c:v>132.28127302863399</c:v>
                </c:pt>
                <c:pt idx="2424">
                  <c:v>132.30493150367326</c:v>
                </c:pt>
                <c:pt idx="2425">
                  <c:v>132.32859421002536</c:v>
                </c:pt>
                <c:pt idx="2426">
                  <c:v>132.35226114844698</c:v>
                </c:pt>
                <c:pt idx="2427">
                  <c:v>132.37593231969507</c:v>
                </c:pt>
                <c:pt idx="2428">
                  <c:v>132.39960772452665</c:v>
                </c:pt>
                <c:pt idx="2429">
                  <c:v>132.42328736369888</c:v>
                </c:pt>
                <c:pt idx="2430">
                  <c:v>132.44697123796911</c:v>
                </c:pt>
                <c:pt idx="2431">
                  <c:v>132.47065934809464</c:v>
                </c:pt>
                <c:pt idx="2432">
                  <c:v>132.49435169483331</c:v>
                </c:pt>
                <c:pt idx="2433">
                  <c:v>132.5180482789427</c:v>
                </c:pt>
                <c:pt idx="2434">
                  <c:v>132.54174910118067</c:v>
                </c:pt>
                <c:pt idx="2435">
                  <c:v>132.5654541623052</c:v>
                </c:pt>
                <c:pt idx="2436">
                  <c:v>132.58916346307441</c:v>
                </c:pt>
                <c:pt idx="2437">
                  <c:v>132.6128770042466</c:v>
                </c:pt>
                <c:pt idx="2438">
                  <c:v>132.6365947865801</c:v>
                </c:pt>
                <c:pt idx="2439">
                  <c:v>132.66031681083351</c:v>
                </c:pt>
                <c:pt idx="2440">
                  <c:v>132.68404307776532</c:v>
                </c:pt>
                <c:pt idx="2441">
                  <c:v>132.70777358813461</c:v>
                </c:pt>
                <c:pt idx="2442">
                  <c:v>132.73150834270018</c:v>
                </c:pt>
                <c:pt idx="2443">
                  <c:v>132.75524734222111</c:v>
                </c:pt>
                <c:pt idx="2444">
                  <c:v>132.77899058745658</c:v>
                </c:pt>
                <c:pt idx="2445">
                  <c:v>132.80273807916598</c:v>
                </c:pt>
                <c:pt idx="2446">
                  <c:v>132.8264898181088</c:v>
                </c:pt>
                <c:pt idx="2447">
                  <c:v>132.85024580504458</c:v>
                </c:pt>
                <c:pt idx="2448">
                  <c:v>132.87400604073315</c:v>
                </c:pt>
                <c:pt idx="2449">
                  <c:v>132.89777052593425</c:v>
                </c:pt>
                <c:pt idx="2450">
                  <c:v>132.9215392614081</c:v>
                </c:pt>
                <c:pt idx="2451">
                  <c:v>132.94531224791481</c:v>
                </c:pt>
                <c:pt idx="2452">
                  <c:v>132.96908948621467</c:v>
                </c:pt>
                <c:pt idx="2453">
                  <c:v>132.99287097706809</c:v>
                </c:pt>
                <c:pt idx="2454">
                  <c:v>133.01665672123562</c:v>
                </c:pt>
                <c:pt idx="2455">
                  <c:v>133.04044671947798</c:v>
                </c:pt>
                <c:pt idx="2456">
                  <c:v>133.06424097255604</c:v>
                </c:pt>
                <c:pt idx="2457">
                  <c:v>133.08803948123074</c:v>
                </c:pt>
                <c:pt idx="2458">
                  <c:v>133.11184224626319</c:v>
                </c:pt>
                <c:pt idx="2459">
                  <c:v>133.13564926841454</c:v>
                </c:pt>
                <c:pt idx="2460">
                  <c:v>133.15946054844642</c:v>
                </c:pt>
                <c:pt idx="2461">
                  <c:v>133.18327608712022</c:v>
                </c:pt>
                <c:pt idx="2462">
                  <c:v>133.20709588519756</c:v>
                </c:pt>
                <c:pt idx="2463">
                  <c:v>133.23091994344031</c:v>
                </c:pt>
                <c:pt idx="2464">
                  <c:v>133.25474826261035</c:v>
                </c:pt>
                <c:pt idx="2465">
                  <c:v>133.27858084346985</c:v>
                </c:pt>
                <c:pt idx="2466">
                  <c:v>133.30241768678081</c:v>
                </c:pt>
                <c:pt idx="2467">
                  <c:v>133.3262587933057</c:v>
                </c:pt>
                <c:pt idx="2468">
                  <c:v>133.3501041638068</c:v>
                </c:pt>
                <c:pt idx="2469">
                  <c:v>133.37395379904706</c:v>
                </c:pt>
                <c:pt idx="2470">
                  <c:v>133.39780769978901</c:v>
                </c:pt>
                <c:pt idx="2471">
                  <c:v>133.42166586679562</c:v>
                </c:pt>
                <c:pt idx="2472">
                  <c:v>133.44552830082986</c:v>
                </c:pt>
                <c:pt idx="2473">
                  <c:v>133.46939500265489</c:v>
                </c:pt>
                <c:pt idx="2474">
                  <c:v>133.49326597303403</c:v>
                </c:pt>
                <c:pt idx="2475">
                  <c:v>133.51714121273068</c:v>
                </c:pt>
                <c:pt idx="2476">
                  <c:v>133.54102072250842</c:v>
                </c:pt>
                <c:pt idx="2477">
                  <c:v>133.56490450313086</c:v>
                </c:pt>
                <c:pt idx="2478">
                  <c:v>133.58879255536201</c:v>
                </c:pt>
                <c:pt idx="2479">
                  <c:v>133.61268487996577</c:v>
                </c:pt>
                <c:pt idx="2480">
                  <c:v>133.63658147770627</c:v>
                </c:pt>
                <c:pt idx="2481">
                  <c:v>133.66048234934775</c:v>
                </c:pt>
                <c:pt idx="2482">
                  <c:v>133.68438749565456</c:v>
                </c:pt>
                <c:pt idx="2483">
                  <c:v>133.70829691739127</c:v>
                </c:pt>
                <c:pt idx="2484">
                  <c:v>133.73221061532251</c:v>
                </c:pt>
                <c:pt idx="2485">
                  <c:v>133.75612859021308</c:v>
                </c:pt>
                <c:pt idx="2486">
                  <c:v>133.78005084282782</c:v>
                </c:pt>
                <c:pt idx="2487">
                  <c:v>133.80397737393199</c:v>
                </c:pt>
                <c:pt idx="2488">
                  <c:v>133.82790818429072</c:v>
                </c:pt>
                <c:pt idx="2489">
                  <c:v>133.85184327466933</c:v>
                </c:pt>
                <c:pt idx="2490">
                  <c:v>133.87578264583334</c:v>
                </c:pt>
                <c:pt idx="2491">
                  <c:v>133.8997262985483</c:v>
                </c:pt>
                <c:pt idx="2492">
                  <c:v>133.92367423358004</c:v>
                </c:pt>
                <c:pt idx="2493">
                  <c:v>133.94762645169439</c:v>
                </c:pt>
                <c:pt idx="2494">
                  <c:v>133.97158295365739</c:v>
                </c:pt>
                <c:pt idx="2495">
                  <c:v>133.99554374023512</c:v>
                </c:pt>
                <c:pt idx="2496">
                  <c:v>134.01950881219409</c:v>
                </c:pt>
                <c:pt idx="2497">
                  <c:v>134.04347817030063</c:v>
                </c:pt>
                <c:pt idx="2498">
                  <c:v>134.06745181532131</c:v>
                </c:pt>
                <c:pt idx="2499">
                  <c:v>134.09142974802285</c:v>
                </c:pt>
                <c:pt idx="2500">
                  <c:v>134.1154119691721</c:v>
                </c:pt>
                <c:pt idx="2501">
                  <c:v>134.13939847953606</c:v>
                </c:pt>
                <c:pt idx="2502">
                  <c:v>134.16338927988181</c:v>
                </c:pt>
                <c:pt idx="2503">
                  <c:v>134.18738437097667</c:v>
                </c:pt>
                <c:pt idx="2504">
                  <c:v>134.21138375358791</c:v>
                </c:pt>
                <c:pt idx="2505">
                  <c:v>134.23538742848325</c:v>
                </c:pt>
                <c:pt idx="2506">
                  <c:v>134.25939539643031</c:v>
                </c:pt>
                <c:pt idx="2507">
                  <c:v>134.28340765819686</c:v>
                </c:pt>
                <c:pt idx="2508">
                  <c:v>134.30742421455088</c:v>
                </c:pt>
                <c:pt idx="2509">
                  <c:v>134.33144506626044</c:v>
                </c:pt>
                <c:pt idx="2510">
                  <c:v>134.35547021409377</c:v>
                </c:pt>
                <c:pt idx="2511">
                  <c:v>134.37949965881921</c:v>
                </c:pt>
                <c:pt idx="2512">
                  <c:v>134.40353340120527</c:v>
                </c:pt>
                <c:pt idx="2513">
                  <c:v>134.42757144202048</c:v>
                </c:pt>
                <c:pt idx="2514">
                  <c:v>134.45161378203383</c:v>
                </c:pt>
                <c:pt idx="2515">
                  <c:v>134.47566042201413</c:v>
                </c:pt>
                <c:pt idx="2516">
                  <c:v>134.49971136273041</c:v>
                </c:pt>
                <c:pt idx="2517">
                  <c:v>134.52376660495187</c:v>
                </c:pt>
                <c:pt idx="2518">
                  <c:v>134.54782614944787</c:v>
                </c:pt>
                <c:pt idx="2519">
                  <c:v>134.57188999698778</c:v>
                </c:pt>
                <c:pt idx="2520">
                  <c:v>134.59595814834128</c:v>
                </c:pt>
                <c:pt idx="2521">
                  <c:v>134.62003060427804</c:v>
                </c:pt>
                <c:pt idx="2522">
                  <c:v>134.64410736556786</c:v>
                </c:pt>
                <c:pt idx="2523">
                  <c:v>134.668188432981</c:v>
                </c:pt>
                <c:pt idx="2524">
                  <c:v>134.69227380728745</c:v>
                </c:pt>
                <c:pt idx="2525">
                  <c:v>134.71636348925753</c:v>
                </c:pt>
                <c:pt idx="2526">
                  <c:v>134.74045747966161</c:v>
                </c:pt>
                <c:pt idx="2527">
                  <c:v>134.76455577927035</c:v>
                </c:pt>
                <c:pt idx="2528">
                  <c:v>134.78865838885434</c:v>
                </c:pt>
                <c:pt idx="2529">
                  <c:v>134.81276530918453</c:v>
                </c:pt>
                <c:pt idx="2530">
                  <c:v>134.83687654103178</c:v>
                </c:pt>
                <c:pt idx="2531">
                  <c:v>134.86099208516717</c:v>
                </c:pt>
                <c:pt idx="2532">
                  <c:v>134.88511194236216</c:v>
                </c:pt>
                <c:pt idx="2533">
                  <c:v>134.909236113388</c:v>
                </c:pt>
                <c:pt idx="2534">
                  <c:v>134.93336459901627</c:v>
                </c:pt>
                <c:pt idx="2535">
                  <c:v>134.95749740001858</c:v>
                </c:pt>
                <c:pt idx="2536">
                  <c:v>134.98163451716678</c:v>
                </c:pt>
                <c:pt idx="2537">
                  <c:v>135.00577595123281</c:v>
                </c:pt>
                <c:pt idx="2538">
                  <c:v>135.0299217029887</c:v>
                </c:pt>
                <c:pt idx="2539">
                  <c:v>135.05407177320669</c:v>
                </c:pt>
                <c:pt idx="2540">
                  <c:v>135.07822616265915</c:v>
                </c:pt>
                <c:pt idx="2541">
                  <c:v>135.10238487211845</c:v>
                </c:pt>
                <c:pt idx="2542">
                  <c:v>135.12654790235749</c:v>
                </c:pt>
                <c:pt idx="2543">
                  <c:v>135.15071525414885</c:v>
                </c:pt>
                <c:pt idx="2544">
                  <c:v>135.17488692826549</c:v>
                </c:pt>
                <c:pt idx="2545">
                  <c:v>135.19906292548046</c:v>
                </c:pt>
                <c:pt idx="2546">
                  <c:v>135.22324324656691</c:v>
                </c:pt>
                <c:pt idx="2547">
                  <c:v>135.24742789229822</c:v>
                </c:pt>
                <c:pt idx="2548">
                  <c:v>135.27161686344778</c:v>
                </c:pt>
                <c:pt idx="2549">
                  <c:v>135.29581016078927</c:v>
                </c:pt>
                <c:pt idx="2550">
                  <c:v>135.32000778509624</c:v>
                </c:pt>
                <c:pt idx="2551">
                  <c:v>135.34420973714282</c:v>
                </c:pt>
                <c:pt idx="2552">
                  <c:v>135.36841601770294</c:v>
                </c:pt>
                <c:pt idx="2553">
                  <c:v>135.39262662755073</c:v>
                </c:pt>
                <c:pt idx="2554">
                  <c:v>135.41684156746047</c:v>
                </c:pt>
                <c:pt idx="2555">
                  <c:v>135.4410608382066</c:v>
                </c:pt>
                <c:pt idx="2556">
                  <c:v>135.46528444056369</c:v>
                </c:pt>
                <c:pt idx="2557">
                  <c:v>135.48951237530645</c:v>
                </c:pt>
                <c:pt idx="2558">
                  <c:v>135.51374464320975</c:v>
                </c:pt>
                <c:pt idx="2559">
                  <c:v>135.5379812450484</c:v>
                </c:pt>
                <c:pt idx="2560">
                  <c:v>135.5622221815978</c:v>
                </c:pt>
                <c:pt idx="2561">
                  <c:v>135.58646745363311</c:v>
                </c:pt>
                <c:pt idx="2562">
                  <c:v>135.61071706192971</c:v>
                </c:pt>
                <c:pt idx="2563">
                  <c:v>135.63497100726312</c:v>
                </c:pt>
                <c:pt idx="2564">
                  <c:v>135.65922929040903</c:v>
                </c:pt>
                <c:pt idx="2565">
                  <c:v>135.68349191214327</c:v>
                </c:pt>
                <c:pt idx="2566">
                  <c:v>135.70775887324177</c:v>
                </c:pt>
                <c:pt idx="2567">
                  <c:v>135.73203017448068</c:v>
                </c:pt>
                <c:pt idx="2568">
                  <c:v>135.75630581663606</c:v>
                </c:pt>
                <c:pt idx="2569">
                  <c:v>135.78058580048452</c:v>
                </c:pt>
                <c:pt idx="2570">
                  <c:v>135.80487012680246</c:v>
                </c:pt>
                <c:pt idx="2571">
                  <c:v>135.82915879636656</c:v>
                </c:pt>
                <c:pt idx="2572">
                  <c:v>135.85345180995355</c:v>
                </c:pt>
                <c:pt idx="2573">
                  <c:v>135.87774916834044</c:v>
                </c:pt>
                <c:pt idx="2574">
                  <c:v>135.90205087230424</c:v>
                </c:pt>
                <c:pt idx="2575">
                  <c:v>135.92635692262215</c:v>
                </c:pt>
                <c:pt idx="2576">
                  <c:v>135.95066732007152</c:v>
                </c:pt>
                <c:pt idx="2577">
                  <c:v>135.97498206542974</c:v>
                </c:pt>
                <c:pt idx="2578">
                  <c:v>135.99930115947464</c:v>
                </c:pt>
                <c:pt idx="2579">
                  <c:v>136.02362460298389</c:v>
                </c:pt>
                <c:pt idx="2580">
                  <c:v>136.04795239673538</c:v>
                </c:pt>
                <c:pt idx="2581">
                  <c:v>136.07228454150714</c:v>
                </c:pt>
                <c:pt idx="2582">
                  <c:v>136.09662103807736</c:v>
                </c:pt>
                <c:pt idx="2583">
                  <c:v>136.12096188722435</c:v>
                </c:pt>
                <c:pt idx="2584">
                  <c:v>136.14530708972657</c:v>
                </c:pt>
                <c:pt idx="2585">
                  <c:v>136.1696566463626</c:v>
                </c:pt>
                <c:pt idx="2586">
                  <c:v>136.1940105579111</c:v>
                </c:pt>
                <c:pt idx="2587">
                  <c:v>136.21836882515117</c:v>
                </c:pt>
                <c:pt idx="2588">
                  <c:v>136.24273144886166</c:v>
                </c:pt>
                <c:pt idx="2589">
                  <c:v>136.26709842982177</c:v>
                </c:pt>
                <c:pt idx="2590">
                  <c:v>136.2914697688108</c:v>
                </c:pt>
                <c:pt idx="2591">
                  <c:v>136.31584546660815</c:v>
                </c:pt>
                <c:pt idx="2592">
                  <c:v>136.34022552399341</c:v>
                </c:pt>
                <c:pt idx="2593">
                  <c:v>136.36460994174627</c:v>
                </c:pt>
                <c:pt idx="2594">
                  <c:v>136.38899872064661</c:v>
                </c:pt>
                <c:pt idx="2595">
                  <c:v>136.41339186147428</c:v>
                </c:pt>
                <c:pt idx="2596">
                  <c:v>136.43778936500965</c:v>
                </c:pt>
                <c:pt idx="2597">
                  <c:v>136.46219123203286</c:v>
                </c:pt>
                <c:pt idx="2598">
                  <c:v>136.48659746332439</c:v>
                </c:pt>
                <c:pt idx="2599">
                  <c:v>136.51100805966468</c:v>
                </c:pt>
                <c:pt idx="2600">
                  <c:v>136.5354230218345</c:v>
                </c:pt>
                <c:pt idx="2601">
                  <c:v>136.55984235061464</c:v>
                </c:pt>
                <c:pt idx="2602">
                  <c:v>136.58426604678607</c:v>
                </c:pt>
                <c:pt idx="2603">
                  <c:v>136.60869411112992</c:v>
                </c:pt>
                <c:pt idx="2604">
                  <c:v>136.63312654442728</c:v>
                </c:pt>
                <c:pt idx="2605">
                  <c:v>136.65756334745981</c:v>
                </c:pt>
                <c:pt idx="2606">
                  <c:v>136.68200452100891</c:v>
                </c:pt>
                <c:pt idx="2607">
                  <c:v>136.70645006585622</c:v>
                </c:pt>
                <c:pt idx="2608">
                  <c:v>136.73089998278357</c:v>
                </c:pt>
                <c:pt idx="2609">
                  <c:v>136.75535427257287</c:v>
                </c:pt>
                <c:pt idx="2610">
                  <c:v>136.77981293600627</c:v>
                </c:pt>
                <c:pt idx="2611">
                  <c:v>136.80427597386594</c:v>
                </c:pt>
                <c:pt idx="2612">
                  <c:v>136.82874338693429</c:v>
                </c:pt>
                <c:pt idx="2613">
                  <c:v>136.85321517599368</c:v>
                </c:pt>
                <c:pt idx="2614">
                  <c:v>136.87769134182696</c:v>
                </c:pt>
                <c:pt idx="2615">
                  <c:v>136.90217188521686</c:v>
                </c:pt>
                <c:pt idx="2616">
                  <c:v>136.92665680694626</c:v>
                </c:pt>
                <c:pt idx="2617">
                  <c:v>136.95114610779825</c:v>
                </c:pt>
                <c:pt idx="2618">
                  <c:v>136.97563978855601</c:v>
                </c:pt>
                <c:pt idx="2619">
                  <c:v>137.00013785000289</c:v>
                </c:pt>
                <c:pt idx="2620">
                  <c:v>137.02464029292241</c:v>
                </c:pt>
                <c:pt idx="2621">
                  <c:v>137.04914711809818</c:v>
                </c:pt>
                <c:pt idx="2622">
                  <c:v>137.07365832631379</c:v>
                </c:pt>
                <c:pt idx="2623">
                  <c:v>137.09817391835347</c:v>
                </c:pt>
                <c:pt idx="2624">
                  <c:v>137.12269389500108</c:v>
                </c:pt>
                <c:pt idx="2625">
                  <c:v>137.14721825704098</c:v>
                </c:pt>
                <c:pt idx="2626">
                  <c:v>137.1717470052572</c:v>
                </c:pt>
                <c:pt idx="2627">
                  <c:v>137.1962801404344</c:v>
                </c:pt>
                <c:pt idx="2628">
                  <c:v>137.22081766335714</c:v>
                </c:pt>
                <c:pt idx="2629">
                  <c:v>137.24535957481012</c:v>
                </c:pt>
                <c:pt idx="2630">
                  <c:v>137.26990587557833</c:v>
                </c:pt>
                <c:pt idx="2631">
                  <c:v>137.29445656644671</c:v>
                </c:pt>
                <c:pt idx="2632">
                  <c:v>137.31901164820039</c:v>
                </c:pt>
                <c:pt idx="2633">
                  <c:v>137.34357112162482</c:v>
                </c:pt>
                <c:pt idx="2634">
                  <c:v>137.36813498750541</c:v>
                </c:pt>
                <c:pt idx="2635">
                  <c:v>137.39270324662772</c:v>
                </c:pt>
                <c:pt idx="2636">
                  <c:v>137.41727589977748</c:v>
                </c:pt>
                <c:pt idx="2637">
                  <c:v>137.44185294774056</c:v>
                </c:pt>
                <c:pt idx="2638">
                  <c:v>137.46643439130298</c:v>
                </c:pt>
                <c:pt idx="2639">
                  <c:v>137.4910202312509</c:v>
                </c:pt>
                <c:pt idx="2640">
                  <c:v>137.5156104683706</c:v>
                </c:pt>
                <c:pt idx="2641">
                  <c:v>137.54020510344836</c:v>
                </c:pt>
                <c:pt idx="2642">
                  <c:v>137.56480413727107</c:v>
                </c:pt>
                <c:pt idx="2643">
                  <c:v>137.58940757062524</c:v>
                </c:pt>
                <c:pt idx="2644">
                  <c:v>137.61401540429779</c:v>
                </c:pt>
                <c:pt idx="2645">
                  <c:v>137.63862763907568</c:v>
                </c:pt>
                <c:pt idx="2646">
                  <c:v>137.66324427574605</c:v>
                </c:pt>
                <c:pt idx="2647">
                  <c:v>137.68786531509622</c:v>
                </c:pt>
                <c:pt idx="2648">
                  <c:v>137.71249075791354</c:v>
                </c:pt>
                <c:pt idx="2649">
                  <c:v>137.73712060498565</c:v>
                </c:pt>
                <c:pt idx="2650">
                  <c:v>137.76175485710004</c:v>
                </c:pt>
                <c:pt idx="2651">
                  <c:v>137.78639351504486</c:v>
                </c:pt>
                <c:pt idx="2652">
                  <c:v>137.81103657960793</c:v>
                </c:pt>
                <c:pt idx="2653">
                  <c:v>137.8356840515774</c:v>
                </c:pt>
                <c:pt idx="2654">
                  <c:v>137.8603359317415</c:v>
                </c:pt>
                <c:pt idx="2655">
                  <c:v>137.88499222088868</c:v>
                </c:pt>
                <c:pt idx="2656">
                  <c:v>137.90965291980746</c:v>
                </c:pt>
                <c:pt idx="2657">
                  <c:v>137.93431802928652</c:v>
                </c:pt>
                <c:pt idx="2658">
                  <c:v>137.9589875501147</c:v>
                </c:pt>
                <c:pt idx="2659">
                  <c:v>137.98366148308085</c:v>
                </c:pt>
                <c:pt idx="2660">
                  <c:v>138.0083398289743</c:v>
                </c:pt>
                <c:pt idx="2661">
                  <c:v>138.0330225885842</c:v>
                </c:pt>
                <c:pt idx="2662">
                  <c:v>138.05770976269994</c:v>
                </c:pt>
                <c:pt idx="2663">
                  <c:v>138.08240135211108</c:v>
                </c:pt>
                <c:pt idx="2664">
                  <c:v>138.10709735760724</c:v>
                </c:pt>
                <c:pt idx="2665">
                  <c:v>138.13179777997829</c:v>
                </c:pt>
                <c:pt idx="2666">
                  <c:v>138.15650262001412</c:v>
                </c:pt>
                <c:pt idx="2667">
                  <c:v>138.18121187850488</c:v>
                </c:pt>
                <c:pt idx="2668">
                  <c:v>138.20592555624069</c:v>
                </c:pt>
                <c:pt idx="2669">
                  <c:v>138.23064365401214</c:v>
                </c:pt>
                <c:pt idx="2670">
                  <c:v>138.25536617260968</c:v>
                </c:pt>
                <c:pt idx="2671">
                  <c:v>138.28009311282392</c:v>
                </c:pt>
                <c:pt idx="2672">
                  <c:v>138.30482447544571</c:v>
                </c:pt>
                <c:pt idx="2673">
                  <c:v>138.32956026126595</c:v>
                </c:pt>
                <c:pt idx="2674">
                  <c:v>138.35430047107576</c:v>
                </c:pt>
                <c:pt idx="2675">
                  <c:v>138.37904510566639</c:v>
                </c:pt>
                <c:pt idx="2676">
                  <c:v>138.40379416582917</c:v>
                </c:pt>
                <c:pt idx="2677">
                  <c:v>138.42854765235546</c:v>
                </c:pt>
                <c:pt idx="2678">
                  <c:v>138.45330556603724</c:v>
                </c:pt>
                <c:pt idx="2679">
                  <c:v>138.47806790766617</c:v>
                </c:pt>
                <c:pt idx="2680">
                  <c:v>138.50283467803413</c:v>
                </c:pt>
                <c:pt idx="2681">
                  <c:v>138.52760587793324</c:v>
                </c:pt>
                <c:pt idx="2682">
                  <c:v>138.55238150815575</c:v>
                </c:pt>
                <c:pt idx="2683">
                  <c:v>138.57716156949394</c:v>
                </c:pt>
                <c:pt idx="2684">
                  <c:v>138.60194606274038</c:v>
                </c:pt>
                <c:pt idx="2685">
                  <c:v>138.6267349886877</c:v>
                </c:pt>
                <c:pt idx="2686">
                  <c:v>138.65152834812855</c:v>
                </c:pt>
                <c:pt idx="2687">
                  <c:v>138.67632614185612</c:v>
                </c:pt>
                <c:pt idx="2688">
                  <c:v>138.70112837066335</c:v>
                </c:pt>
                <c:pt idx="2689">
                  <c:v>138.72593503534347</c:v>
                </c:pt>
                <c:pt idx="2690">
                  <c:v>138.7507461366898</c:v>
                </c:pt>
                <c:pt idx="2691">
                  <c:v>138.77556167549588</c:v>
                </c:pt>
                <c:pt idx="2692">
                  <c:v>138.80038165255533</c:v>
                </c:pt>
                <c:pt idx="2693">
                  <c:v>138.82520606866191</c:v>
                </c:pt>
                <c:pt idx="2694">
                  <c:v>138.85003492460956</c:v>
                </c:pt>
                <c:pt idx="2695">
                  <c:v>138.87486822119223</c:v>
                </c:pt>
                <c:pt idx="2696">
                  <c:v>138.89970595920437</c:v>
                </c:pt>
                <c:pt idx="2697">
                  <c:v>138.92454813944019</c:v>
                </c:pt>
                <c:pt idx="2698">
                  <c:v>138.9493947626942</c:v>
                </c:pt>
                <c:pt idx="2699">
                  <c:v>138.974245829761</c:v>
                </c:pt>
                <c:pt idx="2700">
                  <c:v>138.99910134143542</c:v>
                </c:pt>
                <c:pt idx="2701">
                  <c:v>139.02396129851232</c:v>
                </c:pt>
                <c:pt idx="2702">
                  <c:v>139.0488257017868</c:v>
                </c:pt>
                <c:pt idx="2703">
                  <c:v>139.07369455205404</c:v>
                </c:pt>
                <c:pt idx="2704">
                  <c:v>139.09856785010928</c:v>
                </c:pt>
                <c:pt idx="2705">
                  <c:v>139.12344559674821</c:v>
                </c:pt>
                <c:pt idx="2706">
                  <c:v>139.14832779276637</c:v>
                </c:pt>
                <c:pt idx="2707">
                  <c:v>139.17321443895955</c:v>
                </c:pt>
                <c:pt idx="2708">
                  <c:v>139.19810553612362</c:v>
                </c:pt>
                <c:pt idx="2709">
                  <c:v>139.22300108505465</c:v>
                </c:pt>
                <c:pt idx="2710">
                  <c:v>139.24790108654884</c:v>
                </c:pt>
                <c:pt idx="2711">
                  <c:v>139.27280554140253</c:v>
                </c:pt>
                <c:pt idx="2712">
                  <c:v>139.2977144504122</c:v>
                </c:pt>
                <c:pt idx="2713">
                  <c:v>139.32262781437436</c:v>
                </c:pt>
                <c:pt idx="2714">
                  <c:v>139.34754563408603</c:v>
                </c:pt>
                <c:pt idx="2715">
                  <c:v>139.37246791034394</c:v>
                </c:pt>
                <c:pt idx="2716">
                  <c:v>139.39739464394523</c:v>
                </c:pt>
                <c:pt idx="2717">
                  <c:v>139.42232583568702</c:v>
                </c:pt>
                <c:pt idx="2718">
                  <c:v>139.4472614863667</c:v>
                </c:pt>
                <c:pt idx="2719">
                  <c:v>139.4722015967817</c:v>
                </c:pt>
                <c:pt idx="2720">
                  <c:v>139.49714616772971</c:v>
                </c:pt>
                <c:pt idx="2721">
                  <c:v>139.52209520000844</c:v>
                </c:pt>
                <c:pt idx="2722">
                  <c:v>139.54704869441568</c:v>
                </c:pt>
                <c:pt idx="2723">
                  <c:v>139.57200665174975</c:v>
                </c:pt>
                <c:pt idx="2724">
                  <c:v>139.59696907280869</c:v>
                </c:pt>
                <c:pt idx="2725">
                  <c:v>139.62193595839088</c:v>
                </c:pt>
                <c:pt idx="2726">
                  <c:v>139.64690730929476</c:v>
                </c:pt>
                <c:pt idx="2727">
                  <c:v>139.67188312631896</c:v>
                </c:pt>
                <c:pt idx="2728">
                  <c:v>139.69686341026224</c:v>
                </c:pt>
                <c:pt idx="2729">
                  <c:v>139.72184816192353</c:v>
                </c:pt>
                <c:pt idx="2730">
                  <c:v>139.74683738210189</c:v>
                </c:pt>
                <c:pt idx="2731">
                  <c:v>139.77183107159632</c:v>
                </c:pt>
                <c:pt idx="2732">
                  <c:v>139.79682923120649</c:v>
                </c:pt>
                <c:pt idx="2733">
                  <c:v>139.82183186173168</c:v>
                </c:pt>
                <c:pt idx="2734">
                  <c:v>139.84683896397155</c:v>
                </c:pt>
                <c:pt idx="2735">
                  <c:v>139.87185053872591</c:v>
                </c:pt>
                <c:pt idx="2736">
                  <c:v>139.89686658679457</c:v>
                </c:pt>
                <c:pt idx="2737">
                  <c:v>139.92188710897764</c:v>
                </c:pt>
                <c:pt idx="2738">
                  <c:v>139.94691210607536</c:v>
                </c:pt>
                <c:pt idx="2739">
                  <c:v>139.97194157888794</c:v>
                </c:pt>
                <c:pt idx="2740">
                  <c:v>139.99697552821587</c:v>
                </c:pt>
                <c:pt idx="2741">
                  <c:v>140.02201395485994</c:v>
                </c:pt>
                <c:pt idx="2742">
                  <c:v>140.0470568596208</c:v>
                </c:pt>
                <c:pt idx="2743">
                  <c:v>140.07210424329941</c:v>
                </c:pt>
                <c:pt idx="2744">
                  <c:v>140.09715610669676</c:v>
                </c:pt>
                <c:pt idx="2745">
                  <c:v>140.12221245061406</c:v>
                </c:pt>
                <c:pt idx="2746">
                  <c:v>140.14727327585268</c:v>
                </c:pt>
                <c:pt idx="2747">
                  <c:v>140.1723385832141</c:v>
                </c:pt>
                <c:pt idx="2748">
                  <c:v>140.19740837349994</c:v>
                </c:pt>
                <c:pt idx="2749">
                  <c:v>140.22248264751195</c:v>
                </c:pt>
                <c:pt idx="2750">
                  <c:v>140.24756140605194</c:v>
                </c:pt>
                <c:pt idx="2751">
                  <c:v>140.27264464992223</c:v>
                </c:pt>
                <c:pt idx="2752">
                  <c:v>140.29773237992487</c:v>
                </c:pt>
                <c:pt idx="2753">
                  <c:v>140.32282459686218</c:v>
                </c:pt>
                <c:pt idx="2754">
                  <c:v>140.3479213015367</c:v>
                </c:pt>
                <c:pt idx="2755">
                  <c:v>140.37302249475104</c:v>
                </c:pt>
                <c:pt idx="2756">
                  <c:v>140.39812817730794</c:v>
                </c:pt>
                <c:pt idx="2757">
                  <c:v>140.42323835001039</c:v>
                </c:pt>
                <c:pt idx="2758">
                  <c:v>140.44835301366138</c:v>
                </c:pt>
                <c:pt idx="2759">
                  <c:v>140.47347216906405</c:v>
                </c:pt>
                <c:pt idx="2760">
                  <c:v>140.49859581702196</c:v>
                </c:pt>
                <c:pt idx="2761">
                  <c:v>140.52372395833848</c:v>
                </c:pt>
                <c:pt idx="2762">
                  <c:v>140.54885659381725</c:v>
                </c:pt>
                <c:pt idx="2763">
                  <c:v>140.57399372426207</c:v>
                </c:pt>
                <c:pt idx="2764">
                  <c:v>140.59913535047681</c:v>
                </c:pt>
                <c:pt idx="2765">
                  <c:v>140.62428147326563</c:v>
                </c:pt>
                <c:pt idx="2766">
                  <c:v>140.64943209343267</c:v>
                </c:pt>
                <c:pt idx="2767">
                  <c:v>140.67458721178227</c:v>
                </c:pt>
                <c:pt idx="2768">
                  <c:v>140.69974682911885</c:v>
                </c:pt>
                <c:pt idx="2769">
                  <c:v>140.72491094624729</c:v>
                </c:pt>
                <c:pt idx="2770">
                  <c:v>140.75007956397226</c:v>
                </c:pt>
                <c:pt idx="2771">
                  <c:v>140.77525268309867</c:v>
                </c:pt>
                <c:pt idx="2772">
                  <c:v>140.80043030443161</c:v>
                </c:pt>
                <c:pt idx="2773">
                  <c:v>140.82561242877628</c:v>
                </c:pt>
                <c:pt idx="2774">
                  <c:v>140.85079905693806</c:v>
                </c:pt>
                <c:pt idx="2775">
                  <c:v>140.87599018972247</c:v>
                </c:pt>
                <c:pt idx="2776">
                  <c:v>140.90118582793511</c:v>
                </c:pt>
                <c:pt idx="2777">
                  <c:v>140.92638597238172</c:v>
                </c:pt>
                <c:pt idx="2778">
                  <c:v>140.95159062386844</c:v>
                </c:pt>
                <c:pt idx="2779">
                  <c:v>140.97679978320124</c:v>
                </c:pt>
                <c:pt idx="2780">
                  <c:v>141.00201345118634</c:v>
                </c:pt>
                <c:pt idx="2781">
                  <c:v>141.02723162863012</c:v>
                </c:pt>
                <c:pt idx="2782">
                  <c:v>141.05245431633909</c:v>
                </c:pt>
                <c:pt idx="2783">
                  <c:v>141.07768151511993</c:v>
                </c:pt>
                <c:pt idx="2784">
                  <c:v>141.10291322577942</c:v>
                </c:pt>
                <c:pt idx="2785">
                  <c:v>141.12814944912463</c:v>
                </c:pt>
                <c:pt idx="2786">
                  <c:v>141.15339018596228</c:v>
                </c:pt>
                <c:pt idx="2787">
                  <c:v>141.17863543710004</c:v>
                </c:pt>
                <c:pt idx="2788">
                  <c:v>141.20388520334507</c:v>
                </c:pt>
                <c:pt idx="2789">
                  <c:v>141.22913948550496</c:v>
                </c:pt>
                <c:pt idx="2790">
                  <c:v>141.25439828438738</c:v>
                </c:pt>
                <c:pt idx="2791">
                  <c:v>141.27966160080013</c:v>
                </c:pt>
                <c:pt idx="2792">
                  <c:v>141.30492943555114</c:v>
                </c:pt>
                <c:pt idx="2793">
                  <c:v>141.33020178944855</c:v>
                </c:pt>
                <c:pt idx="2794">
                  <c:v>141.3554786633006</c:v>
                </c:pt>
                <c:pt idx="2795">
                  <c:v>141.38076005791558</c:v>
                </c:pt>
                <c:pt idx="2796">
                  <c:v>141.40604597410223</c:v>
                </c:pt>
                <c:pt idx="2797">
                  <c:v>141.43133641266917</c:v>
                </c:pt>
                <c:pt idx="2798">
                  <c:v>141.45663137442514</c:v>
                </c:pt>
                <c:pt idx="2799">
                  <c:v>141.4819308601792</c:v>
                </c:pt>
                <c:pt idx="2800">
                  <c:v>141.5072348707404</c:v>
                </c:pt>
                <c:pt idx="2801">
                  <c:v>141.53254340691805</c:v>
                </c:pt>
                <c:pt idx="2802">
                  <c:v>141.55785646952151</c:v>
                </c:pt>
                <c:pt idx="2803">
                  <c:v>141.58317405936037</c:v>
                </c:pt>
                <c:pt idx="2804">
                  <c:v>141.60849617724418</c:v>
                </c:pt>
                <c:pt idx="2805">
                  <c:v>141.63382282398302</c:v>
                </c:pt>
                <c:pt idx="2806">
                  <c:v>141.65915400038676</c:v>
                </c:pt>
                <c:pt idx="2807">
                  <c:v>141.68448970726556</c:v>
                </c:pt>
                <c:pt idx="2808">
                  <c:v>141.70982994542965</c:v>
                </c:pt>
                <c:pt idx="2809">
                  <c:v>141.73517471568948</c:v>
                </c:pt>
                <c:pt idx="2810">
                  <c:v>141.76052401885559</c:v>
                </c:pt>
                <c:pt idx="2811">
                  <c:v>141.78587785573868</c:v>
                </c:pt>
                <c:pt idx="2812">
                  <c:v>141.81123622714964</c:v>
                </c:pt>
                <c:pt idx="2813">
                  <c:v>141.83659913389931</c:v>
                </c:pt>
                <c:pt idx="2814">
                  <c:v>141.86196657679915</c:v>
                </c:pt>
                <c:pt idx="2815">
                  <c:v>141.88733855666024</c:v>
                </c:pt>
                <c:pt idx="2816">
                  <c:v>141.91271507429406</c:v>
                </c:pt>
                <c:pt idx="2817">
                  <c:v>141.93809613051218</c:v>
                </c:pt>
                <c:pt idx="2818">
                  <c:v>141.9634817261263</c:v>
                </c:pt>
                <c:pt idx="2819">
                  <c:v>141.98887186194833</c:v>
                </c:pt>
                <c:pt idx="2820">
                  <c:v>142.01426653879031</c:v>
                </c:pt>
                <c:pt idx="2821">
                  <c:v>142.03966575746432</c:v>
                </c:pt>
                <c:pt idx="2822">
                  <c:v>142.06506951878259</c:v>
                </c:pt>
                <c:pt idx="2823">
                  <c:v>142.09047782355779</c:v>
                </c:pt>
                <c:pt idx="2824">
                  <c:v>142.11589067260243</c:v>
                </c:pt>
                <c:pt idx="2825">
                  <c:v>142.14130806672927</c:v>
                </c:pt>
                <c:pt idx="2826">
                  <c:v>142.16673000675112</c:v>
                </c:pt>
                <c:pt idx="2827">
                  <c:v>142.19215649348106</c:v>
                </c:pt>
                <c:pt idx="2828">
                  <c:v>142.21758752773229</c:v>
                </c:pt>
                <c:pt idx="2829">
                  <c:v>142.24302311031806</c:v>
                </c:pt>
                <c:pt idx="2830">
                  <c:v>142.26846324205192</c:v>
                </c:pt>
                <c:pt idx="2831">
                  <c:v>142.29390792374744</c:v>
                </c:pt>
                <c:pt idx="2832">
                  <c:v>142.31935715621825</c:v>
                </c:pt>
                <c:pt idx="2833">
                  <c:v>142.34481094027853</c:v>
                </c:pt>
                <c:pt idx="2834">
                  <c:v>142.37026927674219</c:v>
                </c:pt>
                <c:pt idx="2835">
                  <c:v>142.39573216642344</c:v>
                </c:pt>
                <c:pt idx="2836">
                  <c:v>142.42119961013657</c:v>
                </c:pt>
                <c:pt idx="2837">
                  <c:v>142.44667160869616</c:v>
                </c:pt>
                <c:pt idx="2838">
                  <c:v>142.47214816291674</c:v>
                </c:pt>
                <c:pt idx="2839">
                  <c:v>142.49762927361317</c:v>
                </c:pt>
                <c:pt idx="2840">
                  <c:v>142.52311494160037</c:v>
                </c:pt>
                <c:pt idx="2841">
                  <c:v>142.54860516769321</c:v>
                </c:pt>
                <c:pt idx="2842">
                  <c:v>142.57409995270723</c:v>
                </c:pt>
                <c:pt idx="2843">
                  <c:v>142.59959929745764</c:v>
                </c:pt>
                <c:pt idx="2844">
                  <c:v>142.62510320275999</c:v>
                </c:pt>
                <c:pt idx="2845">
                  <c:v>142.65061166942988</c:v>
                </c:pt>
                <c:pt idx="2846">
                  <c:v>142.67612469828308</c:v>
                </c:pt>
                <c:pt idx="2847">
                  <c:v>142.70164229013562</c:v>
                </c:pt>
                <c:pt idx="2848">
                  <c:v>142.72716444580354</c:v>
                </c:pt>
                <c:pt idx="2849">
                  <c:v>142.75269116610309</c:v>
                </c:pt>
                <c:pt idx="2850">
                  <c:v>142.77822245185052</c:v>
                </c:pt>
                <c:pt idx="2851">
                  <c:v>142.80375830386265</c:v>
                </c:pt>
                <c:pt idx="2852">
                  <c:v>142.82929872295597</c:v>
                </c:pt>
                <c:pt idx="2853">
                  <c:v>142.85484370994732</c:v>
                </c:pt>
                <c:pt idx="2854">
                  <c:v>142.88039326565368</c:v>
                </c:pt>
                <c:pt idx="2855">
                  <c:v>142.90594739089218</c:v>
                </c:pt>
                <c:pt idx="2856">
                  <c:v>142.93150608648003</c:v>
                </c:pt>
                <c:pt idx="2857">
                  <c:v>142.95706935323471</c:v>
                </c:pt>
                <c:pt idx="2858">
                  <c:v>142.98263719197368</c:v>
                </c:pt>
                <c:pt idx="2859">
                  <c:v>143.00820960351459</c:v>
                </c:pt>
                <c:pt idx="2860">
                  <c:v>143.0337865886755</c:v>
                </c:pt>
                <c:pt idx="2861">
                  <c:v>143.05936814827425</c:v>
                </c:pt>
                <c:pt idx="2862">
                  <c:v>143.08495428312906</c:v>
                </c:pt>
                <c:pt idx="2863">
                  <c:v>143.11054499405813</c:v>
                </c:pt>
                <c:pt idx="2864">
                  <c:v>143.13614028187993</c:v>
                </c:pt>
                <c:pt idx="2865">
                  <c:v>143.16174014741301</c:v>
                </c:pt>
                <c:pt idx="2866">
                  <c:v>143.18734459147615</c:v>
                </c:pt>
                <c:pt idx="2867">
                  <c:v>143.21295361488816</c:v>
                </c:pt>
                <c:pt idx="2868">
                  <c:v>143.23856721846795</c:v>
                </c:pt>
                <c:pt idx="2869">
                  <c:v>143.2641854030349</c:v>
                </c:pt>
                <c:pt idx="2870">
                  <c:v>143.28980816940827</c:v>
                </c:pt>
                <c:pt idx="2871">
                  <c:v>143.31543551840747</c:v>
                </c:pt>
                <c:pt idx="2872">
                  <c:v>143.34106745085208</c:v>
                </c:pt>
                <c:pt idx="2873">
                  <c:v>143.36670396756188</c:v>
                </c:pt>
                <c:pt idx="2874">
                  <c:v>143.39234506935676</c:v>
                </c:pt>
                <c:pt idx="2875">
                  <c:v>143.41799075705674</c:v>
                </c:pt>
                <c:pt idx="2876">
                  <c:v>143.44364103148203</c:v>
                </c:pt>
                <c:pt idx="2877">
                  <c:v>143.46929589345285</c:v>
                </c:pt>
                <c:pt idx="2878">
                  <c:v>143.49495534378991</c:v>
                </c:pt>
                <c:pt idx="2879">
                  <c:v>143.52061938331371</c:v>
                </c:pt>
                <c:pt idx="2880">
                  <c:v>143.54628801284503</c:v>
                </c:pt>
                <c:pt idx="2881">
                  <c:v>143.5719612332048</c:v>
                </c:pt>
                <c:pt idx="2882">
                  <c:v>143.59763904521409</c:v>
                </c:pt>
                <c:pt idx="2883">
                  <c:v>143.62332144969412</c:v>
                </c:pt>
                <c:pt idx="2884">
                  <c:v>143.64900844746623</c:v>
                </c:pt>
                <c:pt idx="2885">
                  <c:v>143.67470003935193</c:v>
                </c:pt>
                <c:pt idx="2886">
                  <c:v>143.70039622617276</c:v>
                </c:pt>
                <c:pt idx="2887">
                  <c:v>143.7260970087508</c:v>
                </c:pt>
                <c:pt idx="2888">
                  <c:v>143.75180238790784</c:v>
                </c:pt>
                <c:pt idx="2889">
                  <c:v>143.77751236446599</c:v>
                </c:pt>
                <c:pt idx="2890">
                  <c:v>143.80322693924751</c:v>
                </c:pt>
                <c:pt idx="2891">
                  <c:v>143.82894611307472</c:v>
                </c:pt>
                <c:pt idx="2892">
                  <c:v>143.85466988677027</c:v>
                </c:pt>
                <c:pt idx="2893">
                  <c:v>143.88039826115676</c:v>
                </c:pt>
                <c:pt idx="2894">
                  <c:v>143.90613123705705</c:v>
                </c:pt>
                <c:pt idx="2895">
                  <c:v>143.931868815294</c:v>
                </c:pt>
                <c:pt idx="2896">
                  <c:v>143.95761099669096</c:v>
                </c:pt>
                <c:pt idx="2897">
                  <c:v>143.9833577820711</c:v>
                </c:pt>
                <c:pt idx="2898">
                  <c:v>144.00910917225787</c:v>
                </c:pt>
                <c:pt idx="2899">
                  <c:v>144.03486516807479</c:v>
                </c:pt>
                <c:pt idx="2900">
                  <c:v>144.06062577034561</c:v>
                </c:pt>
                <c:pt idx="2901">
                  <c:v>144.08639097989416</c:v>
                </c:pt>
                <c:pt idx="2902">
                  <c:v>144.1121607975445</c:v>
                </c:pt>
                <c:pt idx="2903">
                  <c:v>144.13793522412072</c:v>
                </c:pt>
                <c:pt idx="2904">
                  <c:v>144.16371426044705</c:v>
                </c:pt>
                <c:pt idx="2905">
                  <c:v>144.1894979073482</c:v>
                </c:pt>
                <c:pt idx="2906">
                  <c:v>144.21528616564859</c:v>
                </c:pt>
                <c:pt idx="2907">
                  <c:v>144.24107903617303</c:v>
                </c:pt>
                <c:pt idx="2908">
                  <c:v>144.2668765197464</c:v>
                </c:pt>
                <c:pt idx="2909">
                  <c:v>144.2926786171937</c:v>
                </c:pt>
                <c:pt idx="2910">
                  <c:v>144.31848532934018</c:v>
                </c:pt>
                <c:pt idx="2911">
                  <c:v>144.34429665701111</c:v>
                </c:pt>
                <c:pt idx="2912">
                  <c:v>144.37011260103205</c:v>
                </c:pt>
                <c:pt idx="2913">
                  <c:v>144.39593316222846</c:v>
                </c:pt>
                <c:pt idx="2914">
                  <c:v>144.4217583414264</c:v>
                </c:pt>
                <c:pt idx="2915">
                  <c:v>144.44758813945165</c:v>
                </c:pt>
                <c:pt idx="2916">
                  <c:v>144.47342255713028</c:v>
                </c:pt>
                <c:pt idx="2917">
                  <c:v>144.49926159528854</c:v>
                </c:pt>
                <c:pt idx="2918">
                  <c:v>144.52510525475276</c:v>
                </c:pt>
                <c:pt idx="2919">
                  <c:v>144.55095353634954</c:v>
                </c:pt>
                <c:pt idx="2920">
                  <c:v>144.57680644090544</c:v>
                </c:pt>
                <c:pt idx="2921">
                  <c:v>144.6026639692474</c:v>
                </c:pt>
                <c:pt idx="2922">
                  <c:v>144.62852612220215</c:v>
                </c:pt>
                <c:pt idx="2923">
                  <c:v>144.65439290059706</c:v>
                </c:pt>
                <c:pt idx="2924">
                  <c:v>144.68026430525933</c:v>
                </c:pt>
                <c:pt idx="2925">
                  <c:v>144.70614033701634</c:v>
                </c:pt>
                <c:pt idx="2926">
                  <c:v>144.73202099669561</c:v>
                </c:pt>
                <c:pt idx="2927">
                  <c:v>144.75790628512488</c:v>
                </c:pt>
                <c:pt idx="2928">
                  <c:v>144.783796203132</c:v>
                </c:pt>
                <c:pt idx="2929">
                  <c:v>144.80969075154493</c:v>
                </c:pt>
                <c:pt idx="2930">
                  <c:v>144.83558993119186</c:v>
                </c:pt>
                <c:pt idx="2931">
                  <c:v>144.86149374290096</c:v>
                </c:pt>
                <c:pt idx="2932">
                  <c:v>144.8874021875009</c:v>
                </c:pt>
                <c:pt idx="2933">
                  <c:v>144.91331526582013</c:v>
                </c:pt>
                <c:pt idx="2934">
                  <c:v>144.93923297868744</c:v>
                </c:pt>
                <c:pt idx="2935">
                  <c:v>144.96515532693172</c:v>
                </c:pt>
                <c:pt idx="2936">
                  <c:v>144.99108231138194</c:v>
                </c:pt>
                <c:pt idx="2937">
                  <c:v>145.01701393286731</c:v>
                </c:pt>
                <c:pt idx="2938">
                  <c:v>145.04295019221721</c:v>
                </c:pt>
                <c:pt idx="2939">
                  <c:v>145.06889109026108</c:v>
                </c:pt>
                <c:pt idx="2940">
                  <c:v>145.09483662782841</c:v>
                </c:pt>
                <c:pt idx="2941">
                  <c:v>145.12078680574928</c:v>
                </c:pt>
                <c:pt idx="2942">
                  <c:v>145.14674162485343</c:v>
                </c:pt>
                <c:pt idx="2943">
                  <c:v>145.17270108597097</c:v>
                </c:pt>
                <c:pt idx="2944">
                  <c:v>145.19866518993226</c:v>
                </c:pt>
                <c:pt idx="2945">
                  <c:v>145.2246339375674</c:v>
                </c:pt>
                <c:pt idx="2946">
                  <c:v>145.25060732970704</c:v>
                </c:pt>
                <c:pt idx="2947">
                  <c:v>145.27658536718187</c:v>
                </c:pt>
                <c:pt idx="2948">
                  <c:v>145.30256805082263</c:v>
                </c:pt>
                <c:pt idx="2949">
                  <c:v>145.32855538146038</c:v>
                </c:pt>
                <c:pt idx="2950">
                  <c:v>145.35454735992604</c:v>
                </c:pt>
                <c:pt idx="2951">
                  <c:v>145.38054398705117</c:v>
                </c:pt>
                <c:pt idx="2952">
                  <c:v>145.40654526366706</c:v>
                </c:pt>
                <c:pt idx="2953">
                  <c:v>145.43255119060521</c:v>
                </c:pt>
                <c:pt idx="2954">
                  <c:v>145.45856176869739</c:v>
                </c:pt>
                <c:pt idx="2955">
                  <c:v>145.48457699877542</c:v>
                </c:pt>
                <c:pt idx="2956">
                  <c:v>145.51059688167135</c:v>
                </c:pt>
                <c:pt idx="2957">
                  <c:v>145.53662141821729</c:v>
                </c:pt>
                <c:pt idx="2958">
                  <c:v>145.56265060924557</c:v>
                </c:pt>
                <c:pt idx="2959">
                  <c:v>145.58868445558852</c:v>
                </c:pt>
                <c:pt idx="2960">
                  <c:v>145.61472295807897</c:v>
                </c:pt>
                <c:pt idx="2961">
                  <c:v>145.64076611754956</c:v>
                </c:pt>
                <c:pt idx="2962">
                  <c:v>145.66681393483321</c:v>
                </c:pt>
                <c:pt idx="2963">
                  <c:v>145.69286641076292</c:v>
                </c:pt>
                <c:pt idx="2964">
                  <c:v>145.71892354617194</c:v>
                </c:pt>
                <c:pt idx="2965">
                  <c:v>145.74498534189357</c:v>
                </c:pt>
                <c:pt idx="2966">
                  <c:v>145.77105179876133</c:v>
                </c:pt>
                <c:pt idx="2967">
                  <c:v>145.79712291760887</c:v>
                </c:pt>
                <c:pt idx="2968">
                  <c:v>145.82319869926982</c:v>
                </c:pt>
                <c:pt idx="2969">
                  <c:v>145.84927914457845</c:v>
                </c:pt>
                <c:pt idx="2970">
                  <c:v>145.87536425436866</c:v>
                </c:pt>
                <c:pt idx="2971">
                  <c:v>145.90145402947471</c:v>
                </c:pt>
                <c:pt idx="2972">
                  <c:v>145.92754847073101</c:v>
                </c:pt>
                <c:pt idx="2973">
                  <c:v>145.95364757897207</c:v>
                </c:pt>
                <c:pt idx="2974">
                  <c:v>145.97975135503262</c:v>
                </c:pt>
                <c:pt idx="2975">
                  <c:v>146.00585979974744</c:v>
                </c:pt>
                <c:pt idx="2976">
                  <c:v>146.03197291395156</c:v>
                </c:pt>
                <c:pt idx="2977">
                  <c:v>146.05809069847999</c:v>
                </c:pt>
                <c:pt idx="2978">
                  <c:v>146.08421315416825</c:v>
                </c:pt>
                <c:pt idx="2979">
                  <c:v>146.11034028185165</c:v>
                </c:pt>
                <c:pt idx="2980">
                  <c:v>146.1364720823658</c:v>
                </c:pt>
                <c:pt idx="2981">
                  <c:v>146.16260855654642</c:v>
                </c:pt>
                <c:pt idx="2982">
                  <c:v>146.18874970522936</c:v>
                </c:pt>
                <c:pt idx="2983">
                  <c:v>146.21489552925073</c:v>
                </c:pt>
                <c:pt idx="2984">
                  <c:v>146.24104602944664</c:v>
                </c:pt>
                <c:pt idx="2985">
                  <c:v>146.26720120665348</c:v>
                </c:pt>
                <c:pt idx="2986">
                  <c:v>146.29336106170754</c:v>
                </c:pt>
                <c:pt idx="2987">
                  <c:v>146.31952559544578</c:v>
                </c:pt>
                <c:pt idx="2988">
                  <c:v>146.34569480870479</c:v>
                </c:pt>
                <c:pt idx="2989">
                  <c:v>146.37186870232154</c:v>
                </c:pt>
                <c:pt idx="2990">
                  <c:v>146.39804727713312</c:v>
                </c:pt>
                <c:pt idx="2991">
                  <c:v>146.42423053397673</c:v>
                </c:pt>
                <c:pt idx="2992">
                  <c:v>146.45041847368975</c:v>
                </c:pt>
                <c:pt idx="2993">
                  <c:v>146.47661109710972</c:v>
                </c:pt>
                <c:pt idx="2994">
                  <c:v>146.50280840507432</c:v>
                </c:pt>
                <c:pt idx="2995">
                  <c:v>146.52901039842129</c:v>
                </c:pt>
                <c:pt idx="2996">
                  <c:v>146.55521707798877</c:v>
                </c:pt>
                <c:pt idx="2997">
                  <c:v>146.58142844461486</c:v>
                </c:pt>
                <c:pt idx="2998">
                  <c:v>146.60764449913779</c:v>
                </c:pt>
                <c:pt idx="2999">
                  <c:v>146.63386524239598</c:v>
                </c:pt>
                <c:pt idx="3000">
                  <c:v>146.66009067522808</c:v>
                </c:pt>
                <c:pt idx="3001">
                  <c:v>146.68632079847274</c:v>
                </c:pt>
                <c:pt idx="3002">
                  <c:v>146.71255561296886</c:v>
                </c:pt>
                <c:pt idx="3003">
                  <c:v>146.73879511955545</c:v>
                </c:pt>
                <c:pt idx="3004">
                  <c:v>146.76503931907163</c:v>
                </c:pt>
                <c:pt idx="3005">
                  <c:v>146.7912882123569</c:v>
                </c:pt>
                <c:pt idx="3006">
                  <c:v>146.81754180025069</c:v>
                </c:pt>
                <c:pt idx="3007">
                  <c:v>146.84380008359258</c:v>
                </c:pt>
                <c:pt idx="3008">
                  <c:v>146.87006306322237</c:v>
                </c:pt>
                <c:pt idx="3009">
                  <c:v>146.89633073997999</c:v>
                </c:pt>
                <c:pt idx="3010">
                  <c:v>146.92260311470548</c:v>
                </c:pt>
                <c:pt idx="3011">
                  <c:v>146.94888018823914</c:v>
                </c:pt>
                <c:pt idx="3012">
                  <c:v>146.97516196142129</c:v>
                </c:pt>
                <c:pt idx="3013">
                  <c:v>147.00144843509239</c:v>
                </c:pt>
                <c:pt idx="3014">
                  <c:v>147.02773961009331</c:v>
                </c:pt>
                <c:pt idx="3015">
                  <c:v>147.0540354872648</c:v>
                </c:pt>
                <c:pt idx="3016">
                  <c:v>147.08033606744783</c:v>
                </c:pt>
                <c:pt idx="3017">
                  <c:v>147.10664135148355</c:v>
                </c:pt>
                <c:pt idx="3018">
                  <c:v>147.1329513402132</c:v>
                </c:pt>
                <c:pt idx="3019">
                  <c:v>147.15926603447824</c:v>
                </c:pt>
                <c:pt idx="3020">
                  <c:v>147.18558543512029</c:v>
                </c:pt>
                <c:pt idx="3021">
                  <c:v>147.211909542981</c:v>
                </c:pt>
                <c:pt idx="3022">
                  <c:v>147.23823835890218</c:v>
                </c:pt>
                <c:pt idx="3023">
                  <c:v>147.26457188372615</c:v>
                </c:pt>
                <c:pt idx="3024">
                  <c:v>147.29091011829493</c:v>
                </c:pt>
                <c:pt idx="3025">
                  <c:v>147.31725306345086</c:v>
                </c:pt>
                <c:pt idx="3026">
                  <c:v>147.34360072003642</c:v>
                </c:pt>
                <c:pt idx="3027">
                  <c:v>147.36995308889425</c:v>
                </c:pt>
                <c:pt idx="3028">
                  <c:v>147.39631017086714</c:v>
                </c:pt>
                <c:pt idx="3029">
                  <c:v>147.42267196679808</c:v>
                </c:pt>
                <c:pt idx="3030">
                  <c:v>147.44903847753005</c:v>
                </c:pt>
                <c:pt idx="3031">
                  <c:v>147.47540970390628</c:v>
                </c:pt>
                <c:pt idx="3032">
                  <c:v>147.50178564677034</c:v>
                </c:pt>
                <c:pt idx="3033">
                  <c:v>147.52816630696569</c:v>
                </c:pt>
                <c:pt idx="3034">
                  <c:v>147.55455168533601</c:v>
                </c:pt>
                <c:pt idx="3035">
                  <c:v>147.58094178272512</c:v>
                </c:pt>
                <c:pt idx="3036">
                  <c:v>147.60733659997706</c:v>
                </c:pt>
                <c:pt idx="3037">
                  <c:v>147.63373613793593</c:v>
                </c:pt>
                <c:pt idx="3038">
                  <c:v>147.66014039744604</c:v>
                </c:pt>
                <c:pt idx="3039">
                  <c:v>147.68654937935185</c:v>
                </c:pt>
                <c:pt idx="3040">
                  <c:v>147.71296308449797</c:v>
                </c:pt>
                <c:pt idx="3041">
                  <c:v>147.739381513729</c:v>
                </c:pt>
                <c:pt idx="3042">
                  <c:v>147.76580466789011</c:v>
                </c:pt>
                <c:pt idx="3043">
                  <c:v>147.79223254782625</c:v>
                </c:pt>
                <c:pt idx="3044">
                  <c:v>147.81866515438256</c:v>
                </c:pt>
                <c:pt idx="3045">
                  <c:v>147.84510248840442</c:v>
                </c:pt>
                <c:pt idx="3046">
                  <c:v>147.87154455073735</c:v>
                </c:pt>
                <c:pt idx="3047">
                  <c:v>147.89799134222702</c:v>
                </c:pt>
                <c:pt idx="3048">
                  <c:v>147.92444286371921</c:v>
                </c:pt>
                <c:pt idx="3049">
                  <c:v>147.95089911605993</c:v>
                </c:pt>
                <c:pt idx="3050">
                  <c:v>147.97736010009507</c:v>
                </c:pt>
                <c:pt idx="3051">
                  <c:v>148.00382581667122</c:v>
                </c:pt>
                <c:pt idx="3052">
                  <c:v>148.03029626663465</c:v>
                </c:pt>
                <c:pt idx="3053">
                  <c:v>148.05677145083195</c:v>
                </c:pt>
                <c:pt idx="3054">
                  <c:v>148.08325137010979</c:v>
                </c:pt>
                <c:pt idx="3055">
                  <c:v>148.10973602531504</c:v>
                </c:pt>
                <c:pt idx="3056">
                  <c:v>148.13622541729478</c:v>
                </c:pt>
                <c:pt idx="3057">
                  <c:v>148.16271954689611</c:v>
                </c:pt>
                <c:pt idx="3058">
                  <c:v>148.1892184149664</c:v>
                </c:pt>
                <c:pt idx="3059">
                  <c:v>148.21572202235296</c:v>
                </c:pt>
                <c:pt idx="3060">
                  <c:v>148.24223036990369</c:v>
                </c:pt>
                <c:pt idx="3061">
                  <c:v>148.26874345846625</c:v>
                </c:pt>
                <c:pt idx="3062">
                  <c:v>148.29526128888855</c:v>
                </c:pt>
                <c:pt idx="3063">
                  <c:v>148.32178386201869</c:v>
                </c:pt>
                <c:pt idx="3064">
                  <c:v>148.34831117870488</c:v>
                </c:pt>
                <c:pt idx="3065">
                  <c:v>148.37484323979552</c:v>
                </c:pt>
                <c:pt idx="3066">
                  <c:v>148.40138004613914</c:v>
                </c:pt>
                <c:pt idx="3067">
                  <c:v>148.42792159858442</c:v>
                </c:pt>
                <c:pt idx="3068">
                  <c:v>148.45446789798009</c:v>
                </c:pt>
                <c:pt idx="3069">
                  <c:v>148.48101894517538</c:v>
                </c:pt>
                <c:pt idx="3070">
                  <c:v>148.50757474101931</c:v>
                </c:pt>
                <c:pt idx="3071">
                  <c:v>148.53413528636116</c:v>
                </c:pt>
                <c:pt idx="3072">
                  <c:v>148.56070058205043</c:v>
                </c:pt>
                <c:pt idx="3073">
                  <c:v>148.58727062893664</c:v>
                </c:pt>
                <c:pt idx="3074">
                  <c:v>148.61384542786962</c:v>
                </c:pt>
                <c:pt idx="3075">
                  <c:v>148.64042497969919</c:v>
                </c:pt>
                <c:pt idx="3076">
                  <c:v>148.6670092852755</c:v>
                </c:pt>
                <c:pt idx="3077">
                  <c:v>148.69359834544852</c:v>
                </c:pt>
                <c:pt idx="3078">
                  <c:v>148.72019216106895</c:v>
                </c:pt>
                <c:pt idx="3079">
                  <c:v>148.74679073298714</c:v>
                </c:pt>
                <c:pt idx="3080">
                  <c:v>148.77339406205374</c:v>
                </c:pt>
                <c:pt idx="3081">
                  <c:v>148.80000214911962</c:v>
                </c:pt>
                <c:pt idx="3082">
                  <c:v>148.8266149950357</c:v>
                </c:pt>
                <c:pt idx="3083">
                  <c:v>148.85323260065309</c:v>
                </c:pt>
                <c:pt idx="3084">
                  <c:v>148.87985496682307</c:v>
                </c:pt>
                <c:pt idx="3085">
                  <c:v>148.90648209439709</c:v>
                </c:pt>
                <c:pt idx="3086">
                  <c:v>148.93311398422657</c:v>
                </c:pt>
                <c:pt idx="3087">
                  <c:v>148.95975063716352</c:v>
                </c:pt>
                <c:pt idx="3088">
                  <c:v>148.98639205405965</c:v>
                </c:pt>
                <c:pt idx="3089">
                  <c:v>149.01303823576706</c:v>
                </c:pt>
                <c:pt idx="3090">
                  <c:v>149.03968918313785</c:v>
                </c:pt>
                <c:pt idx="3091">
                  <c:v>149.06634489702444</c:v>
                </c:pt>
                <c:pt idx="3092">
                  <c:v>149.09300537827929</c:v>
                </c:pt>
                <c:pt idx="3093">
                  <c:v>149.119670627755</c:v>
                </c:pt>
                <c:pt idx="3094">
                  <c:v>149.14634064630442</c:v>
                </c:pt>
                <c:pt idx="3095">
                  <c:v>149.17301543478035</c:v>
                </c:pt>
                <c:pt idx="3096">
                  <c:v>149.19969499403615</c:v>
                </c:pt>
                <c:pt idx="3097">
                  <c:v>149.22637932492495</c:v>
                </c:pt>
                <c:pt idx="3098">
                  <c:v>149.25306842830014</c:v>
                </c:pt>
                <c:pt idx="3099">
                  <c:v>149.27976230501528</c:v>
                </c:pt>
                <c:pt idx="3100">
                  <c:v>149.30646095592411</c:v>
                </c:pt>
                <c:pt idx="3101">
                  <c:v>149.33316438188047</c:v>
                </c:pt>
                <c:pt idx="3102">
                  <c:v>149.35987258373837</c:v>
                </c:pt>
                <c:pt idx="3103">
                  <c:v>149.38658556235197</c:v>
                </c:pt>
                <c:pt idx="3104">
                  <c:v>149.4133033185756</c:v>
                </c:pt>
                <c:pt idx="3105">
                  <c:v>149.44002585326373</c:v>
                </c:pt>
                <c:pt idx="3106">
                  <c:v>149.46675316727107</c:v>
                </c:pt>
                <c:pt idx="3107">
                  <c:v>149.49348526145226</c:v>
                </c:pt>
                <c:pt idx="3108">
                  <c:v>149.52022213666234</c:v>
                </c:pt>
                <c:pt idx="3109">
                  <c:v>149.54696379375633</c:v>
                </c:pt>
                <c:pt idx="3110">
                  <c:v>149.57371023358951</c:v>
                </c:pt>
                <c:pt idx="3111">
                  <c:v>149.60046145701727</c:v>
                </c:pt>
                <c:pt idx="3112">
                  <c:v>149.62721746489515</c:v>
                </c:pt>
                <c:pt idx="3113">
                  <c:v>149.65397825807869</c:v>
                </c:pt>
                <c:pt idx="3114">
                  <c:v>149.68074383742402</c:v>
                </c:pt>
                <c:pt idx="3115">
                  <c:v>149.70751420378701</c:v>
                </c:pt>
                <c:pt idx="3116">
                  <c:v>149.73428935802383</c:v>
                </c:pt>
                <c:pt idx="3117">
                  <c:v>149.76106930099078</c:v>
                </c:pt>
                <c:pt idx="3118">
                  <c:v>149.78785403354436</c:v>
                </c:pt>
                <c:pt idx="3119">
                  <c:v>149.81464355654111</c:v>
                </c:pt>
                <c:pt idx="3120">
                  <c:v>149.84143787083786</c:v>
                </c:pt>
                <c:pt idx="3121">
                  <c:v>149.86823697729153</c:v>
                </c:pt>
                <c:pt idx="3122">
                  <c:v>149.89504087675917</c:v>
                </c:pt>
                <c:pt idx="3123">
                  <c:v>149.92184957009789</c:v>
                </c:pt>
                <c:pt idx="3124">
                  <c:v>149.94866305816532</c:v>
                </c:pt>
                <c:pt idx="3125">
                  <c:v>149.97548134181889</c:v>
                </c:pt>
                <c:pt idx="3126">
                  <c:v>150.00230442191628</c:v>
                </c:pt>
                <c:pt idx="3127">
                  <c:v>150.02913229931534</c:v>
                </c:pt>
                <c:pt idx="3128">
                  <c:v>150.05596497487406</c:v>
                </c:pt>
                <c:pt idx="3129">
                  <c:v>150.08280244945058</c:v>
                </c:pt>
                <c:pt idx="3130">
                  <c:v>150.10964472390322</c:v>
                </c:pt>
                <c:pt idx="3131">
                  <c:v>150.13649179909041</c:v>
                </c:pt>
                <c:pt idx="3132">
                  <c:v>150.16334367587064</c:v>
                </c:pt>
                <c:pt idx="3133">
                  <c:v>150.19020035510297</c:v>
                </c:pt>
                <c:pt idx="3134">
                  <c:v>150.21706183764616</c:v>
                </c:pt>
                <c:pt idx="3135">
                  <c:v>150.24392812435926</c:v>
                </c:pt>
                <c:pt idx="3136">
                  <c:v>150.27079921610152</c:v>
                </c:pt>
                <c:pt idx="3137">
                  <c:v>150.29767511373231</c:v>
                </c:pt>
                <c:pt idx="3138">
                  <c:v>150.32455581811118</c:v>
                </c:pt>
                <c:pt idx="3139">
                  <c:v>150.3514413300978</c:v>
                </c:pt>
                <c:pt idx="3140">
                  <c:v>150.37833165055198</c:v>
                </c:pt>
                <c:pt idx="3141">
                  <c:v>150.40522678033363</c:v>
                </c:pt>
                <c:pt idx="3142">
                  <c:v>150.43212672030316</c:v>
                </c:pt>
                <c:pt idx="3143">
                  <c:v>150.45903147132074</c:v>
                </c:pt>
                <c:pt idx="3144">
                  <c:v>150.48594103424676</c:v>
                </c:pt>
                <c:pt idx="3145">
                  <c:v>150.51285540994192</c:v>
                </c:pt>
                <c:pt idx="3146">
                  <c:v>150.53977459926691</c:v>
                </c:pt>
                <c:pt idx="3147">
                  <c:v>150.56669860308267</c:v>
                </c:pt>
                <c:pt idx="3148">
                  <c:v>150.59362742225031</c:v>
                </c:pt>
                <c:pt idx="3149">
                  <c:v>150.62056105763097</c:v>
                </c:pt>
                <c:pt idx="3150">
                  <c:v>150.64749951008599</c:v>
                </c:pt>
                <c:pt idx="3151">
                  <c:v>150.67444278047711</c:v>
                </c:pt>
                <c:pt idx="3152">
                  <c:v>150.70139086966589</c:v>
                </c:pt>
                <c:pt idx="3153">
                  <c:v>150.72834377851416</c:v>
                </c:pt>
                <c:pt idx="3154">
                  <c:v>150.75530150788398</c:v>
                </c:pt>
                <c:pt idx="3155">
                  <c:v>150.78226405863742</c:v>
                </c:pt>
                <c:pt idx="3156">
                  <c:v>150.80923143163682</c:v>
                </c:pt>
                <c:pt idx="3157">
                  <c:v>150.83620362774468</c:v>
                </c:pt>
                <c:pt idx="3158">
                  <c:v>150.8631806478235</c:v>
                </c:pt>
                <c:pt idx="3159">
                  <c:v>150.89016249273601</c:v>
                </c:pt>
                <c:pt idx="3160">
                  <c:v>150.91714916334539</c:v>
                </c:pt>
                <c:pt idx="3161">
                  <c:v>150.94414066051451</c:v>
                </c:pt>
                <c:pt idx="3162">
                  <c:v>150.97113698510668</c:v>
                </c:pt>
                <c:pt idx="3163">
                  <c:v>150.99813813798522</c:v>
                </c:pt>
                <c:pt idx="3164">
                  <c:v>151.02514412001372</c:v>
                </c:pt>
                <c:pt idx="3165">
                  <c:v>151.05215493205583</c:v>
                </c:pt>
                <c:pt idx="3166">
                  <c:v>151.07917057497545</c:v>
                </c:pt>
                <c:pt idx="3167">
                  <c:v>151.10619104963652</c:v>
                </c:pt>
                <c:pt idx="3168">
                  <c:v>151.13321635690312</c:v>
                </c:pt>
                <c:pt idx="3169">
                  <c:v>151.16024649763978</c:v>
                </c:pt>
                <c:pt idx="3170">
                  <c:v>151.18728147271085</c:v>
                </c:pt>
                <c:pt idx="3171">
                  <c:v>151.21432128298093</c:v>
                </c:pt>
                <c:pt idx="3172">
                  <c:v>151.24136592931484</c:v>
                </c:pt>
                <c:pt idx="3173">
                  <c:v>151.26841541257747</c:v>
                </c:pt>
                <c:pt idx="3174">
                  <c:v>151.29546973363392</c:v>
                </c:pt>
                <c:pt idx="3175">
                  <c:v>151.32252889334941</c:v>
                </c:pt>
                <c:pt idx="3176">
                  <c:v>151.34959289258936</c:v>
                </c:pt>
                <c:pt idx="3177">
                  <c:v>151.37666173221916</c:v>
                </c:pt>
                <c:pt idx="3178">
                  <c:v>151.40373541310481</c:v>
                </c:pt>
                <c:pt idx="3179">
                  <c:v>151.430813936112</c:v>
                </c:pt>
                <c:pt idx="3180">
                  <c:v>151.45789730210677</c:v>
                </c:pt>
                <c:pt idx="3181">
                  <c:v>151.48498551195527</c:v>
                </c:pt>
                <c:pt idx="3182">
                  <c:v>151.51207856652383</c:v>
                </c:pt>
                <c:pt idx="3183">
                  <c:v>151.53917646667892</c:v>
                </c:pt>
                <c:pt idx="3184">
                  <c:v>151.56627921328717</c:v>
                </c:pt>
                <c:pt idx="3185">
                  <c:v>151.59338680721538</c:v>
                </c:pt>
                <c:pt idx="3186">
                  <c:v>151.62049924933035</c:v>
                </c:pt>
                <c:pt idx="3187">
                  <c:v>151.64761654049943</c:v>
                </c:pt>
                <c:pt idx="3188">
                  <c:v>151.67473868158979</c:v>
                </c:pt>
                <c:pt idx="3189">
                  <c:v>151.70186567346877</c:v>
                </c:pt>
                <c:pt idx="3190">
                  <c:v>151.72899751700396</c:v>
                </c:pt>
                <c:pt idx="3191">
                  <c:v>151.75613421306309</c:v>
                </c:pt>
                <c:pt idx="3192">
                  <c:v>151.78327576251405</c:v>
                </c:pt>
                <c:pt idx="3193">
                  <c:v>151.81042216622481</c:v>
                </c:pt>
                <c:pt idx="3194">
                  <c:v>151.8375734250636</c:v>
                </c:pt>
                <c:pt idx="3195">
                  <c:v>151.8647295398986</c:v>
                </c:pt>
                <c:pt idx="3196">
                  <c:v>151.8918905115986</c:v>
                </c:pt>
                <c:pt idx="3197">
                  <c:v>151.91905634103207</c:v>
                </c:pt>
                <c:pt idx="3198">
                  <c:v>151.94622702906787</c:v>
                </c:pt>
                <c:pt idx="3199">
                  <c:v>151.9734025765749</c:v>
                </c:pt>
                <c:pt idx="3200">
                  <c:v>152.00058298442235</c:v>
                </c:pt>
                <c:pt idx="3201">
                  <c:v>152.02776825347942</c:v>
                </c:pt>
                <c:pt idx="3202">
                  <c:v>152.05495838461556</c:v>
                </c:pt>
                <c:pt idx="3203">
                  <c:v>152.08215337870035</c:v>
                </c:pt>
                <c:pt idx="3204">
                  <c:v>152.10935323660343</c:v>
                </c:pt>
                <c:pt idx="3205">
                  <c:v>152.13655795919487</c:v>
                </c:pt>
                <c:pt idx="3206">
                  <c:v>152.16376754734472</c:v>
                </c:pt>
                <c:pt idx="3207">
                  <c:v>152.19098200192306</c:v>
                </c:pt>
                <c:pt idx="3208">
                  <c:v>152.21820132380032</c:v>
                </c:pt>
                <c:pt idx="3209">
                  <c:v>152.24542551384695</c:v>
                </c:pt>
                <c:pt idx="3210">
                  <c:v>152.2726545729337</c:v>
                </c:pt>
                <c:pt idx="3211">
                  <c:v>152.29988850193135</c:v>
                </c:pt>
                <c:pt idx="3212">
                  <c:v>152.3271273017109</c:v>
                </c:pt>
                <c:pt idx="3213">
                  <c:v>152.35437097314335</c:v>
                </c:pt>
                <c:pt idx="3214">
                  <c:v>152.38161951710026</c:v>
                </c:pt>
                <c:pt idx="3215">
                  <c:v>152.40887293445294</c:v>
                </c:pt>
                <c:pt idx="3216">
                  <c:v>152.43613122607297</c:v>
                </c:pt>
                <c:pt idx="3217">
                  <c:v>152.46339439283219</c:v>
                </c:pt>
                <c:pt idx="3218">
                  <c:v>152.49066243560245</c:v>
                </c:pt>
                <c:pt idx="3219">
                  <c:v>152.51793535525584</c:v>
                </c:pt>
                <c:pt idx="3220">
                  <c:v>152.54521315266459</c:v>
                </c:pt>
                <c:pt idx="3221">
                  <c:v>152.57249582870108</c:v>
                </c:pt>
                <c:pt idx="3222">
                  <c:v>152.59978338423775</c:v>
                </c:pt>
                <c:pt idx="3223">
                  <c:v>152.62707582014752</c:v>
                </c:pt>
                <c:pt idx="3224">
                  <c:v>152.65437313730317</c:v>
                </c:pt>
                <c:pt idx="3225">
                  <c:v>152.68167533657763</c:v>
                </c:pt>
                <c:pt idx="3226">
                  <c:v>152.7089824188441</c:v>
                </c:pt>
                <c:pt idx="3227">
                  <c:v>152.73629438497593</c:v>
                </c:pt>
                <c:pt idx="3228">
                  <c:v>152.76361123584658</c:v>
                </c:pt>
                <c:pt idx="3229">
                  <c:v>152.79093297232967</c:v>
                </c:pt>
                <c:pt idx="3230">
                  <c:v>152.818259595299</c:v>
                </c:pt>
                <c:pt idx="3231">
                  <c:v>152.84559110562836</c:v>
                </c:pt>
                <c:pt idx="3232">
                  <c:v>152.87292750419218</c:v>
                </c:pt>
                <c:pt idx="3233">
                  <c:v>152.90026879186456</c:v>
                </c:pt>
                <c:pt idx="3234">
                  <c:v>152.92761496951988</c:v>
                </c:pt>
                <c:pt idx="3235">
                  <c:v>152.95496603803275</c:v>
                </c:pt>
                <c:pt idx="3236">
                  <c:v>152.98232199827788</c:v>
                </c:pt>
                <c:pt idx="3237">
                  <c:v>153.00968285113018</c:v>
                </c:pt>
                <c:pt idx="3238">
                  <c:v>153.03704859746466</c:v>
                </c:pt>
                <c:pt idx="3239">
                  <c:v>153.06441923815652</c:v>
                </c:pt>
                <c:pt idx="3240">
                  <c:v>153.091794774081</c:v>
                </c:pt>
                <c:pt idx="3241">
                  <c:v>153.11917520611388</c:v>
                </c:pt>
                <c:pt idx="3242">
                  <c:v>153.1465605351307</c:v>
                </c:pt>
                <c:pt idx="3243">
                  <c:v>153.17395076200725</c:v>
                </c:pt>
                <c:pt idx="3244">
                  <c:v>153.20134588761954</c:v>
                </c:pt>
                <c:pt idx="3245">
                  <c:v>153.22874591284372</c:v>
                </c:pt>
                <c:pt idx="3246">
                  <c:v>153.25615083855604</c:v>
                </c:pt>
                <c:pt idx="3247">
                  <c:v>153.28356066563299</c:v>
                </c:pt>
                <c:pt idx="3248">
                  <c:v>153.31097539495116</c:v>
                </c:pt>
                <c:pt idx="3249">
                  <c:v>153.33839502738718</c:v>
                </c:pt>
                <c:pt idx="3250">
                  <c:v>153.36581956381823</c:v>
                </c:pt>
                <c:pt idx="3251">
                  <c:v>153.39324900512128</c:v>
                </c:pt>
                <c:pt idx="3252">
                  <c:v>153.42068335217354</c:v>
                </c:pt>
                <c:pt idx="3253">
                  <c:v>153.44812260585246</c:v>
                </c:pt>
                <c:pt idx="3254">
                  <c:v>153.4755667670355</c:v>
                </c:pt>
                <c:pt idx="3255">
                  <c:v>153.50301583660041</c:v>
                </c:pt>
                <c:pt idx="3256">
                  <c:v>153.53046981542508</c:v>
                </c:pt>
                <c:pt idx="3257">
                  <c:v>153.55792870438748</c:v>
                </c:pt>
                <c:pt idx="3258">
                  <c:v>153.58539250436581</c:v>
                </c:pt>
                <c:pt idx="3259">
                  <c:v>153.61286121623831</c:v>
                </c:pt>
                <c:pt idx="3260">
                  <c:v>153.64033484088367</c:v>
                </c:pt>
                <c:pt idx="3261">
                  <c:v>153.66781337918042</c:v>
                </c:pt>
                <c:pt idx="3262">
                  <c:v>153.69529683200739</c:v>
                </c:pt>
                <c:pt idx="3263">
                  <c:v>153.72278520024355</c:v>
                </c:pt>
                <c:pt idx="3264">
                  <c:v>153.7502784847681</c:v>
                </c:pt>
                <c:pt idx="3265">
                  <c:v>153.77777668646013</c:v>
                </c:pt>
                <c:pt idx="3266">
                  <c:v>153.80527980619914</c:v>
                </c:pt>
                <c:pt idx="3267">
                  <c:v>153.83278784486473</c:v>
                </c:pt>
                <c:pt idx="3268">
                  <c:v>153.86030080333654</c:v>
                </c:pt>
                <c:pt idx="3269">
                  <c:v>153.88781868249475</c:v>
                </c:pt>
                <c:pt idx="3270">
                  <c:v>153.91534148321927</c:v>
                </c:pt>
                <c:pt idx="3271">
                  <c:v>153.9428692063903</c:v>
                </c:pt>
                <c:pt idx="3272">
                  <c:v>153.97040185288824</c:v>
                </c:pt>
                <c:pt idx="3273">
                  <c:v>153.99793942359366</c:v>
                </c:pt>
                <c:pt idx="3274">
                  <c:v>154.0254819193872</c:v>
                </c:pt>
                <c:pt idx="3275">
                  <c:v>154.05302934114974</c:v>
                </c:pt>
                <c:pt idx="3276">
                  <c:v>154.08058168976228</c:v>
                </c:pt>
                <c:pt idx="3277">
                  <c:v>154.10813896610586</c:v>
                </c:pt>
                <c:pt idx="3278">
                  <c:v>154.13570117106204</c:v>
                </c:pt>
                <c:pt idx="3279">
                  <c:v>154.16326830551222</c:v>
                </c:pt>
                <c:pt idx="3280">
                  <c:v>154.19084037033801</c:v>
                </c:pt>
                <c:pt idx="3281">
                  <c:v>154.21841736642119</c:v>
                </c:pt>
                <c:pt idx="3282">
                  <c:v>154.24599929464372</c:v>
                </c:pt>
                <c:pt idx="3283">
                  <c:v>154.27358615588776</c:v>
                </c:pt>
                <c:pt idx="3284">
                  <c:v>154.30117795103553</c:v>
                </c:pt>
                <c:pt idx="3285">
                  <c:v>154.32877468096947</c:v>
                </c:pt>
                <c:pt idx="3286">
                  <c:v>154.35637634657201</c:v>
                </c:pt>
                <c:pt idx="3287">
                  <c:v>154.38398294872621</c:v>
                </c:pt>
                <c:pt idx="3288">
                  <c:v>154.41159448831479</c:v>
                </c:pt>
                <c:pt idx="3289">
                  <c:v>154.43921096622086</c:v>
                </c:pt>
                <c:pt idx="3290">
                  <c:v>154.46683238332758</c:v>
                </c:pt>
                <c:pt idx="3291">
                  <c:v>154.49445874051835</c:v>
                </c:pt>
                <c:pt idx="3292">
                  <c:v>154.52209003867674</c:v>
                </c:pt>
                <c:pt idx="3293">
                  <c:v>154.54972627868636</c:v>
                </c:pt>
                <c:pt idx="3294">
                  <c:v>154.57736746143112</c:v>
                </c:pt>
                <c:pt idx="3295">
                  <c:v>154.6050135877949</c:v>
                </c:pt>
                <c:pt idx="3296">
                  <c:v>154.63266465866209</c:v>
                </c:pt>
                <c:pt idx="3297">
                  <c:v>154.66032067491687</c:v>
                </c:pt>
                <c:pt idx="3298">
                  <c:v>154.68798163744378</c:v>
                </c:pt>
                <c:pt idx="3299">
                  <c:v>154.71564754712745</c:v>
                </c:pt>
                <c:pt idx="3300">
                  <c:v>154.74331840485263</c:v>
                </c:pt>
                <c:pt idx="3301">
                  <c:v>154.77099421150433</c:v>
                </c:pt>
                <c:pt idx="3302">
                  <c:v>154.7986749679676</c:v>
                </c:pt>
                <c:pt idx="3303">
                  <c:v>154.82636067512777</c:v>
                </c:pt>
                <c:pt idx="3304">
                  <c:v>154.85405133387013</c:v>
                </c:pt>
                <c:pt idx="3305">
                  <c:v>154.88174694508052</c:v>
                </c:pt>
                <c:pt idx="3306">
                  <c:v>154.90944750964454</c:v>
                </c:pt>
                <c:pt idx="3307">
                  <c:v>154.93715302844814</c:v>
                </c:pt>
                <c:pt idx="3308">
                  <c:v>154.96486350237737</c:v>
                </c:pt>
                <c:pt idx="3309">
                  <c:v>154.99257893231842</c:v>
                </c:pt>
                <c:pt idx="3310">
                  <c:v>155.02029931915771</c:v>
                </c:pt>
                <c:pt idx="3311">
                  <c:v>155.04802466378175</c:v>
                </c:pt>
                <c:pt idx="3312">
                  <c:v>155.07575496707727</c:v>
                </c:pt>
                <c:pt idx="3313">
                  <c:v>155.10349022993094</c:v>
                </c:pt>
                <c:pt idx="3314">
                  <c:v>155.13123045323013</c:v>
                </c:pt>
                <c:pt idx="3315">
                  <c:v>155.1589756378618</c:v>
                </c:pt>
                <c:pt idx="3316">
                  <c:v>155.18672578471333</c:v>
                </c:pt>
                <c:pt idx="3317">
                  <c:v>155.21448089467219</c:v>
                </c:pt>
                <c:pt idx="3318">
                  <c:v>155.24224096862602</c:v>
                </c:pt>
                <c:pt idx="3319">
                  <c:v>155.27000600746268</c:v>
                </c:pt>
                <c:pt idx="3320">
                  <c:v>155.2977760120701</c:v>
                </c:pt>
                <c:pt idx="3321">
                  <c:v>155.32555098333637</c:v>
                </c:pt>
                <c:pt idx="3322">
                  <c:v>155.35333092214972</c:v>
                </c:pt>
                <c:pt idx="3323">
                  <c:v>155.38111582939882</c:v>
                </c:pt>
                <c:pt idx="3324">
                  <c:v>155.40890570597213</c:v>
                </c:pt>
                <c:pt idx="3325">
                  <c:v>155.43670055275845</c:v>
                </c:pt>
                <c:pt idx="3326">
                  <c:v>155.46450037064668</c:v>
                </c:pt>
                <c:pt idx="3327">
                  <c:v>155.49230516052589</c:v>
                </c:pt>
                <c:pt idx="3328">
                  <c:v>155.52011492328532</c:v>
                </c:pt>
                <c:pt idx="3329">
                  <c:v>155.5479296598144</c:v>
                </c:pt>
                <c:pt idx="3330">
                  <c:v>155.57574937100264</c:v>
                </c:pt>
                <c:pt idx="3331">
                  <c:v>155.60357405773979</c:v>
                </c:pt>
                <c:pt idx="3332">
                  <c:v>155.63140372091559</c:v>
                </c:pt>
                <c:pt idx="3333">
                  <c:v>155.65923836142034</c:v>
                </c:pt>
                <c:pt idx="3334">
                  <c:v>155.68707798014407</c:v>
                </c:pt>
                <c:pt idx="3335">
                  <c:v>155.71492257797721</c:v>
                </c:pt>
                <c:pt idx="3336">
                  <c:v>155.74277215581017</c:v>
                </c:pt>
                <c:pt idx="3337">
                  <c:v>155.77062671453371</c:v>
                </c:pt>
                <c:pt idx="3338">
                  <c:v>155.7984862550386</c:v>
                </c:pt>
                <c:pt idx="3339">
                  <c:v>155.82635077821587</c:v>
                </c:pt>
                <c:pt idx="3340">
                  <c:v>155.85422028495665</c:v>
                </c:pt>
                <c:pt idx="3341">
                  <c:v>155.88209477615212</c:v>
                </c:pt>
                <c:pt idx="3342">
                  <c:v>155.90997425269401</c:v>
                </c:pt>
                <c:pt idx="3343">
                  <c:v>155.93785871547385</c:v>
                </c:pt>
                <c:pt idx="3344">
                  <c:v>155.96574816538339</c:v>
                </c:pt>
                <c:pt idx="3345">
                  <c:v>155.99364260331456</c:v>
                </c:pt>
                <c:pt idx="3346">
                  <c:v>156.02154203015954</c:v>
                </c:pt>
                <c:pt idx="3347">
                  <c:v>156.04944644681049</c:v>
                </c:pt>
                <c:pt idx="3348">
                  <c:v>156.07735585415995</c:v>
                </c:pt>
                <c:pt idx="3349">
                  <c:v>156.1052702531004</c:v>
                </c:pt>
                <c:pt idx="3350">
                  <c:v>156.13318964452452</c:v>
                </c:pt>
                <c:pt idx="3351">
                  <c:v>156.16111402932546</c:v>
                </c:pt>
                <c:pt idx="3352">
                  <c:v>156.18904340839617</c:v>
                </c:pt>
                <c:pt idx="3353">
                  <c:v>156.21697778262987</c:v>
                </c:pt>
                <c:pt idx="3354">
                  <c:v>156.2449171529199</c:v>
                </c:pt>
                <c:pt idx="3355">
                  <c:v>156.27286152015984</c:v>
                </c:pt>
                <c:pt idx="3356">
                  <c:v>156.30081088524338</c:v>
                </c:pt>
                <c:pt idx="3357">
                  <c:v>156.32876524906439</c:v>
                </c:pt>
                <c:pt idx="3358">
                  <c:v>156.35672461251693</c:v>
                </c:pt>
                <c:pt idx="3359">
                  <c:v>156.38468897649497</c:v>
                </c:pt>
                <c:pt idx="3360">
                  <c:v>156.41265834189318</c:v>
                </c:pt>
                <c:pt idx="3361">
                  <c:v>156.44063270960592</c:v>
                </c:pt>
                <c:pt idx="3362">
                  <c:v>156.46861208052783</c:v>
                </c:pt>
                <c:pt idx="3363">
                  <c:v>156.49659645555377</c:v>
                </c:pt>
                <c:pt idx="3364">
                  <c:v>156.52458583557868</c:v>
                </c:pt>
                <c:pt idx="3365">
                  <c:v>156.55258022149772</c:v>
                </c:pt>
                <c:pt idx="3366">
                  <c:v>156.58057961420621</c:v>
                </c:pt>
                <c:pt idx="3367">
                  <c:v>156.60858401459961</c:v>
                </c:pt>
                <c:pt idx="3368">
                  <c:v>156.63659342357337</c:v>
                </c:pt>
                <c:pt idx="3369">
                  <c:v>156.6646078420236</c:v>
                </c:pt>
                <c:pt idx="3370">
                  <c:v>156.69262727084609</c:v>
                </c:pt>
                <c:pt idx="3371">
                  <c:v>156.72065171093692</c:v>
                </c:pt>
                <c:pt idx="3372">
                  <c:v>156.74868116319234</c:v>
                </c:pt>
                <c:pt idx="3373">
                  <c:v>156.77671562850884</c:v>
                </c:pt>
                <c:pt idx="3374">
                  <c:v>156.80475510778297</c:v>
                </c:pt>
                <c:pt idx="3375">
                  <c:v>156.83279960191143</c:v>
                </c:pt>
                <c:pt idx="3376">
                  <c:v>156.8608491117912</c:v>
                </c:pt>
                <c:pt idx="3377">
                  <c:v>156.88890363831916</c:v>
                </c:pt>
                <c:pt idx="3378">
                  <c:v>156.91696318239286</c:v>
                </c:pt>
                <c:pt idx="3379">
                  <c:v>156.94502774490951</c:v>
                </c:pt>
                <c:pt idx="3380">
                  <c:v>156.97309732676663</c:v>
                </c:pt>
                <c:pt idx="3381">
                  <c:v>157.00117192886199</c:v>
                </c:pt>
                <c:pt idx="3382">
                  <c:v>157.02925155209346</c:v>
                </c:pt>
                <c:pt idx="3383">
                  <c:v>157.05733619735898</c:v>
                </c:pt>
                <c:pt idx="3384">
                  <c:v>157.08542586555686</c:v>
                </c:pt>
                <c:pt idx="3385">
                  <c:v>157.11352055758533</c:v>
                </c:pt>
                <c:pt idx="3386">
                  <c:v>157.14162027434287</c:v>
                </c:pt>
                <c:pt idx="3387">
                  <c:v>157.16972501672836</c:v>
                </c:pt>
                <c:pt idx="3388">
                  <c:v>157.19783478564051</c:v>
                </c:pt>
                <c:pt idx="3389">
                  <c:v>157.22594958197834</c:v>
                </c:pt>
                <c:pt idx="3390">
                  <c:v>157.25406940664095</c:v>
                </c:pt>
                <c:pt idx="3391">
                  <c:v>157.28219426052772</c:v>
                </c:pt>
                <c:pt idx="3392">
                  <c:v>157.3103241445381</c:v>
                </c:pt>
                <c:pt idx="3393">
                  <c:v>157.33845905957168</c:v>
                </c:pt>
                <c:pt idx="3394">
                  <c:v>157.36659900652833</c:v>
                </c:pt>
                <c:pt idx="3395">
                  <c:v>157.39474398630782</c:v>
                </c:pt>
                <c:pt idx="3396">
                  <c:v>157.42289399981055</c:v>
                </c:pt>
                <c:pt idx="3397">
                  <c:v>157.45104904793672</c:v>
                </c:pt>
                <c:pt idx="3398">
                  <c:v>157.47920913158669</c:v>
                </c:pt>
                <c:pt idx="3399">
                  <c:v>157.50737425166108</c:v>
                </c:pt>
                <c:pt idx="3400">
                  <c:v>157.53554440906069</c:v>
                </c:pt>
                <c:pt idx="3401">
                  <c:v>157.56371960468644</c:v>
                </c:pt>
                <c:pt idx="3402">
                  <c:v>157.59189983943941</c:v>
                </c:pt>
                <c:pt idx="3403">
                  <c:v>157.62008511422081</c:v>
                </c:pt>
                <c:pt idx="3404">
                  <c:v>157.64827542993194</c:v>
                </c:pt>
                <c:pt idx="3405">
                  <c:v>157.67647078747467</c:v>
                </c:pt>
                <c:pt idx="3406">
                  <c:v>157.70467118775051</c:v>
                </c:pt>
                <c:pt idx="3407">
                  <c:v>157.73287663166147</c:v>
                </c:pt>
                <c:pt idx="3408">
                  <c:v>157.76108712010949</c:v>
                </c:pt>
                <c:pt idx="3409">
                  <c:v>157.78930265399686</c:v>
                </c:pt>
                <c:pt idx="3410">
                  <c:v>157.81752323422594</c:v>
                </c:pt>
                <c:pt idx="3411">
                  <c:v>157.84574886169924</c:v>
                </c:pt>
                <c:pt idx="3412">
                  <c:v>157.87397953731946</c:v>
                </c:pt>
                <c:pt idx="3413">
                  <c:v>157.90221526198937</c:v>
                </c:pt>
                <c:pt idx="3414">
                  <c:v>157.93045603661221</c:v>
                </c:pt>
                <c:pt idx="3415">
                  <c:v>157.95870186209106</c:v>
                </c:pt>
                <c:pt idx="3416">
                  <c:v>157.98695273932924</c:v>
                </c:pt>
                <c:pt idx="3417">
                  <c:v>158.0152086692303</c:v>
                </c:pt>
                <c:pt idx="3418">
                  <c:v>158.04346965269787</c:v>
                </c:pt>
                <c:pt idx="3419">
                  <c:v>158.07173569063576</c:v>
                </c:pt>
                <c:pt idx="3420">
                  <c:v>158.100006783948</c:v>
                </c:pt>
                <c:pt idx="3421">
                  <c:v>158.12828293353877</c:v>
                </c:pt>
                <c:pt idx="3422">
                  <c:v>158.15656414031216</c:v>
                </c:pt>
                <c:pt idx="3423">
                  <c:v>158.18485040517311</c:v>
                </c:pt>
                <c:pt idx="3424">
                  <c:v>158.21314172902586</c:v>
                </c:pt>
                <c:pt idx="3425">
                  <c:v>158.24143811277531</c:v>
                </c:pt>
                <c:pt idx="3426">
                  <c:v>158.26973955732643</c:v>
                </c:pt>
                <c:pt idx="3427">
                  <c:v>158.29804606358437</c:v>
                </c:pt>
                <c:pt idx="3428">
                  <c:v>158.3263576324544</c:v>
                </c:pt>
                <c:pt idx="3429">
                  <c:v>158.35467426484198</c:v>
                </c:pt>
                <c:pt idx="3430">
                  <c:v>158.38299596165265</c:v>
                </c:pt>
                <c:pt idx="3431">
                  <c:v>158.41132272379227</c:v>
                </c:pt>
                <c:pt idx="3432">
                  <c:v>158.43965455216662</c:v>
                </c:pt>
                <c:pt idx="3433">
                  <c:v>158.46799144768201</c:v>
                </c:pt>
                <c:pt idx="3434">
                  <c:v>158.49633341124462</c:v>
                </c:pt>
                <c:pt idx="3435">
                  <c:v>158.52468044376084</c:v>
                </c:pt>
                <c:pt idx="3436">
                  <c:v>158.55303254613725</c:v>
                </c:pt>
                <c:pt idx="3437">
                  <c:v>158.58138971928059</c:v>
                </c:pt>
                <c:pt idx="3438">
                  <c:v>158.60975196409782</c:v>
                </c:pt>
                <c:pt idx="3439">
                  <c:v>158.63811928149596</c:v>
                </c:pt>
                <c:pt idx="3440">
                  <c:v>158.66649167238222</c:v>
                </c:pt>
                <c:pt idx="3441">
                  <c:v>158.69486913766389</c:v>
                </c:pt>
                <c:pt idx="3442">
                  <c:v>158.7232516782488</c:v>
                </c:pt>
                <c:pt idx="3443">
                  <c:v>158.7516392950445</c:v>
                </c:pt>
                <c:pt idx="3444">
                  <c:v>158.78003198895891</c:v>
                </c:pt>
                <c:pt idx="3445">
                  <c:v>158.80842976090003</c:v>
                </c:pt>
                <c:pt idx="3446">
                  <c:v>158.83683261177609</c:v>
                </c:pt>
                <c:pt idx="3447">
                  <c:v>158.86524054249546</c:v>
                </c:pt>
                <c:pt idx="3448">
                  <c:v>158.89365355396666</c:v>
                </c:pt>
                <c:pt idx="3449">
                  <c:v>158.92207164709836</c:v>
                </c:pt>
                <c:pt idx="3450">
                  <c:v>158.9504948227993</c:v>
                </c:pt>
                <c:pt idx="3451">
                  <c:v>158.97892308197876</c:v>
                </c:pt>
                <c:pt idx="3452">
                  <c:v>159.00735642554582</c:v>
                </c:pt>
                <c:pt idx="3453">
                  <c:v>159.0357948544098</c:v>
                </c:pt>
                <c:pt idx="3454">
                  <c:v>159.06423836948017</c:v>
                </c:pt>
                <c:pt idx="3455">
                  <c:v>159.09268697166661</c:v>
                </c:pt>
                <c:pt idx="3456">
                  <c:v>159.12114066187897</c:v>
                </c:pt>
                <c:pt idx="3457">
                  <c:v>159.14959944102725</c:v>
                </c:pt>
                <c:pt idx="3458">
                  <c:v>159.17806331002157</c:v>
                </c:pt>
                <c:pt idx="3459">
                  <c:v>159.20653226977211</c:v>
                </c:pt>
                <c:pt idx="3460">
                  <c:v>159.23500632118967</c:v>
                </c:pt>
                <c:pt idx="3461">
                  <c:v>159.26348546518471</c:v>
                </c:pt>
                <c:pt idx="3462">
                  <c:v>159.2919697026681</c:v>
                </c:pt>
                <c:pt idx="3463">
                  <c:v>159.32045903455074</c:v>
                </c:pt>
                <c:pt idx="3464">
                  <c:v>159.34895346174378</c:v>
                </c:pt>
                <c:pt idx="3465">
                  <c:v>159.37745298515856</c:v>
                </c:pt>
                <c:pt idx="3466">
                  <c:v>159.40595760570645</c:v>
                </c:pt>
                <c:pt idx="3467">
                  <c:v>159.43446732429913</c:v>
                </c:pt>
                <c:pt idx="3468">
                  <c:v>159.46298214184827</c:v>
                </c:pt>
                <c:pt idx="3469">
                  <c:v>159.49150205926605</c:v>
                </c:pt>
                <c:pt idx="3470">
                  <c:v>159.52002707746445</c:v>
                </c:pt>
                <c:pt idx="3471">
                  <c:v>159.54855719735573</c:v>
                </c:pt>
                <c:pt idx="3472">
                  <c:v>159.57709241985236</c:v>
                </c:pt>
                <c:pt idx="3473">
                  <c:v>159.6056327458669</c:v>
                </c:pt>
                <c:pt idx="3474">
                  <c:v>159.63417817631216</c:v>
                </c:pt>
                <c:pt idx="3475">
                  <c:v>159.66272871210106</c:v>
                </c:pt>
                <c:pt idx="3476">
                  <c:v>159.69128435414666</c:v>
                </c:pt>
                <c:pt idx="3477">
                  <c:v>159.71984510336208</c:v>
                </c:pt>
                <c:pt idx="3478">
                  <c:v>159.748410960661</c:v>
                </c:pt>
                <c:pt idx="3479">
                  <c:v>159.77698192695689</c:v>
                </c:pt>
                <c:pt idx="3480">
                  <c:v>159.80555800316353</c:v>
                </c:pt>
                <c:pt idx="3481">
                  <c:v>159.83413919019475</c:v>
                </c:pt>
                <c:pt idx="3482">
                  <c:v>159.86272548896463</c:v>
                </c:pt>
                <c:pt idx="3483">
                  <c:v>159.89131690038744</c:v>
                </c:pt>
                <c:pt idx="3484">
                  <c:v>159.91991342537756</c:v>
                </c:pt>
                <c:pt idx="3485">
                  <c:v>159.94851506484954</c:v>
                </c:pt>
                <c:pt idx="3486">
                  <c:v>159.97712181971798</c:v>
                </c:pt>
                <c:pt idx="3487">
                  <c:v>160.00573369089804</c:v>
                </c:pt>
                <c:pt idx="3488">
                  <c:v>160.03435067930465</c:v>
                </c:pt>
                <c:pt idx="3489">
                  <c:v>160.06297278585296</c:v>
                </c:pt>
                <c:pt idx="3490">
                  <c:v>160.09160001145847</c:v>
                </c:pt>
                <c:pt idx="3491">
                  <c:v>160.1202323570366</c:v>
                </c:pt>
                <c:pt idx="3492">
                  <c:v>160.14886982350311</c:v>
                </c:pt>
                <c:pt idx="3493">
                  <c:v>160.17751241177388</c:v>
                </c:pt>
                <c:pt idx="3494">
                  <c:v>160.20616012276491</c:v>
                </c:pt>
                <c:pt idx="3495">
                  <c:v>160.23481295739225</c:v>
                </c:pt>
                <c:pt idx="3496">
                  <c:v>160.2634709165726</c:v>
                </c:pt>
                <c:pt idx="3497">
                  <c:v>160.29213400122231</c:v>
                </c:pt>
                <c:pt idx="3498">
                  <c:v>160.32080221225806</c:v>
                </c:pt>
                <c:pt idx="3499">
                  <c:v>160.34947555059674</c:v>
                </c:pt>
                <c:pt idx="3500">
                  <c:v>160.37815401715531</c:v>
                </c:pt>
                <c:pt idx="3501">
                  <c:v>160.40683761285101</c:v>
                </c:pt>
                <c:pt idx="3502">
                  <c:v>160.43552633860111</c:v>
                </c:pt>
                <c:pt idx="3503">
                  <c:v>160.46422019532321</c:v>
                </c:pt>
                <c:pt idx="3504">
                  <c:v>160.49291918393479</c:v>
                </c:pt>
                <c:pt idx="3505">
                  <c:v>160.52162330535396</c:v>
                </c:pt>
                <c:pt idx="3506">
                  <c:v>160.55033256049859</c:v>
                </c:pt>
                <c:pt idx="3507">
                  <c:v>160.57904695028685</c:v>
                </c:pt>
                <c:pt idx="3508">
                  <c:v>160.60776647563708</c:v>
                </c:pt>
                <c:pt idx="3509">
                  <c:v>160.6364911374678</c:v>
                </c:pt>
                <c:pt idx="3510">
                  <c:v>160.66522093669758</c:v>
                </c:pt>
                <c:pt idx="3511">
                  <c:v>160.69395587424535</c:v>
                </c:pt>
                <c:pt idx="3512">
                  <c:v>160.72269595103</c:v>
                </c:pt>
                <c:pt idx="3513">
                  <c:v>160.7514411679706</c:v>
                </c:pt>
                <c:pt idx="3514">
                  <c:v>160.78019152598674</c:v>
                </c:pt>
                <c:pt idx="3515">
                  <c:v>160.80894702599775</c:v>
                </c:pt>
                <c:pt idx="3516">
                  <c:v>160.83770766892329</c:v>
                </c:pt>
                <c:pt idx="3517">
                  <c:v>160.86647345568312</c:v>
                </c:pt>
                <c:pt idx="3518">
                  <c:v>160.89524438719727</c:v>
                </c:pt>
                <c:pt idx="3519">
                  <c:v>160.92402046438585</c:v>
                </c:pt>
                <c:pt idx="3520">
                  <c:v>160.95280168816916</c:v>
                </c:pt>
                <c:pt idx="3521">
                  <c:v>160.9815880594677</c:v>
                </c:pt>
                <c:pt idx="3522">
                  <c:v>161.01037957920192</c:v>
                </c:pt>
                <c:pt idx="3523">
                  <c:v>161.03917624829293</c:v>
                </c:pt>
                <c:pt idx="3524">
                  <c:v>161.06797806766153</c:v>
                </c:pt>
                <c:pt idx="3525">
                  <c:v>161.09678503822886</c:v>
                </c:pt>
                <c:pt idx="3526">
                  <c:v>161.12559716091619</c:v>
                </c:pt>
                <c:pt idx="3527">
                  <c:v>161.15441443664497</c:v>
                </c:pt>
                <c:pt idx="3528">
                  <c:v>161.18323686633687</c:v>
                </c:pt>
                <c:pt idx="3529">
                  <c:v>161.21206445091363</c:v>
                </c:pt>
                <c:pt idx="3530">
                  <c:v>161.24089719129722</c:v>
                </c:pt>
                <c:pt idx="3531">
                  <c:v>161.26973508840962</c:v>
                </c:pt>
                <c:pt idx="3532">
                  <c:v>161.29857814317336</c:v>
                </c:pt>
                <c:pt idx="3533">
                  <c:v>161.32742635651078</c:v>
                </c:pt>
                <c:pt idx="3534">
                  <c:v>161.35627972934446</c:v>
                </c:pt>
                <c:pt idx="3535">
                  <c:v>161.3851382625972</c:v>
                </c:pt>
                <c:pt idx="3536">
                  <c:v>161.41400195719191</c:v>
                </c:pt>
                <c:pt idx="3537">
                  <c:v>161.4428708140517</c:v>
                </c:pt>
                <c:pt idx="3538">
                  <c:v>161.47174483409989</c:v>
                </c:pt>
                <c:pt idx="3539">
                  <c:v>161.50062401825986</c:v>
                </c:pt>
                <c:pt idx="3540">
                  <c:v>161.52950836745507</c:v>
                </c:pt>
                <c:pt idx="3541">
                  <c:v>161.5583978826096</c:v>
                </c:pt>
                <c:pt idx="3542">
                  <c:v>161.58729256464721</c:v>
                </c:pt>
                <c:pt idx="3543">
                  <c:v>161.61619241449205</c:v>
                </c:pt>
                <c:pt idx="3544">
                  <c:v>161.64509743306829</c:v>
                </c:pt>
                <c:pt idx="3545">
                  <c:v>161.67400762130043</c:v>
                </c:pt>
                <c:pt idx="3546">
                  <c:v>161.70292298011304</c:v>
                </c:pt>
                <c:pt idx="3547">
                  <c:v>161.73184351043088</c:v>
                </c:pt>
                <c:pt idx="3548">
                  <c:v>161.76076921317886</c:v>
                </c:pt>
                <c:pt idx="3549">
                  <c:v>161.78970008928209</c:v>
                </c:pt>
                <c:pt idx="3550">
                  <c:v>161.81863613966564</c:v>
                </c:pt>
                <c:pt idx="3551">
                  <c:v>161.84757736525526</c:v>
                </c:pt>
                <c:pt idx="3552">
                  <c:v>161.87652376697636</c:v>
                </c:pt>
                <c:pt idx="3553">
                  <c:v>161.90547534575472</c:v>
                </c:pt>
                <c:pt idx="3554">
                  <c:v>161.93443210251624</c:v>
                </c:pt>
                <c:pt idx="3555">
                  <c:v>161.96339403818698</c:v>
                </c:pt>
                <c:pt idx="3556">
                  <c:v>161.99236115369322</c:v>
                </c:pt>
                <c:pt idx="3557">
                  <c:v>162.02133344996133</c:v>
                </c:pt>
                <c:pt idx="3558">
                  <c:v>162.05031092791796</c:v>
                </c:pt>
                <c:pt idx="3559">
                  <c:v>162.07929358848963</c:v>
                </c:pt>
                <c:pt idx="3560">
                  <c:v>162.1082814326036</c:v>
                </c:pt>
                <c:pt idx="3561">
                  <c:v>162.13727446118676</c:v>
                </c:pt>
                <c:pt idx="3562">
                  <c:v>162.16627267516637</c:v>
                </c:pt>
                <c:pt idx="3563">
                  <c:v>162.19527607546985</c:v>
                </c:pt>
                <c:pt idx="3564">
                  <c:v>162.22428466302472</c:v>
                </c:pt>
                <c:pt idx="3565">
                  <c:v>162.25329843875878</c:v>
                </c:pt>
                <c:pt idx="3566">
                  <c:v>162.2823174035999</c:v>
                </c:pt>
                <c:pt idx="3567">
                  <c:v>162.31134155847616</c:v>
                </c:pt>
                <c:pt idx="3568">
                  <c:v>162.34037090431565</c:v>
                </c:pt>
                <c:pt idx="3569">
                  <c:v>162.36940544204708</c:v>
                </c:pt>
                <c:pt idx="3570">
                  <c:v>162.39844517259883</c:v>
                </c:pt>
                <c:pt idx="3571">
                  <c:v>162.42749009689967</c:v>
                </c:pt>
                <c:pt idx="3572">
                  <c:v>162.4565402158785</c:v>
                </c:pt>
                <c:pt idx="3573">
                  <c:v>162.48559553046439</c:v>
                </c:pt>
                <c:pt idx="3574">
                  <c:v>162.51465604158656</c:v>
                </c:pt>
                <c:pt idx="3575">
                  <c:v>162.5437217501744</c:v>
                </c:pt>
                <c:pt idx="3576">
                  <c:v>162.57279265715749</c:v>
                </c:pt>
                <c:pt idx="3577">
                  <c:v>162.60186876346543</c:v>
                </c:pt>
                <c:pt idx="3578">
                  <c:v>162.63095007002838</c:v>
                </c:pt>
                <c:pt idx="3579">
                  <c:v>162.66003657777628</c:v>
                </c:pt>
                <c:pt idx="3580">
                  <c:v>162.68912828763933</c:v>
                </c:pt>
                <c:pt idx="3581">
                  <c:v>162.71822520054798</c:v>
                </c:pt>
                <c:pt idx="3582">
                  <c:v>162.74732731743276</c:v>
                </c:pt>
                <c:pt idx="3583">
                  <c:v>162.77643463922453</c:v>
                </c:pt>
                <c:pt idx="3584">
                  <c:v>162.80554716685393</c:v>
                </c:pt>
                <c:pt idx="3585">
                  <c:v>162.83466490125215</c:v>
                </c:pt>
                <c:pt idx="3586">
                  <c:v>162.86378784335028</c:v>
                </c:pt>
                <c:pt idx="3587">
                  <c:v>162.89291599408</c:v>
                </c:pt>
                <c:pt idx="3588">
                  <c:v>162.92204935437272</c:v>
                </c:pt>
                <c:pt idx="3589">
                  <c:v>162.95118792516018</c:v>
                </c:pt>
                <c:pt idx="3590">
                  <c:v>162.98033170737429</c:v>
                </c:pt>
                <c:pt idx="3591">
                  <c:v>163.0094807019471</c:v>
                </c:pt>
                <c:pt idx="3592">
                  <c:v>163.03863490981084</c:v>
                </c:pt>
                <c:pt idx="3593">
                  <c:v>163.06779433189789</c:v>
                </c:pt>
                <c:pt idx="3594">
                  <c:v>163.09695896914081</c:v>
                </c:pt>
                <c:pt idx="3595">
                  <c:v>163.12612882247223</c:v>
                </c:pt>
                <c:pt idx="3596">
                  <c:v>163.15530389282529</c:v>
                </c:pt>
                <c:pt idx="3597">
                  <c:v>163.18448418113292</c:v>
                </c:pt>
                <c:pt idx="3598">
                  <c:v>163.21366968832837</c:v>
                </c:pt>
                <c:pt idx="3599">
                  <c:v>163.24286041534501</c:v>
                </c:pt>
                <c:pt idx="3600">
                  <c:v>163.27205636311643</c:v>
                </c:pt>
                <c:pt idx="3601">
                  <c:v>163.30125753257633</c:v>
                </c:pt>
                <c:pt idx="3602">
                  <c:v>163.33046392465866</c:v>
                </c:pt>
                <c:pt idx="3603">
                  <c:v>163.35967554029739</c:v>
                </c:pt>
                <c:pt idx="3604">
                  <c:v>163.38889238042671</c:v>
                </c:pt>
                <c:pt idx="3605">
                  <c:v>163.41811444598125</c:v>
                </c:pt>
                <c:pt idx="3606">
                  <c:v>163.44734173789544</c:v>
                </c:pt>
                <c:pt idx="3607">
                  <c:v>163.47657425710401</c:v>
                </c:pt>
                <c:pt idx="3608">
                  <c:v>163.50581200454189</c:v>
                </c:pt>
                <c:pt idx="3609">
                  <c:v>163.53505498114413</c:v>
                </c:pt>
                <c:pt idx="3610">
                  <c:v>163.56430318784592</c:v>
                </c:pt>
                <c:pt idx="3611">
                  <c:v>163.59355662558275</c:v>
                </c:pt>
                <c:pt idx="3612">
                  <c:v>163.62281529529014</c:v>
                </c:pt>
                <c:pt idx="3613">
                  <c:v>163.65207919790365</c:v>
                </c:pt>
                <c:pt idx="3614">
                  <c:v>163.68134833435954</c:v>
                </c:pt>
                <c:pt idx="3615">
                  <c:v>163.71062270559369</c:v>
                </c:pt>
                <c:pt idx="3616">
                  <c:v>163.73990231254234</c:v>
                </c:pt>
                <c:pt idx="3617">
                  <c:v>163.76918715614195</c:v>
                </c:pt>
                <c:pt idx="3618">
                  <c:v>163.79847723732902</c:v>
                </c:pt>
                <c:pt idx="3619">
                  <c:v>163.82777255704033</c:v>
                </c:pt>
                <c:pt idx="3620">
                  <c:v>163.8570731162128</c:v>
                </c:pt>
                <c:pt idx="3621">
                  <c:v>163.8863789157835</c:v>
                </c:pt>
                <c:pt idx="3622">
                  <c:v>163.9156899566895</c:v>
                </c:pt>
                <c:pt idx="3623">
                  <c:v>163.94500623986852</c:v>
                </c:pt>
                <c:pt idx="3624">
                  <c:v>163.974327766258</c:v>
                </c:pt>
                <c:pt idx="3625">
                  <c:v>164.00365453679569</c:v>
                </c:pt>
                <c:pt idx="3626">
                  <c:v>164.03298655241949</c:v>
                </c:pt>
                <c:pt idx="3627">
                  <c:v>164.06232381406747</c:v>
                </c:pt>
                <c:pt idx="3628">
                  <c:v>164.09166632267795</c:v>
                </c:pt>
                <c:pt idx="3629">
                  <c:v>164.12101407918925</c:v>
                </c:pt>
                <c:pt idx="3630">
                  <c:v>164.15036708454002</c:v>
                </c:pt>
                <c:pt idx="3631">
                  <c:v>164.17972533966901</c:v>
                </c:pt>
                <c:pt idx="3632">
                  <c:v>164.20908884551497</c:v>
                </c:pt>
                <c:pt idx="3633">
                  <c:v>164.23845760301731</c:v>
                </c:pt>
                <c:pt idx="3634">
                  <c:v>164.26783161311511</c:v>
                </c:pt>
                <c:pt idx="3635">
                  <c:v>164.29721087674781</c:v>
                </c:pt>
                <c:pt idx="3636">
                  <c:v>164.32659539485502</c:v>
                </c:pt>
                <c:pt idx="3637">
                  <c:v>164.35598516837646</c:v>
                </c:pt>
                <c:pt idx="3638">
                  <c:v>164.38538019825211</c:v>
                </c:pt>
                <c:pt idx="3639">
                  <c:v>164.41478048542203</c:v>
                </c:pt>
                <c:pt idx="3640">
                  <c:v>164.44418603082653</c:v>
                </c:pt>
                <c:pt idx="3641">
                  <c:v>164.47359683540583</c:v>
                </c:pt>
                <c:pt idx="3642">
                  <c:v>164.50301290010088</c:v>
                </c:pt>
                <c:pt idx="3643">
                  <c:v>164.53243422585228</c:v>
                </c:pt>
                <c:pt idx="3644">
                  <c:v>164.56186081360099</c:v>
                </c:pt>
                <c:pt idx="3645">
                  <c:v>164.59129266428809</c:v>
                </c:pt>
                <c:pt idx="3646">
                  <c:v>164.62072977885489</c:v>
                </c:pt>
                <c:pt idx="3647">
                  <c:v>164.65017215824275</c:v>
                </c:pt>
                <c:pt idx="3648">
                  <c:v>164.67961980339339</c:v>
                </c:pt>
                <c:pt idx="3649">
                  <c:v>164.70907271524854</c:v>
                </c:pt>
                <c:pt idx="3650">
                  <c:v>164.73853089475003</c:v>
                </c:pt>
                <c:pt idx="3651">
                  <c:v>164.76799434284021</c:v>
                </c:pt>
                <c:pt idx="3652">
                  <c:v>164.79746306046127</c:v>
                </c:pt>
                <c:pt idx="3653">
                  <c:v>164.82693704855566</c:v>
                </c:pt>
                <c:pt idx="3654">
                  <c:v>164.85641630806597</c:v>
                </c:pt>
                <c:pt idx="3655">
                  <c:v>164.88590083993503</c:v>
                </c:pt>
                <c:pt idx="3656">
                  <c:v>164.91539064510579</c:v>
                </c:pt>
                <c:pt idx="3657">
                  <c:v>164.94488572452138</c:v>
                </c:pt>
                <c:pt idx="3658">
                  <c:v>164.97438607912505</c:v>
                </c:pt>
                <c:pt idx="3659">
                  <c:v>165.0038917098602</c:v>
                </c:pt>
                <c:pt idx="3660">
                  <c:v>165.0334026176707</c:v>
                </c:pt>
                <c:pt idx="3661">
                  <c:v>165.06291880350022</c:v>
                </c:pt>
                <c:pt idx="3662">
                  <c:v>165.09244026829276</c:v>
                </c:pt>
                <c:pt idx="3663">
                  <c:v>165.12196701299243</c:v>
                </c:pt>
                <c:pt idx="3664">
                  <c:v>165.15149903854356</c:v>
                </c:pt>
                <c:pt idx="3665">
                  <c:v>165.18103634589059</c:v>
                </c:pt>
                <c:pt idx="3666">
                  <c:v>165.21057893597822</c:v>
                </c:pt>
                <c:pt idx="3667">
                  <c:v>165.24012680975125</c:v>
                </c:pt>
                <c:pt idx="3668">
                  <c:v>165.26967996815452</c:v>
                </c:pt>
                <c:pt idx="3669">
                  <c:v>165.29923841213343</c:v>
                </c:pt>
                <c:pt idx="3670">
                  <c:v>165.32880214263324</c:v>
                </c:pt>
                <c:pt idx="3671">
                  <c:v>165.35837116059938</c:v>
                </c:pt>
                <c:pt idx="3672">
                  <c:v>165.38794546697753</c:v>
                </c:pt>
                <c:pt idx="3673">
                  <c:v>165.41752506271354</c:v>
                </c:pt>
                <c:pt idx="3674">
                  <c:v>165.44710994875339</c:v>
                </c:pt>
                <c:pt idx="3675">
                  <c:v>165.47670012604326</c:v>
                </c:pt>
                <c:pt idx="3676">
                  <c:v>165.50629559552948</c:v>
                </c:pt>
                <c:pt idx="3677">
                  <c:v>165.5358963581584</c:v>
                </c:pt>
                <c:pt idx="3678">
                  <c:v>165.56550241487702</c:v>
                </c:pt>
                <c:pt idx="3679">
                  <c:v>165.59511376663204</c:v>
                </c:pt>
                <c:pt idx="3680">
                  <c:v>165.62473041437045</c:v>
                </c:pt>
                <c:pt idx="3681">
                  <c:v>165.65435235903945</c:v>
                </c:pt>
                <c:pt idx="3682">
                  <c:v>165.68397960158637</c:v>
                </c:pt>
                <c:pt idx="3683">
                  <c:v>165.71361214295879</c:v>
                </c:pt>
                <c:pt idx="3684">
                  <c:v>165.74324998410435</c:v>
                </c:pt>
                <c:pt idx="3685">
                  <c:v>165.77289312597094</c:v>
                </c:pt>
                <c:pt idx="3686">
                  <c:v>165.80254156950645</c:v>
                </c:pt>
                <c:pt idx="3687">
                  <c:v>165.83219531565933</c:v>
                </c:pt>
                <c:pt idx="3688">
                  <c:v>165.86185436537787</c:v>
                </c:pt>
                <c:pt idx="3689">
                  <c:v>165.89151871961056</c:v>
                </c:pt>
                <c:pt idx="3690">
                  <c:v>165.92118837930616</c:v>
                </c:pt>
                <c:pt idx="3691">
                  <c:v>165.9508633454135</c:v>
                </c:pt>
                <c:pt idx="3692">
                  <c:v>165.98054361888168</c:v>
                </c:pt>
                <c:pt idx="3693">
                  <c:v>166.01022920065989</c:v>
                </c:pt>
                <c:pt idx="3694">
                  <c:v>166.03992009169752</c:v>
                </c:pt>
                <c:pt idx="3695">
                  <c:v>166.06961629294398</c:v>
                </c:pt>
                <c:pt idx="3696">
                  <c:v>166.09931780534927</c:v>
                </c:pt>
                <c:pt idx="3697">
                  <c:v>166.12902462986324</c:v>
                </c:pt>
                <c:pt idx="3698">
                  <c:v>166.15873676743587</c:v>
                </c:pt>
                <c:pt idx="3699">
                  <c:v>166.18845421901742</c:v>
                </c:pt>
                <c:pt idx="3700">
                  <c:v>166.21817698555827</c:v>
                </c:pt>
                <c:pt idx="3701">
                  <c:v>166.24790506800906</c:v>
                </c:pt>
                <c:pt idx="3702">
                  <c:v>166.27763846732051</c:v>
                </c:pt>
                <c:pt idx="3703">
                  <c:v>166.30737718444351</c:v>
                </c:pt>
                <c:pt idx="3704">
                  <c:v>166.33712122032907</c:v>
                </c:pt>
                <c:pt idx="3705">
                  <c:v>166.36687057592869</c:v>
                </c:pt>
                <c:pt idx="3706">
                  <c:v>166.39662525219367</c:v>
                </c:pt>
                <c:pt idx="3707">
                  <c:v>166.42638525007561</c:v>
                </c:pt>
                <c:pt idx="3708">
                  <c:v>166.45615057052629</c:v>
                </c:pt>
                <c:pt idx="3709">
                  <c:v>166.48592121449761</c:v>
                </c:pt>
                <c:pt idx="3710">
                  <c:v>166.51569718294172</c:v>
                </c:pt>
                <c:pt idx="3711">
                  <c:v>166.5454784768109</c:v>
                </c:pt>
                <c:pt idx="3712">
                  <c:v>166.57526509705758</c:v>
                </c:pt>
                <c:pt idx="3713">
                  <c:v>166.60505704463424</c:v>
                </c:pt>
                <c:pt idx="3714">
                  <c:v>166.63485432049396</c:v>
                </c:pt>
                <c:pt idx="3715">
                  <c:v>166.66465692558958</c:v>
                </c:pt>
                <c:pt idx="3716">
                  <c:v>166.69446486087421</c:v>
                </c:pt>
                <c:pt idx="3717">
                  <c:v>166.72427812730118</c:v>
                </c:pt>
                <c:pt idx="3718">
                  <c:v>166.75409672582393</c:v>
                </c:pt>
                <c:pt idx="3719">
                  <c:v>166.78392065739612</c:v>
                </c:pt>
                <c:pt idx="3720">
                  <c:v>166.81374992297157</c:v>
                </c:pt>
                <c:pt idx="3721">
                  <c:v>166.84358452350423</c:v>
                </c:pt>
                <c:pt idx="3722">
                  <c:v>166.87342445994818</c:v>
                </c:pt>
                <c:pt idx="3723">
                  <c:v>166.90326973325796</c:v>
                </c:pt>
                <c:pt idx="3724">
                  <c:v>166.93312034438799</c:v>
                </c:pt>
                <c:pt idx="3725">
                  <c:v>166.9629762942929</c:v>
                </c:pt>
                <c:pt idx="3726">
                  <c:v>166.99283758392752</c:v>
                </c:pt>
                <c:pt idx="3727">
                  <c:v>167.02270421424689</c:v>
                </c:pt>
                <c:pt idx="3728">
                  <c:v>167.05257618620615</c:v>
                </c:pt>
                <c:pt idx="3729">
                  <c:v>167.08245350076069</c:v>
                </c:pt>
                <c:pt idx="3730">
                  <c:v>167.11233615886601</c:v>
                </c:pt>
                <c:pt idx="3731">
                  <c:v>167.14222416147769</c:v>
                </c:pt>
                <c:pt idx="3732">
                  <c:v>167.17211750955184</c:v>
                </c:pt>
                <c:pt idx="3733">
                  <c:v>167.20201620404436</c:v>
                </c:pt>
                <c:pt idx="3734">
                  <c:v>167.23192024591148</c:v>
                </c:pt>
                <c:pt idx="3735">
                  <c:v>167.26182963610955</c:v>
                </c:pt>
                <c:pt idx="3736">
                  <c:v>167.29174437559513</c:v>
                </c:pt>
                <c:pt idx="3737">
                  <c:v>167.32166446532494</c:v>
                </c:pt>
                <c:pt idx="3738">
                  <c:v>167.35158990625587</c:v>
                </c:pt>
                <c:pt idx="3739">
                  <c:v>167.38152069934497</c:v>
                </c:pt>
                <c:pt idx="3740">
                  <c:v>167.41145684554934</c:v>
                </c:pt>
                <c:pt idx="3741">
                  <c:v>167.44139834582668</c:v>
                </c:pt>
                <c:pt idx="3742">
                  <c:v>167.4713452011344</c:v>
                </c:pt>
                <c:pt idx="3743">
                  <c:v>167.5012974124304</c:v>
                </c:pt>
                <c:pt idx="3744">
                  <c:v>167.53125498067232</c:v>
                </c:pt>
                <c:pt idx="3745">
                  <c:v>167.56121790681834</c:v>
                </c:pt>
                <c:pt idx="3746">
                  <c:v>167.59118619182681</c:v>
                </c:pt>
                <c:pt idx="3747">
                  <c:v>167.62115983665609</c:v>
                </c:pt>
                <c:pt idx="3748">
                  <c:v>167.6511388422648</c:v>
                </c:pt>
                <c:pt idx="3749">
                  <c:v>167.68112320961171</c:v>
                </c:pt>
                <c:pt idx="3750">
                  <c:v>167.71111293965564</c:v>
                </c:pt>
                <c:pt idx="3751">
                  <c:v>167.741108033356</c:v>
                </c:pt>
                <c:pt idx="3752">
                  <c:v>167.7711084916719</c:v>
                </c:pt>
                <c:pt idx="3753">
                  <c:v>167.80111431556284</c:v>
                </c:pt>
                <c:pt idx="3754">
                  <c:v>167.83112550598844</c:v>
                </c:pt>
                <c:pt idx="3755">
                  <c:v>167.86114206390846</c:v>
                </c:pt>
                <c:pt idx="3756">
                  <c:v>167.89116399028293</c:v>
                </c:pt>
                <c:pt idx="3757">
                  <c:v>167.92119128607197</c:v>
                </c:pt>
                <c:pt idx="3758">
                  <c:v>167.95122395223592</c:v>
                </c:pt>
                <c:pt idx="3759">
                  <c:v>167.98126198973512</c:v>
                </c:pt>
                <c:pt idx="3760">
                  <c:v>168.01130539953047</c:v>
                </c:pt>
                <c:pt idx="3761">
                  <c:v>168.04135418258275</c:v>
                </c:pt>
                <c:pt idx="3762">
                  <c:v>168.07140833985289</c:v>
                </c:pt>
                <c:pt idx="3763">
                  <c:v>168.10146787230209</c:v>
                </c:pt>
                <c:pt idx="3764">
                  <c:v>168.13153278089172</c:v>
                </c:pt>
                <c:pt idx="3765">
                  <c:v>168.16160306658333</c:v>
                </c:pt>
                <c:pt idx="3766">
                  <c:v>168.19167873033851</c:v>
                </c:pt>
                <c:pt idx="3767">
                  <c:v>168.2217597731192</c:v>
                </c:pt>
                <c:pt idx="3768">
                  <c:v>168.25184619588728</c:v>
                </c:pt>
                <c:pt idx="3769">
                  <c:v>168.28193799960525</c:v>
                </c:pt>
                <c:pt idx="3770">
                  <c:v>168.31203518523535</c:v>
                </c:pt>
                <c:pt idx="3771">
                  <c:v>168.3421377537401</c:v>
                </c:pt>
                <c:pt idx="3772">
                  <c:v>168.37224570608231</c:v>
                </c:pt>
                <c:pt idx="3773">
                  <c:v>168.40235904322478</c:v>
                </c:pt>
                <c:pt idx="3774">
                  <c:v>168.43247776613063</c:v>
                </c:pt>
                <c:pt idx="3775">
                  <c:v>168.46260187576308</c:v>
                </c:pt>
                <c:pt idx="3776">
                  <c:v>168.49273137308558</c:v>
                </c:pt>
                <c:pt idx="3777">
                  <c:v>168.52286625906154</c:v>
                </c:pt>
                <c:pt idx="3778">
                  <c:v>168.55300653465503</c:v>
                </c:pt>
                <c:pt idx="3779">
                  <c:v>168.58315220082983</c:v>
                </c:pt>
                <c:pt idx="3780">
                  <c:v>168.61330325855005</c:v>
                </c:pt>
                <c:pt idx="3781">
                  <c:v>168.64345970877994</c:v>
                </c:pt>
                <c:pt idx="3782">
                  <c:v>168.67362155248398</c:v>
                </c:pt>
                <c:pt idx="3783">
                  <c:v>168.70378879062679</c:v>
                </c:pt>
                <c:pt idx="3784">
                  <c:v>168.73396142417312</c:v>
                </c:pt>
                <c:pt idx="3785">
                  <c:v>168.764139454088</c:v>
                </c:pt>
                <c:pt idx="3786">
                  <c:v>168.79432288133637</c:v>
                </c:pt>
                <c:pt idx="3787">
                  <c:v>168.8245117068839</c:v>
                </c:pt>
                <c:pt idx="3788">
                  <c:v>168.85470593169583</c:v>
                </c:pt>
                <c:pt idx="3789">
                  <c:v>168.88490555673789</c:v>
                </c:pt>
                <c:pt idx="3790">
                  <c:v>168.91511058297593</c:v>
                </c:pt>
                <c:pt idx="3791">
                  <c:v>168.94532101137591</c:v>
                </c:pt>
                <c:pt idx="3792">
                  <c:v>168.97553684290398</c:v>
                </c:pt>
                <c:pt idx="3793">
                  <c:v>169.00575807852653</c:v>
                </c:pt>
                <c:pt idx="3794">
                  <c:v>169.03598471921006</c:v>
                </c:pt>
                <c:pt idx="3795">
                  <c:v>169.06621676592115</c:v>
                </c:pt>
                <c:pt idx="3796">
                  <c:v>169.09645421962691</c:v>
                </c:pt>
                <c:pt idx="3797">
                  <c:v>169.12669708129428</c:v>
                </c:pt>
                <c:pt idx="3798">
                  <c:v>169.15694535189047</c:v>
                </c:pt>
                <c:pt idx="3799">
                  <c:v>169.18719903238281</c:v>
                </c:pt>
                <c:pt idx="3800">
                  <c:v>169.21745812373894</c:v>
                </c:pt>
                <c:pt idx="3801">
                  <c:v>169.24772262692653</c:v>
                </c:pt>
                <c:pt idx="3802">
                  <c:v>169.27799254291349</c:v>
                </c:pt>
                <c:pt idx="3803">
                  <c:v>169.30826787266793</c:v>
                </c:pt>
                <c:pt idx="3804">
                  <c:v>169.33854861715793</c:v>
                </c:pt>
                <c:pt idx="3805">
                  <c:v>169.36883477735222</c:v>
                </c:pt>
                <c:pt idx="3806">
                  <c:v>169.39912635421925</c:v>
                </c:pt>
                <c:pt idx="3807">
                  <c:v>169.42942334872779</c:v>
                </c:pt>
                <c:pt idx="3808">
                  <c:v>169.45972576184676</c:v>
                </c:pt>
                <c:pt idx="3809">
                  <c:v>169.49003359454531</c:v>
                </c:pt>
                <c:pt idx="3810">
                  <c:v>169.52034684779269</c:v>
                </c:pt>
                <c:pt idx="3811">
                  <c:v>169.55066552255843</c:v>
                </c:pt>
                <c:pt idx="3812">
                  <c:v>169.5809896198121</c:v>
                </c:pt>
                <c:pt idx="3813">
                  <c:v>169.61131914052342</c:v>
                </c:pt>
                <c:pt idx="3814">
                  <c:v>169.64165408566262</c:v>
                </c:pt>
                <c:pt idx="3815">
                  <c:v>169.67199445619974</c:v>
                </c:pt>
                <c:pt idx="3816">
                  <c:v>169.70234025310512</c:v>
                </c:pt>
                <c:pt idx="3817">
                  <c:v>169.73269147734922</c:v>
                </c:pt>
                <c:pt idx="3818">
                  <c:v>169.76304812990276</c:v>
                </c:pt>
                <c:pt idx="3819">
                  <c:v>169.79341021173656</c:v>
                </c:pt>
                <c:pt idx="3820">
                  <c:v>169.82377772382168</c:v>
                </c:pt>
                <c:pt idx="3821">
                  <c:v>169.85415066712929</c:v>
                </c:pt>
                <c:pt idx="3822">
                  <c:v>169.88452904263065</c:v>
                </c:pt>
                <c:pt idx="3823">
                  <c:v>169.91491285129754</c:v>
                </c:pt>
                <c:pt idx="3824">
                  <c:v>169.94530209410161</c:v>
                </c:pt>
                <c:pt idx="3825">
                  <c:v>169.97569677201469</c:v>
                </c:pt>
                <c:pt idx="3826">
                  <c:v>170.00609688600889</c:v>
                </c:pt>
                <c:pt idx="3827">
                  <c:v>170.03650243705644</c:v>
                </c:pt>
                <c:pt idx="3828">
                  <c:v>170.06691342612973</c:v>
                </c:pt>
                <c:pt idx="3829">
                  <c:v>170.09732985420138</c:v>
                </c:pt>
                <c:pt idx="3830">
                  <c:v>170.12775172224414</c:v>
                </c:pt>
                <c:pt idx="3831">
                  <c:v>170.15817903123082</c:v>
                </c:pt>
                <c:pt idx="3832">
                  <c:v>170.18861178213481</c:v>
                </c:pt>
                <c:pt idx="3833">
                  <c:v>170.21904997592924</c:v>
                </c:pt>
                <c:pt idx="3834">
                  <c:v>170.24949361358759</c:v>
                </c:pt>
                <c:pt idx="3835">
                  <c:v>170.27994269608348</c:v>
                </c:pt>
                <c:pt idx="3836">
                  <c:v>170.31039722439073</c:v>
                </c:pt>
                <c:pt idx="3837">
                  <c:v>170.34085719948328</c:v>
                </c:pt>
                <c:pt idx="3838">
                  <c:v>170.37132262233533</c:v>
                </c:pt>
                <c:pt idx="3839">
                  <c:v>170.40179349392125</c:v>
                </c:pt>
                <c:pt idx="3840">
                  <c:v>170.43226981521542</c:v>
                </c:pt>
                <c:pt idx="3841">
                  <c:v>170.46275158719249</c:v>
                </c:pt>
                <c:pt idx="3842">
                  <c:v>170.49323881082756</c:v>
                </c:pt>
                <c:pt idx="3843">
                  <c:v>170.52373148709552</c:v>
                </c:pt>
                <c:pt idx="3844">
                  <c:v>170.55422961697155</c:v>
                </c:pt>
                <c:pt idx="3845">
                  <c:v>170.58473320143105</c:v>
                </c:pt>
                <c:pt idx="3846">
                  <c:v>170.61524224144958</c:v>
                </c:pt>
                <c:pt idx="3847">
                  <c:v>170.64575673800283</c:v>
                </c:pt>
                <c:pt idx="3848">
                  <c:v>170.67627669206672</c:v>
                </c:pt>
                <c:pt idx="3849">
                  <c:v>170.70680210461734</c:v>
                </c:pt>
                <c:pt idx="3850">
                  <c:v>170.73733297663077</c:v>
                </c:pt>
                <c:pt idx="3851">
                  <c:v>170.76786930908372</c:v>
                </c:pt>
                <c:pt idx="3852">
                  <c:v>170.79841110295268</c:v>
                </c:pt>
                <c:pt idx="3853">
                  <c:v>170.8289583592144</c:v>
                </c:pt>
                <c:pt idx="3854">
                  <c:v>170.8595110788458</c:v>
                </c:pt>
                <c:pt idx="3855">
                  <c:v>170.89006926282403</c:v>
                </c:pt>
                <c:pt idx="3856">
                  <c:v>170.92063291212642</c:v>
                </c:pt>
                <c:pt idx="3857">
                  <c:v>170.95120202773037</c:v>
                </c:pt>
                <c:pt idx="3858">
                  <c:v>170.98177661061357</c:v>
                </c:pt>
                <c:pt idx="3859">
                  <c:v>171.0123566617537</c:v>
                </c:pt>
                <c:pt idx="3860">
                  <c:v>171.04294218212905</c:v>
                </c:pt>
                <c:pt idx="3861">
                  <c:v>171.07353317271762</c:v>
                </c:pt>
                <c:pt idx="3862">
                  <c:v>171.10412963449778</c:v>
                </c:pt>
                <c:pt idx="3863">
                  <c:v>171.13473156844802</c:v>
                </c:pt>
                <c:pt idx="3864">
                  <c:v>171.16533897554709</c:v>
                </c:pt>
                <c:pt idx="3865">
                  <c:v>171.19595185677383</c:v>
                </c:pt>
                <c:pt idx="3866">
                  <c:v>171.22657021310727</c:v>
                </c:pt>
                <c:pt idx="3867">
                  <c:v>171.25719404552666</c:v>
                </c:pt>
                <c:pt idx="3868">
                  <c:v>171.2878233550112</c:v>
                </c:pt>
                <c:pt idx="3869">
                  <c:v>171.31845814254083</c:v>
                </c:pt>
                <c:pt idx="3870">
                  <c:v>171.34909840909509</c:v>
                </c:pt>
                <c:pt idx="3871">
                  <c:v>171.37974415565395</c:v>
                </c:pt>
                <c:pt idx="3872">
                  <c:v>171.41039538319748</c:v>
                </c:pt>
                <c:pt idx="3873">
                  <c:v>171.44105209270595</c:v>
                </c:pt>
                <c:pt idx="3874">
                  <c:v>171.47171428515981</c:v>
                </c:pt>
                <c:pt idx="3875">
                  <c:v>171.50238196153967</c:v>
                </c:pt>
                <c:pt idx="3876">
                  <c:v>171.53305512282637</c:v>
                </c:pt>
                <c:pt idx="3877">
                  <c:v>171.56373377000071</c:v>
                </c:pt>
                <c:pt idx="3878">
                  <c:v>171.59441790404415</c:v>
                </c:pt>
                <c:pt idx="3879">
                  <c:v>171.62510752593784</c:v>
                </c:pt>
                <c:pt idx="3880">
                  <c:v>171.65580263666331</c:v>
                </c:pt>
                <c:pt idx="3881">
                  <c:v>171.6865032372022</c:v>
                </c:pt>
                <c:pt idx="3882">
                  <c:v>171.7172093285364</c:v>
                </c:pt>
                <c:pt idx="3883">
                  <c:v>171.74792091164792</c:v>
                </c:pt>
                <c:pt idx="3884">
                  <c:v>171.77863798751898</c:v>
                </c:pt>
                <c:pt idx="3885">
                  <c:v>171.80936055713192</c:v>
                </c:pt>
                <c:pt idx="3886">
                  <c:v>171.84008862146916</c:v>
                </c:pt>
                <c:pt idx="3887">
                  <c:v>171.87082218151377</c:v>
                </c:pt>
                <c:pt idx="3888">
                  <c:v>171.90156123824849</c:v>
                </c:pt>
                <c:pt idx="3889">
                  <c:v>171.93230579265634</c:v>
                </c:pt>
                <c:pt idx="3890">
                  <c:v>171.96305584572065</c:v>
                </c:pt>
                <c:pt idx="3891">
                  <c:v>171.99381139842481</c:v>
                </c:pt>
                <c:pt idx="3892">
                  <c:v>172.02457245175245</c:v>
                </c:pt>
                <c:pt idx="3893">
                  <c:v>172.05533900668738</c:v>
                </c:pt>
                <c:pt idx="3894">
                  <c:v>172.08611106421353</c:v>
                </c:pt>
                <c:pt idx="3895">
                  <c:v>172.11688862531486</c:v>
                </c:pt>
                <c:pt idx="3896">
                  <c:v>172.14767169097601</c:v>
                </c:pt>
                <c:pt idx="3897">
                  <c:v>172.17846026218135</c:v>
                </c:pt>
                <c:pt idx="3898">
                  <c:v>172.2092543399155</c:v>
                </c:pt>
                <c:pt idx="3899">
                  <c:v>172.24005392516332</c:v>
                </c:pt>
                <c:pt idx="3900">
                  <c:v>172.27085901890985</c:v>
                </c:pt>
                <c:pt idx="3901">
                  <c:v>172.30166962214025</c:v>
                </c:pt>
                <c:pt idx="3902">
                  <c:v>172.3324857358399</c:v>
                </c:pt>
                <c:pt idx="3903">
                  <c:v>172.3633073609945</c:v>
                </c:pt>
                <c:pt idx="3904">
                  <c:v>172.3941344985893</c:v>
                </c:pt>
                <c:pt idx="3905">
                  <c:v>172.42496714961069</c:v>
                </c:pt>
                <c:pt idx="3906">
                  <c:v>172.45580531504456</c:v>
                </c:pt>
                <c:pt idx="3907">
                  <c:v>172.48664899587718</c:v>
                </c:pt>
                <c:pt idx="3908">
                  <c:v>172.51749819309498</c:v>
                </c:pt>
                <c:pt idx="3909">
                  <c:v>172.54835290768452</c:v>
                </c:pt>
                <c:pt idx="3910">
                  <c:v>172.57921314063267</c:v>
                </c:pt>
                <c:pt idx="3911">
                  <c:v>172.61007889292628</c:v>
                </c:pt>
                <c:pt idx="3912">
                  <c:v>172.64095016555257</c:v>
                </c:pt>
                <c:pt idx="3913">
                  <c:v>172.67182695949867</c:v>
                </c:pt>
                <c:pt idx="3914">
                  <c:v>172.70270927575237</c:v>
                </c:pt>
                <c:pt idx="3915">
                  <c:v>172.73359711530117</c:v>
                </c:pt>
                <c:pt idx="3916">
                  <c:v>172.76449047913292</c:v>
                </c:pt>
                <c:pt idx="3917">
                  <c:v>172.79538936823562</c:v>
                </c:pt>
                <c:pt idx="3918">
                  <c:v>172.82629378359749</c:v>
                </c:pt>
                <c:pt idx="3919">
                  <c:v>172.85720372620688</c:v>
                </c:pt>
                <c:pt idx="3920">
                  <c:v>172.88811919705236</c:v>
                </c:pt>
                <c:pt idx="3921">
                  <c:v>172.91904019712263</c:v>
                </c:pt>
                <c:pt idx="3922">
                  <c:v>172.9499667274066</c:v>
                </c:pt>
                <c:pt idx="3923">
                  <c:v>172.9808987888932</c:v>
                </c:pt>
                <c:pt idx="3924">
                  <c:v>173.011836382572</c:v>
                </c:pt>
                <c:pt idx="3925">
                  <c:v>173.04277950943222</c:v>
                </c:pt>
                <c:pt idx="3926">
                  <c:v>173.07372817046354</c:v>
                </c:pt>
                <c:pt idx="3927">
                  <c:v>173.10468236665574</c:v>
                </c:pt>
                <c:pt idx="3928">
                  <c:v>173.13564209899872</c:v>
                </c:pt>
                <c:pt idx="3929">
                  <c:v>173.16660736848266</c:v>
                </c:pt>
                <c:pt idx="3930">
                  <c:v>173.19757817609789</c:v>
                </c:pt>
                <c:pt idx="3931">
                  <c:v>173.22855452283488</c:v>
                </c:pt>
                <c:pt idx="3932">
                  <c:v>173.25953640968416</c:v>
                </c:pt>
                <c:pt idx="3933">
                  <c:v>173.29052383763687</c:v>
                </c:pt>
                <c:pt idx="3934">
                  <c:v>173.32151680768391</c:v>
                </c:pt>
                <c:pt idx="3935">
                  <c:v>173.35251532081645</c:v>
                </c:pt>
                <c:pt idx="3936">
                  <c:v>173.38351937802588</c:v>
                </c:pt>
                <c:pt idx="3937">
                  <c:v>173.41452898030377</c:v>
                </c:pt>
                <c:pt idx="3938">
                  <c:v>173.44554412864184</c:v>
                </c:pt>
                <c:pt idx="3939">
                  <c:v>173.47656482403201</c:v>
                </c:pt>
                <c:pt idx="3940">
                  <c:v>173.50759106746636</c:v>
                </c:pt>
                <c:pt idx="3941">
                  <c:v>173.53862285993699</c:v>
                </c:pt>
                <c:pt idx="3942">
                  <c:v>173.56966020243669</c:v>
                </c:pt>
                <c:pt idx="3943">
                  <c:v>173.6007030959579</c:v>
                </c:pt>
                <c:pt idx="3944">
                  <c:v>173.63175154149346</c:v>
                </c:pt>
                <c:pt idx="3945">
                  <c:v>173.66280554003626</c:v>
                </c:pt>
                <c:pt idx="3946">
                  <c:v>173.69386509257953</c:v>
                </c:pt>
                <c:pt idx="3947">
                  <c:v>173.72493020011657</c:v>
                </c:pt>
                <c:pt idx="3948">
                  <c:v>173.75600086364091</c:v>
                </c:pt>
                <c:pt idx="3949">
                  <c:v>173.7870770841462</c:v>
                </c:pt>
                <c:pt idx="3950">
                  <c:v>173.81815886262621</c:v>
                </c:pt>
                <c:pt idx="3951">
                  <c:v>173.84924620007524</c:v>
                </c:pt>
                <c:pt idx="3952">
                  <c:v>173.88033909748737</c:v>
                </c:pt>
                <c:pt idx="3953">
                  <c:v>173.91143755585696</c:v>
                </c:pt>
                <c:pt idx="3954">
                  <c:v>173.94254157617868</c:v>
                </c:pt>
                <c:pt idx="3955">
                  <c:v>173.9736511594472</c:v>
                </c:pt>
                <c:pt idx="3956">
                  <c:v>174.0047663066575</c:v>
                </c:pt>
                <c:pt idx="3957">
                  <c:v>174.03588701880469</c:v>
                </c:pt>
                <c:pt idx="3958">
                  <c:v>174.067013296884</c:v>
                </c:pt>
                <c:pt idx="3959">
                  <c:v>174.0981451418908</c:v>
                </c:pt>
                <c:pt idx="3960">
                  <c:v>174.129282554821</c:v>
                </c:pt>
                <c:pt idx="3961">
                  <c:v>174.16042553667032</c:v>
                </c:pt>
                <c:pt idx="3962">
                  <c:v>174.19157408843469</c:v>
                </c:pt>
                <c:pt idx="3963">
                  <c:v>174.22272821111036</c:v>
                </c:pt>
                <c:pt idx="3964">
                  <c:v>174.25388790569366</c:v>
                </c:pt>
                <c:pt idx="3965">
                  <c:v>174.2850531731811</c:v>
                </c:pt>
                <c:pt idx="3966">
                  <c:v>174.31622401456943</c:v>
                </c:pt>
                <c:pt idx="3967">
                  <c:v>174.34740043085552</c:v>
                </c:pt>
                <c:pt idx="3968">
                  <c:v>174.37858242303625</c:v>
                </c:pt>
                <c:pt idx="3969">
                  <c:v>174.40976999210923</c:v>
                </c:pt>
                <c:pt idx="3970">
                  <c:v>174.44096313907173</c:v>
                </c:pt>
                <c:pt idx="3971">
                  <c:v>174.47216186492133</c:v>
                </c:pt>
                <c:pt idx="3972">
                  <c:v>174.50336617065582</c:v>
                </c:pt>
                <c:pt idx="3973">
                  <c:v>174.53457605727317</c:v>
                </c:pt>
                <c:pt idx="3974">
                  <c:v>174.56579152577149</c:v>
                </c:pt>
                <c:pt idx="3975">
                  <c:v>174.59701257714914</c:v>
                </c:pt>
                <c:pt idx="3976">
                  <c:v>174.62823921240459</c:v>
                </c:pt>
                <c:pt idx="3977">
                  <c:v>174.65947143253638</c:v>
                </c:pt>
                <c:pt idx="3978">
                  <c:v>174.69070923854366</c:v>
                </c:pt>
                <c:pt idx="3979">
                  <c:v>174.7219526314253</c:v>
                </c:pt>
                <c:pt idx="3980">
                  <c:v>174.7532016121805</c:v>
                </c:pt>
                <c:pt idx="3981">
                  <c:v>174.78445618180871</c:v>
                </c:pt>
                <c:pt idx="3982">
                  <c:v>174.81571634130941</c:v>
                </c:pt>
                <c:pt idx="3983">
                  <c:v>174.84698209168243</c:v>
                </c:pt>
                <c:pt idx="3984">
                  <c:v>174.87825343392765</c:v>
                </c:pt>
                <c:pt idx="3985">
                  <c:v>174.9095303690452</c:v>
                </c:pt>
                <c:pt idx="3986">
                  <c:v>174.94081289803518</c:v>
                </c:pt>
                <c:pt idx="3987">
                  <c:v>174.9721010218984</c:v>
                </c:pt>
                <c:pt idx="3988">
                  <c:v>175.0033947416353</c:v>
                </c:pt>
                <c:pt idx="3989">
                  <c:v>175.03469405824674</c:v>
                </c:pt>
                <c:pt idx="3990">
                  <c:v>175.06599897273369</c:v>
                </c:pt>
                <c:pt idx="3991">
                  <c:v>175.09730948609737</c:v>
                </c:pt>
                <c:pt idx="3992">
                  <c:v>175.1286255993391</c:v>
                </c:pt>
                <c:pt idx="3993">
                  <c:v>175.15994731346044</c:v>
                </c:pt>
                <c:pt idx="3994">
                  <c:v>175.19127462946307</c:v>
                </c:pt>
                <c:pt idx="3995">
                  <c:v>175.22260754834878</c:v>
                </c:pt>
                <c:pt idx="3996">
                  <c:v>175.25394607111988</c:v>
                </c:pt>
                <c:pt idx="3997">
                  <c:v>175.28529019877857</c:v>
                </c:pt>
                <c:pt idx="3998">
                  <c:v>175.31663993232723</c:v>
                </c:pt>
                <c:pt idx="3999">
                  <c:v>175.34799527276846</c:v>
                </c:pt>
                <c:pt idx="4000">
                  <c:v>175.37935622110504</c:v>
                </c:pt>
                <c:pt idx="4001">
                  <c:v>175.41072277834002</c:v>
                </c:pt>
                <c:pt idx="4002">
                  <c:v>175.44209494547644</c:v>
                </c:pt>
                <c:pt idx="4003">
                  <c:v>175.47347272351774</c:v>
                </c:pt>
                <c:pt idx="4004">
                  <c:v>175.50485611346718</c:v>
                </c:pt>
                <c:pt idx="4005">
                  <c:v>175.53624511632881</c:v>
                </c:pt>
                <c:pt idx="4006">
                  <c:v>175.56763973310632</c:v>
                </c:pt>
                <c:pt idx="4007">
                  <c:v>175.59903996480378</c:v>
                </c:pt>
                <c:pt idx="4008">
                  <c:v>175.63044581242539</c:v>
                </c:pt>
                <c:pt idx="4009">
                  <c:v>175.66185727697561</c:v>
                </c:pt>
                <c:pt idx="4010">
                  <c:v>175.69327435945897</c:v>
                </c:pt>
                <c:pt idx="4011">
                  <c:v>175.72469706088023</c:v>
                </c:pt>
                <c:pt idx="4012">
                  <c:v>175.75612538224439</c:v>
                </c:pt>
                <c:pt idx="4013">
                  <c:v>175.78755932455638</c:v>
                </c:pt>
                <c:pt idx="4014">
                  <c:v>175.81899888882182</c:v>
                </c:pt>
                <c:pt idx="4015">
                  <c:v>175.85044407604607</c:v>
                </c:pt>
                <c:pt idx="4016">
                  <c:v>175.88189488723472</c:v>
                </c:pt>
                <c:pt idx="4017">
                  <c:v>175.9133513233937</c:v>
                </c:pt>
                <c:pt idx="4018">
                  <c:v>175.94481338552902</c:v>
                </c:pt>
                <c:pt idx="4019">
                  <c:v>175.97628107464686</c:v>
                </c:pt>
                <c:pt idx="4020">
                  <c:v>176.00775439175356</c:v>
                </c:pt>
                <c:pt idx="4021">
                  <c:v>176.03923333785579</c:v>
                </c:pt>
                <c:pt idx="4022">
                  <c:v>176.07071791396004</c:v>
                </c:pt>
                <c:pt idx="4023">
                  <c:v>176.10220812107363</c:v>
                </c:pt>
                <c:pt idx="4024">
                  <c:v>176.13370396020343</c:v>
                </c:pt>
                <c:pt idx="4025">
                  <c:v>176.1652054323568</c:v>
                </c:pt>
                <c:pt idx="4026">
                  <c:v>176.19671253854114</c:v>
                </c:pt>
                <c:pt idx="4027">
                  <c:v>176.22822527976413</c:v>
                </c:pt>
                <c:pt idx="4028">
                  <c:v>176.2597436570336</c:v>
                </c:pt>
                <c:pt idx="4029">
                  <c:v>176.29126767135753</c:v>
                </c:pt>
                <c:pt idx="4030">
                  <c:v>176.32279732374411</c:v>
                </c:pt>
                <c:pt idx="4031">
                  <c:v>176.35433261520157</c:v>
                </c:pt>
                <c:pt idx="4032">
                  <c:v>176.38587354673876</c:v>
                </c:pt>
                <c:pt idx="4033">
                  <c:v>176.41742011936424</c:v>
                </c:pt>
                <c:pt idx="4034">
                  <c:v>176.44897233408693</c:v>
                </c:pt>
                <c:pt idx="4035">
                  <c:v>176.48053019191596</c:v>
                </c:pt>
                <c:pt idx="4036">
                  <c:v>176.51209369386049</c:v>
                </c:pt>
                <c:pt idx="4037">
                  <c:v>176.54366284093004</c:v>
                </c:pt>
                <c:pt idx="4038">
                  <c:v>176.57523763413425</c:v>
                </c:pt>
                <c:pt idx="4039">
                  <c:v>176.60681807448293</c:v>
                </c:pt>
                <c:pt idx="4040">
                  <c:v>176.63840416298586</c:v>
                </c:pt>
                <c:pt idx="4041">
                  <c:v>176.66999590065356</c:v>
                </c:pt>
                <c:pt idx="4042">
                  <c:v>176.70159328849624</c:v>
                </c:pt>
                <c:pt idx="4043">
                  <c:v>176.73319632752441</c:v>
                </c:pt>
                <c:pt idx="4044">
                  <c:v>176.7648050187488</c:v>
                </c:pt>
                <c:pt idx="4045">
                  <c:v>176.79641936318026</c:v>
                </c:pt>
                <c:pt idx="4046">
                  <c:v>176.82803936182992</c:v>
                </c:pt>
                <c:pt idx="4047">
                  <c:v>176.859665015709</c:v>
                </c:pt>
                <c:pt idx="4048">
                  <c:v>176.89129632582899</c:v>
                </c:pt>
                <c:pt idx="4049">
                  <c:v>176.92293329320145</c:v>
                </c:pt>
                <c:pt idx="4050">
                  <c:v>176.954575918838</c:v>
                </c:pt>
                <c:pt idx="4051">
                  <c:v>176.98622420375102</c:v>
                </c:pt>
                <c:pt idx="4052">
                  <c:v>177.01787814895246</c:v>
                </c:pt>
                <c:pt idx="4053">
                  <c:v>177.04953775545465</c:v>
                </c:pt>
                <c:pt idx="4054">
                  <c:v>177.08120302427014</c:v>
                </c:pt>
                <c:pt idx="4055">
                  <c:v>177.11287395641162</c:v>
                </c:pt>
                <c:pt idx="4056">
                  <c:v>177.14455055289196</c:v>
                </c:pt>
                <c:pt idx="4057">
                  <c:v>177.17623281472427</c:v>
                </c:pt>
                <c:pt idx="4058">
                  <c:v>177.20792074292174</c:v>
                </c:pt>
                <c:pt idx="4059">
                  <c:v>177.23961433849772</c:v>
                </c:pt>
                <c:pt idx="4060">
                  <c:v>177.27131360246602</c:v>
                </c:pt>
                <c:pt idx="4061">
                  <c:v>177.30301853584038</c:v>
                </c:pt>
                <c:pt idx="4062">
                  <c:v>177.33472913963487</c:v>
                </c:pt>
                <c:pt idx="4063">
                  <c:v>177.36644541486336</c:v>
                </c:pt>
                <c:pt idx="4064">
                  <c:v>177.39816736254033</c:v>
                </c:pt>
                <c:pt idx="4065">
                  <c:v>177.42989498368027</c:v>
                </c:pt>
                <c:pt idx="4066">
                  <c:v>177.46162827929794</c:v>
                </c:pt>
                <c:pt idx="4067">
                  <c:v>177.49336725040814</c:v>
                </c:pt>
                <c:pt idx="4068">
                  <c:v>177.52511189802584</c:v>
                </c:pt>
                <c:pt idx="4069">
                  <c:v>177.55686222316655</c:v>
                </c:pt>
                <c:pt idx="4070">
                  <c:v>177.58861822684557</c:v>
                </c:pt>
                <c:pt idx="4071">
                  <c:v>177.6203799100785</c:v>
                </c:pt>
                <c:pt idx="4072">
                  <c:v>177.65214727388113</c:v>
                </c:pt>
                <c:pt idx="4073">
                  <c:v>177.68392031926939</c:v>
                </c:pt>
                <c:pt idx="4074">
                  <c:v>177.71569904725945</c:v>
                </c:pt>
                <c:pt idx="4075">
                  <c:v>177.74748345886766</c:v>
                </c:pt>
                <c:pt idx="4076">
                  <c:v>177.77927355511051</c:v>
                </c:pt>
                <c:pt idx="4077">
                  <c:v>177.8110693370046</c:v>
                </c:pt>
                <c:pt idx="4078">
                  <c:v>177.84287080556703</c:v>
                </c:pt>
                <c:pt idx="4079">
                  <c:v>177.87467796181477</c:v>
                </c:pt>
                <c:pt idx="4080">
                  <c:v>177.90649080676502</c:v>
                </c:pt>
                <c:pt idx="4081">
                  <c:v>177.93830934143523</c:v>
                </c:pt>
                <c:pt idx="4082">
                  <c:v>177.97013356684297</c:v>
                </c:pt>
                <c:pt idx="4083">
                  <c:v>178.0019634840061</c:v>
                </c:pt>
                <c:pt idx="4084">
                  <c:v>178.03379909394249</c:v>
                </c:pt>
                <c:pt idx="4085">
                  <c:v>178.06564039767036</c:v>
                </c:pt>
                <c:pt idx="4086">
                  <c:v>178.0974873962079</c:v>
                </c:pt>
                <c:pt idx="4087">
                  <c:v>178.12934009057389</c:v>
                </c:pt>
                <c:pt idx="4088">
                  <c:v>178.16119848178687</c:v>
                </c:pt>
                <c:pt idx="4089">
                  <c:v>178.19306257086575</c:v>
                </c:pt>
                <c:pt idx="4090">
                  <c:v>178.22493235882959</c:v>
                </c:pt>
                <c:pt idx="4091">
                  <c:v>178.25680784669763</c:v>
                </c:pt>
                <c:pt idx="4092">
                  <c:v>178.28868903548926</c:v>
                </c:pt>
                <c:pt idx="4093">
                  <c:v>178.32057592622417</c:v>
                </c:pt>
                <c:pt idx="4094">
                  <c:v>178.35246851992204</c:v>
                </c:pt>
                <c:pt idx="4095">
                  <c:v>178.38436681760277</c:v>
                </c:pt>
                <c:pt idx="4096">
                  <c:v>178.41627082028683</c:v>
                </c:pt>
                <c:pt idx="4097">
                  <c:v>178.44818052899438</c:v>
                </c:pt>
                <c:pt idx="4098">
                  <c:v>178.48009594474593</c:v>
                </c:pt>
                <c:pt idx="4099">
                  <c:v>178.51201706856219</c:v>
                </c:pt>
                <c:pt idx="4100">
                  <c:v>178.54394390146405</c:v>
                </c:pt>
                <c:pt idx="4101">
                  <c:v>178.57587644447258</c:v>
                </c:pt>
                <c:pt idx="4102">
                  <c:v>178.60781469860905</c:v>
                </c:pt>
                <c:pt idx="4103">
                  <c:v>178.63975866489486</c:v>
                </c:pt>
                <c:pt idx="4104">
                  <c:v>178.67170834435146</c:v>
                </c:pt>
                <c:pt idx="4105">
                  <c:v>178.70366373800101</c:v>
                </c:pt>
                <c:pt idx="4106">
                  <c:v>178.73562484686531</c:v>
                </c:pt>
                <c:pt idx="4107">
                  <c:v>178.76759167196653</c:v>
                </c:pt>
                <c:pt idx="4108">
                  <c:v>178.79956421432701</c:v>
                </c:pt>
                <c:pt idx="4109">
                  <c:v>178.83154247496927</c:v>
                </c:pt>
                <c:pt idx="4110">
                  <c:v>178.86352645491607</c:v>
                </c:pt>
                <c:pt idx="4111">
                  <c:v>178.89551615519025</c:v>
                </c:pt>
                <c:pt idx="4112">
                  <c:v>178.92751157681494</c:v>
                </c:pt>
                <c:pt idx="4113">
                  <c:v>178.95951272081317</c:v>
                </c:pt>
                <c:pt idx="4114">
                  <c:v>178.9915195882088</c:v>
                </c:pt>
                <c:pt idx="4115">
                  <c:v>179.02353218002523</c:v>
                </c:pt>
                <c:pt idx="4116">
                  <c:v>179.05555049728628</c:v>
                </c:pt>
                <c:pt idx="4117">
                  <c:v>179.08757454101598</c:v>
                </c:pt>
                <c:pt idx="4118">
                  <c:v>179.11960431223844</c:v>
                </c:pt>
                <c:pt idx="4119">
                  <c:v>179.1516398119781</c:v>
                </c:pt>
                <c:pt idx="4120">
                  <c:v>179.18368104125946</c:v>
                </c:pt>
                <c:pt idx="4121">
                  <c:v>179.21572800110724</c:v>
                </c:pt>
                <c:pt idx="4122">
                  <c:v>179.24778069254626</c:v>
                </c:pt>
                <c:pt idx="4123">
                  <c:v>179.27983911660183</c:v>
                </c:pt>
                <c:pt idx="4124">
                  <c:v>179.31190327429914</c:v>
                </c:pt>
                <c:pt idx="4125">
                  <c:v>179.34397316666357</c:v>
                </c:pt>
                <c:pt idx="4126">
                  <c:v>179.3760487947209</c:v>
                </c:pt>
                <c:pt idx="4127">
                  <c:v>179.40813015949684</c:v>
                </c:pt>
                <c:pt idx="4128">
                  <c:v>179.44021726201743</c:v>
                </c:pt>
                <c:pt idx="4129">
                  <c:v>179.4723101033089</c:v>
                </c:pt>
                <c:pt idx="4130">
                  <c:v>179.50440868439753</c:v>
                </c:pt>
                <c:pt idx="4131">
                  <c:v>179.53651300631003</c:v>
                </c:pt>
                <c:pt idx="4132">
                  <c:v>179.56862307007287</c:v>
                </c:pt>
                <c:pt idx="4133">
                  <c:v>179.60073887671339</c:v>
                </c:pt>
                <c:pt idx="4134">
                  <c:v>179.63286042725841</c:v>
                </c:pt>
                <c:pt idx="4135">
                  <c:v>179.66498772273536</c:v>
                </c:pt>
                <c:pt idx="4136">
                  <c:v>179.69712076417164</c:v>
                </c:pt>
                <c:pt idx="4137">
                  <c:v>179.72925955259495</c:v>
                </c:pt>
                <c:pt idx="4138">
                  <c:v>179.76140408903311</c:v>
                </c:pt>
                <c:pt idx="4139">
                  <c:v>179.79355437451417</c:v>
                </c:pt>
                <c:pt idx="4140">
                  <c:v>179.82571041006636</c:v>
                </c:pt>
                <c:pt idx="4141">
                  <c:v>179.85787219671786</c:v>
                </c:pt>
                <c:pt idx="4142">
                  <c:v>179.89003973549768</c:v>
                </c:pt>
                <c:pt idx="4143">
                  <c:v>179.92221302743431</c:v>
                </c:pt>
                <c:pt idx="4144">
                  <c:v>179.95439207355676</c:v>
                </c:pt>
                <c:pt idx="4145">
                  <c:v>179.98657687489415</c:v>
                </c:pt>
                <c:pt idx="4146">
                  <c:v>180.01876743247578</c:v>
                </c:pt>
                <c:pt idx="4147">
                  <c:v>180.05096374733122</c:v>
                </c:pt>
                <c:pt idx="4148">
                  <c:v>180.08316582049008</c:v>
                </c:pt>
                <c:pt idx="4149">
                  <c:v>180.1153736529823</c:v>
                </c:pt>
                <c:pt idx="4150">
                  <c:v>180.14758724583774</c:v>
                </c:pt>
                <c:pt idx="4151">
                  <c:v>180.17980660008692</c:v>
                </c:pt>
                <c:pt idx="4152">
                  <c:v>180.21203171676015</c:v>
                </c:pt>
                <c:pt idx="4153">
                  <c:v>180.24426259688806</c:v>
                </c:pt>
                <c:pt idx="4154">
                  <c:v>180.2764992415014</c:v>
                </c:pt>
                <c:pt idx="4155">
                  <c:v>180.30874165163118</c:v>
                </c:pt>
                <c:pt idx="4156">
                  <c:v>180.34098982830852</c:v>
                </c:pt>
                <c:pt idx="4157">
                  <c:v>180.37324377256479</c:v>
                </c:pt>
                <c:pt idx="4158">
                  <c:v>180.40550348543155</c:v>
                </c:pt>
                <c:pt idx="4159">
                  <c:v>180.43776896794029</c:v>
                </c:pt>
                <c:pt idx="4160">
                  <c:v>180.47004022112327</c:v>
                </c:pt>
                <c:pt idx="4161">
                  <c:v>180.50231724601238</c:v>
                </c:pt>
                <c:pt idx="4162">
                  <c:v>180.53460004363995</c:v>
                </c:pt>
                <c:pt idx="4163">
                  <c:v>180.56688861503841</c:v>
                </c:pt>
                <c:pt idx="4164">
                  <c:v>180.59918296124039</c:v>
                </c:pt>
                <c:pt idx="4165">
                  <c:v>180.63148308327865</c:v>
                </c:pt>
                <c:pt idx="4166">
                  <c:v>180.6637889821863</c:v>
                </c:pt>
                <c:pt idx="4167">
                  <c:v>180.69610065899647</c:v>
                </c:pt>
                <c:pt idx="4168">
                  <c:v>180.7284181147424</c:v>
                </c:pt>
                <c:pt idx="4169">
                  <c:v>180.76074135045798</c:v>
                </c:pt>
                <c:pt idx="4170">
                  <c:v>180.79307036717674</c:v>
                </c:pt>
                <c:pt idx="4171">
                  <c:v>180.82540516593266</c:v>
                </c:pt>
                <c:pt idx="4172">
                  <c:v>180.85774574775988</c:v>
                </c:pt>
                <c:pt idx="4173">
                  <c:v>180.89009211369265</c:v>
                </c:pt>
                <c:pt idx="4174">
                  <c:v>180.92244426476549</c:v>
                </c:pt>
                <c:pt idx="4175">
                  <c:v>180.95480220201301</c:v>
                </c:pt>
                <c:pt idx="4176">
                  <c:v>180.98716592647017</c:v>
                </c:pt>
                <c:pt idx="4177">
                  <c:v>181.01953543917176</c:v>
                </c:pt>
                <c:pt idx="4178">
                  <c:v>181.05191074115334</c:v>
                </c:pt>
                <c:pt idx="4179">
                  <c:v>181.08429183345021</c:v>
                </c:pt>
                <c:pt idx="4180">
                  <c:v>181.1166787170979</c:v>
                </c:pt>
                <c:pt idx="4181">
                  <c:v>181.14907139313226</c:v>
                </c:pt>
                <c:pt idx="4182">
                  <c:v>181.18146986258921</c:v>
                </c:pt>
                <c:pt idx="4183">
                  <c:v>181.21387412650495</c:v>
                </c:pt>
                <c:pt idx="4184">
                  <c:v>181.24628418591578</c:v>
                </c:pt>
                <c:pt idx="4185">
                  <c:v>181.27870004185823</c:v>
                </c:pt>
                <c:pt idx="4186">
                  <c:v>181.31112169536877</c:v>
                </c:pt>
                <c:pt idx="4187">
                  <c:v>181.34354914748477</c:v>
                </c:pt>
                <c:pt idx="4188">
                  <c:v>181.37598239924304</c:v>
                </c:pt>
                <c:pt idx="4189">
                  <c:v>181.40842145168088</c:v>
                </c:pt>
                <c:pt idx="4190">
                  <c:v>181.44086630583573</c:v>
                </c:pt>
                <c:pt idx="4191">
                  <c:v>181.47331696274526</c:v>
                </c:pt>
                <c:pt idx="4192">
                  <c:v>181.50577342344724</c:v>
                </c:pt>
                <c:pt idx="4193">
                  <c:v>181.53823568897971</c:v>
                </c:pt>
                <c:pt idx="4194">
                  <c:v>181.57070376038084</c:v>
                </c:pt>
                <c:pt idx="4195">
                  <c:v>181.60317763868883</c:v>
                </c:pt>
                <c:pt idx="4196">
                  <c:v>181.63565732494263</c:v>
                </c:pt>
                <c:pt idx="4197">
                  <c:v>181.66814282018075</c:v>
                </c:pt>
                <c:pt idx="4198">
                  <c:v>181.70063412544221</c:v>
                </c:pt>
                <c:pt idx="4199">
                  <c:v>181.73313124176607</c:v>
                </c:pt>
                <c:pt idx="4200">
                  <c:v>181.76563417019167</c:v>
                </c:pt>
                <c:pt idx="4201">
                  <c:v>181.79814291175848</c:v>
                </c:pt>
                <c:pt idx="4202">
                  <c:v>181.83065746750623</c:v>
                </c:pt>
                <c:pt idx="4203">
                  <c:v>181.86317783847468</c:v>
                </c:pt>
                <c:pt idx="4204">
                  <c:v>181.89570402570382</c:v>
                </c:pt>
                <c:pt idx="4205">
                  <c:v>181.92823603023419</c:v>
                </c:pt>
                <c:pt idx="4206">
                  <c:v>181.96077385310602</c:v>
                </c:pt>
                <c:pt idx="4207">
                  <c:v>181.99331749535989</c:v>
                </c:pt>
                <c:pt idx="4208">
                  <c:v>182.02586695803669</c:v>
                </c:pt>
                <c:pt idx="4209">
                  <c:v>182.0584222421773</c:v>
                </c:pt>
                <c:pt idx="4210">
                  <c:v>182.09098334882299</c:v>
                </c:pt>
                <c:pt idx="4211">
                  <c:v>182.12355027901503</c:v>
                </c:pt>
                <c:pt idx="4212">
                  <c:v>182.15612303379501</c:v>
                </c:pt>
                <c:pt idx="4213">
                  <c:v>182.18870161420446</c:v>
                </c:pt>
                <c:pt idx="4214">
                  <c:v>182.22128602128564</c:v>
                </c:pt>
                <c:pt idx="4215">
                  <c:v>182.25387625608047</c:v>
                </c:pt>
                <c:pt idx="4216">
                  <c:v>182.28647231963123</c:v>
                </c:pt>
                <c:pt idx="4217">
                  <c:v>182.31907421298047</c:v>
                </c:pt>
                <c:pt idx="4218">
                  <c:v>182.3516819371707</c:v>
                </c:pt>
                <c:pt idx="4219">
                  <c:v>182.38429549324491</c:v>
                </c:pt>
                <c:pt idx="4220">
                  <c:v>182.41691488224603</c:v>
                </c:pt>
                <c:pt idx="4221">
                  <c:v>182.44954010521732</c:v>
                </c:pt>
                <c:pt idx="4222">
                  <c:v>182.48217116320237</c:v>
                </c:pt>
                <c:pt idx="4223">
                  <c:v>182.51480805724427</c:v>
                </c:pt>
                <c:pt idx="4224">
                  <c:v>182.54745078838724</c:v>
                </c:pt>
                <c:pt idx="4225">
                  <c:v>182.5800993576751</c:v>
                </c:pt>
                <c:pt idx="4226">
                  <c:v>182.61275376615205</c:v>
                </c:pt>
                <c:pt idx="4227">
                  <c:v>182.64541401486235</c:v>
                </c:pt>
                <c:pt idx="4228">
                  <c:v>182.67808010485061</c:v>
                </c:pt>
                <c:pt idx="4229">
                  <c:v>182.71075203716146</c:v>
                </c:pt>
                <c:pt idx="4230">
                  <c:v>182.74342981283985</c:v>
                </c:pt>
                <c:pt idx="4231">
                  <c:v>182.77611343293088</c:v>
                </c:pt>
                <c:pt idx="4232">
                  <c:v>182.8088028984796</c:v>
                </c:pt>
                <c:pt idx="4233">
                  <c:v>182.84149821053182</c:v>
                </c:pt>
                <c:pt idx="4234">
                  <c:v>182.87419937013303</c:v>
                </c:pt>
                <c:pt idx="4235">
                  <c:v>182.9069063783291</c:v>
                </c:pt>
                <c:pt idx="4236">
                  <c:v>182.93961923616598</c:v>
                </c:pt>
                <c:pt idx="4237">
                  <c:v>182.97233794468985</c:v>
                </c:pt>
                <c:pt idx="4238">
                  <c:v>183.00506250494723</c:v>
                </c:pt>
                <c:pt idx="4239">
                  <c:v>183.03779291798463</c:v>
                </c:pt>
                <c:pt idx="4240">
                  <c:v>183.07052918484879</c:v>
                </c:pt>
                <c:pt idx="4241">
                  <c:v>183.10327130658655</c:v>
                </c:pt>
                <c:pt idx="4242">
                  <c:v>183.13601928424538</c:v>
                </c:pt>
                <c:pt idx="4243">
                  <c:v>183.16877311887237</c:v>
                </c:pt>
                <c:pt idx="4244">
                  <c:v>183.20153281151516</c:v>
                </c:pt>
                <c:pt idx="4245">
                  <c:v>183.23429836322137</c:v>
                </c:pt>
                <c:pt idx="4246">
                  <c:v>183.26706977503889</c:v>
                </c:pt>
                <c:pt idx="4247">
                  <c:v>183.29984704801586</c:v>
                </c:pt>
                <c:pt idx="4248">
                  <c:v>183.33263018320045</c:v>
                </c:pt>
                <c:pt idx="4249">
                  <c:v>183.36541918164122</c:v>
                </c:pt>
                <c:pt idx="4250">
                  <c:v>183.39821404438661</c:v>
                </c:pt>
                <c:pt idx="4251">
                  <c:v>183.43101477248575</c:v>
                </c:pt>
                <c:pt idx="4252">
                  <c:v>183.4638213669875</c:v>
                </c:pt>
                <c:pt idx="4253">
                  <c:v>183.49663382894107</c:v>
                </c:pt>
                <c:pt idx="4254">
                  <c:v>183.52945215939593</c:v>
                </c:pt>
                <c:pt idx="4255">
                  <c:v>183.56227635940152</c:v>
                </c:pt>
                <c:pt idx="4256">
                  <c:v>183.59510643000772</c:v>
                </c:pt>
                <c:pt idx="4257">
                  <c:v>183.62794237226441</c:v>
                </c:pt>
                <c:pt idx="4258">
                  <c:v>183.66078418722176</c:v>
                </c:pt>
                <c:pt idx="4259">
                  <c:v>183.69363187592995</c:v>
                </c:pt>
                <c:pt idx="4260">
                  <c:v>183.72648543943987</c:v>
                </c:pt>
                <c:pt idx="4261">
                  <c:v>183.75934487880195</c:v>
                </c:pt>
                <c:pt idx="4262">
                  <c:v>183.79221019506716</c:v>
                </c:pt>
                <c:pt idx="4263">
                  <c:v>183.82508138928659</c:v>
                </c:pt>
                <c:pt idx="4264">
                  <c:v>183.8579584625115</c:v>
                </c:pt>
                <c:pt idx="4265">
                  <c:v>183.89084141579332</c:v>
                </c:pt>
                <c:pt idx="4266">
                  <c:v>183.92373025018372</c:v>
                </c:pt>
                <c:pt idx="4267">
                  <c:v>183.95662496673458</c:v>
                </c:pt>
                <c:pt idx="4268">
                  <c:v>183.98952556649766</c:v>
                </c:pt>
                <c:pt idx="4269">
                  <c:v>184.02243205052557</c:v>
                </c:pt>
                <c:pt idx="4270">
                  <c:v>184.05534441987049</c:v>
                </c:pt>
                <c:pt idx="4271">
                  <c:v>184.08826267558507</c:v>
                </c:pt>
                <c:pt idx="4272">
                  <c:v>184.12118681872204</c:v>
                </c:pt>
                <c:pt idx="4273">
                  <c:v>184.15411685033439</c:v>
                </c:pt>
                <c:pt idx="4274">
                  <c:v>184.18705277147529</c:v>
                </c:pt>
                <c:pt idx="4275">
                  <c:v>184.21999458319803</c:v>
                </c:pt>
                <c:pt idx="4276">
                  <c:v>184.25294228655619</c:v>
                </c:pt>
                <c:pt idx="4277">
                  <c:v>184.28589588260331</c:v>
                </c:pt>
                <c:pt idx="4278">
                  <c:v>184.31885537239359</c:v>
                </c:pt>
                <c:pt idx="4279">
                  <c:v>184.351820756981</c:v>
                </c:pt>
                <c:pt idx="4280">
                  <c:v>184.38479203741977</c:v>
                </c:pt>
                <c:pt idx="4281">
                  <c:v>184.41776921476446</c:v>
                </c:pt>
                <c:pt idx="4282">
                  <c:v>184.45075229006963</c:v>
                </c:pt>
                <c:pt idx="4283">
                  <c:v>184.4837412643902</c:v>
                </c:pt>
                <c:pt idx="4284">
                  <c:v>184.5167361387812</c:v>
                </c:pt>
                <c:pt idx="4285">
                  <c:v>184.54973691429782</c:v>
                </c:pt>
                <c:pt idx="4286">
                  <c:v>184.58274359199535</c:v>
                </c:pt>
                <c:pt idx="4287">
                  <c:v>184.61575617292971</c:v>
                </c:pt>
                <c:pt idx="4288">
                  <c:v>184.6487746581565</c:v>
                </c:pt>
                <c:pt idx="4289">
                  <c:v>184.6817990487317</c:v>
                </c:pt>
                <c:pt idx="4290">
                  <c:v>184.71482934571156</c:v>
                </c:pt>
                <c:pt idx="4291">
                  <c:v>184.74786555015234</c:v>
                </c:pt>
                <c:pt idx="4292">
                  <c:v>184.78090766311067</c:v>
                </c:pt>
                <c:pt idx="4293">
                  <c:v>184.81395568564324</c:v>
                </c:pt>
                <c:pt idx="4294">
                  <c:v>184.84700961880696</c:v>
                </c:pt>
                <c:pt idx="4295">
                  <c:v>184.8800694636588</c:v>
                </c:pt>
                <c:pt idx="4296">
                  <c:v>184.91313522125643</c:v>
                </c:pt>
                <c:pt idx="4297">
                  <c:v>184.94620689265716</c:v>
                </c:pt>
                <c:pt idx="4298">
                  <c:v>184.97928447891863</c:v>
                </c:pt>
                <c:pt idx="4299">
                  <c:v>185.01236798109872</c:v>
                </c:pt>
                <c:pt idx="4300">
                  <c:v>185.04545740025557</c:v>
                </c:pt>
                <c:pt idx="4301">
                  <c:v>185.07855273744732</c:v>
                </c:pt>
                <c:pt idx="4302">
                  <c:v>185.11165399373249</c:v>
                </c:pt>
                <c:pt idx="4303">
                  <c:v>185.14476117016966</c:v>
                </c:pt>
                <c:pt idx="4304">
                  <c:v>185.17787426781751</c:v>
                </c:pt>
                <c:pt idx="4305">
                  <c:v>185.21099328773536</c:v>
                </c:pt>
                <c:pt idx="4306">
                  <c:v>185.24411823098228</c:v>
                </c:pt>
                <c:pt idx="4307">
                  <c:v>185.2772490986176</c:v>
                </c:pt>
                <c:pt idx="4308">
                  <c:v>185.31038589170092</c:v>
                </c:pt>
                <c:pt idx="4309">
                  <c:v>185.34352861129202</c:v>
                </c:pt>
                <c:pt idx="4310">
                  <c:v>185.37667725845085</c:v>
                </c:pt>
                <c:pt idx="4311">
                  <c:v>185.40983183423754</c:v>
                </c:pt>
                <c:pt idx="4312">
                  <c:v>185.44299233971239</c:v>
                </c:pt>
                <c:pt idx="4313">
                  <c:v>185.47615877593586</c:v>
                </c:pt>
                <c:pt idx="4314">
                  <c:v>185.50933114396886</c:v>
                </c:pt>
                <c:pt idx="4315">
                  <c:v>185.54250944487228</c:v>
                </c:pt>
                <c:pt idx="4316">
                  <c:v>185.57569367970706</c:v>
                </c:pt>
                <c:pt idx="4317">
                  <c:v>185.60888384953458</c:v>
                </c:pt>
                <c:pt idx="4318">
                  <c:v>185.64207995541631</c:v>
                </c:pt>
                <c:pt idx="4319">
                  <c:v>185.67528199841385</c:v>
                </c:pt>
                <c:pt idx="4320">
                  <c:v>185.70848997958913</c:v>
                </c:pt>
                <c:pt idx="4321">
                  <c:v>185.74170390000413</c:v>
                </c:pt>
                <c:pt idx="4322">
                  <c:v>185.77492376072092</c:v>
                </c:pt>
                <c:pt idx="4323">
                  <c:v>185.80814956280227</c:v>
                </c:pt>
                <c:pt idx="4324">
                  <c:v>185.84138130731066</c:v>
                </c:pt>
                <c:pt idx="4325">
                  <c:v>185.87461899530882</c:v>
                </c:pt>
                <c:pt idx="4326">
                  <c:v>185.9078626278598</c:v>
                </c:pt>
                <c:pt idx="4327">
                  <c:v>185.94111220602676</c:v>
                </c:pt>
                <c:pt idx="4328">
                  <c:v>185.9743677308731</c:v>
                </c:pt>
                <c:pt idx="4329">
                  <c:v>186.0076292034623</c:v>
                </c:pt>
                <c:pt idx="4330">
                  <c:v>186.04089662485819</c:v>
                </c:pt>
                <c:pt idx="4331">
                  <c:v>186.07416999612454</c:v>
                </c:pt>
                <c:pt idx="4332">
                  <c:v>186.10744931832579</c:v>
                </c:pt>
                <c:pt idx="4333">
                  <c:v>186.14073459252609</c:v>
                </c:pt>
                <c:pt idx="4334">
                  <c:v>186.17402581978999</c:v>
                </c:pt>
                <c:pt idx="4335">
                  <c:v>186.20732300118217</c:v>
                </c:pt>
                <c:pt idx="4336">
                  <c:v>186.24062613776752</c:v>
                </c:pt>
                <c:pt idx="4337">
                  <c:v>186.27393523061116</c:v>
                </c:pt>
                <c:pt idx="4338">
                  <c:v>186.30725028077831</c:v>
                </c:pt>
                <c:pt idx="4339">
                  <c:v>186.34057128933446</c:v>
                </c:pt>
                <c:pt idx="4340">
                  <c:v>186.3738982573453</c:v>
                </c:pt>
                <c:pt idx="4341">
                  <c:v>186.40723118587647</c:v>
                </c:pt>
                <c:pt idx="4342">
                  <c:v>186.44057007599434</c:v>
                </c:pt>
                <c:pt idx="4343">
                  <c:v>186.473914928765</c:v>
                </c:pt>
                <c:pt idx="4344">
                  <c:v>186.50726574525487</c:v>
                </c:pt>
                <c:pt idx="4345">
                  <c:v>186.54062252653051</c:v>
                </c:pt>
                <c:pt idx="4346">
                  <c:v>186.57398527365879</c:v>
                </c:pt>
                <c:pt idx="4347">
                  <c:v>186.60735398770663</c:v>
                </c:pt>
                <c:pt idx="4348">
                  <c:v>186.64072866974126</c:v>
                </c:pt>
                <c:pt idx="4349">
                  <c:v>186.67410932083007</c:v>
                </c:pt>
                <c:pt idx="4350">
                  <c:v>186.70749594204037</c:v>
                </c:pt>
                <c:pt idx="4351">
                  <c:v>186.74088853444033</c:v>
                </c:pt>
                <c:pt idx="4352">
                  <c:v>186.77428709909776</c:v>
                </c:pt>
                <c:pt idx="4353">
                  <c:v>186.80769163708067</c:v>
                </c:pt>
                <c:pt idx="4354">
                  <c:v>186.8411021494575</c:v>
                </c:pt>
                <c:pt idx="4355">
                  <c:v>186.87451863729672</c:v>
                </c:pt>
                <c:pt idx="4356">
                  <c:v>186.90794110166703</c:v>
                </c:pt>
                <c:pt idx="4357">
                  <c:v>186.94136954363736</c:v>
                </c:pt>
                <c:pt idx="4358">
                  <c:v>186.97480396427682</c:v>
                </c:pt>
                <c:pt idx="4359">
                  <c:v>187.00824436465447</c:v>
                </c:pt>
                <c:pt idx="4360">
                  <c:v>187.04169074584019</c:v>
                </c:pt>
                <c:pt idx="4361">
                  <c:v>187.0751431089034</c:v>
                </c:pt>
                <c:pt idx="4362">
                  <c:v>187.10860145491398</c:v>
                </c:pt>
                <c:pt idx="4363">
                  <c:v>187.14206578494202</c:v>
                </c:pt>
                <c:pt idx="4364">
                  <c:v>187.17553610005771</c:v>
                </c:pt>
                <c:pt idx="4365">
                  <c:v>187.20901240133153</c:v>
                </c:pt>
                <c:pt idx="4366">
                  <c:v>187.2424946898341</c:v>
                </c:pt>
                <c:pt idx="4367">
                  <c:v>187.27598296663618</c:v>
                </c:pt>
                <c:pt idx="4368">
                  <c:v>187.30947723280863</c:v>
                </c:pt>
                <c:pt idx="4369">
                  <c:v>187.34297748942299</c:v>
                </c:pt>
                <c:pt idx="4370">
                  <c:v>187.37648373755053</c:v>
                </c:pt>
                <c:pt idx="4371">
                  <c:v>187.40999597826274</c:v>
                </c:pt>
                <c:pt idx="4372">
                  <c:v>187.44351421263147</c:v>
                </c:pt>
                <c:pt idx="4373">
                  <c:v>187.47703844172864</c:v>
                </c:pt>
                <c:pt idx="4374">
                  <c:v>187.51056866662643</c:v>
                </c:pt>
                <c:pt idx="4375">
                  <c:v>187.54410488839716</c:v>
                </c:pt>
                <c:pt idx="4376">
                  <c:v>187.57764710811338</c:v>
                </c:pt>
                <c:pt idx="4377">
                  <c:v>187.61119532684768</c:v>
                </c:pt>
                <c:pt idx="4378">
                  <c:v>187.64474954567328</c:v>
                </c:pt>
                <c:pt idx="4379">
                  <c:v>187.67830976566319</c:v>
                </c:pt>
                <c:pt idx="4380">
                  <c:v>187.71187598789061</c:v>
                </c:pt>
                <c:pt idx="4381">
                  <c:v>187.74544821342911</c:v>
                </c:pt>
                <c:pt idx="4382">
                  <c:v>187.77902644335256</c:v>
                </c:pt>
                <c:pt idx="4383">
                  <c:v>187.81261067873447</c:v>
                </c:pt>
                <c:pt idx="4384">
                  <c:v>187.84620092064912</c:v>
                </c:pt>
                <c:pt idx="4385">
                  <c:v>187.87979717017075</c:v>
                </c:pt>
                <c:pt idx="4386">
                  <c:v>187.91339942837365</c:v>
                </c:pt>
                <c:pt idx="4387">
                  <c:v>187.94700769633278</c:v>
                </c:pt>
                <c:pt idx="4388">
                  <c:v>187.98062197512292</c:v>
                </c:pt>
                <c:pt idx="4389">
                  <c:v>188.01424226581898</c:v>
                </c:pt>
                <c:pt idx="4390">
                  <c:v>188.04786856949625</c:v>
                </c:pt>
                <c:pt idx="4391">
                  <c:v>188.08150088723016</c:v>
                </c:pt>
                <c:pt idx="4392">
                  <c:v>188.1151392200963</c:v>
                </c:pt>
                <c:pt idx="4393">
                  <c:v>188.14878356917049</c:v>
                </c:pt>
                <c:pt idx="4394">
                  <c:v>188.18243393552868</c:v>
                </c:pt>
                <c:pt idx="4395">
                  <c:v>188.21609032024699</c:v>
                </c:pt>
                <c:pt idx="4396">
                  <c:v>188.24975272440204</c:v>
                </c:pt>
                <c:pt idx="4397">
                  <c:v>188.28342114907028</c:v>
                </c:pt>
                <c:pt idx="4398">
                  <c:v>188.31709559532845</c:v>
                </c:pt>
                <c:pt idx="4399">
                  <c:v>188.35077606425358</c:v>
                </c:pt>
                <c:pt idx="4400">
                  <c:v>188.38446255692276</c:v>
                </c:pt>
                <c:pt idx="4401">
                  <c:v>188.41815507441333</c:v>
                </c:pt>
                <c:pt idx="4402">
                  <c:v>188.45185361780287</c:v>
                </c:pt>
                <c:pt idx="4403">
                  <c:v>188.48555818816911</c:v>
                </c:pt>
                <c:pt idx="4404">
                  <c:v>188.51926878658975</c:v>
                </c:pt>
                <c:pt idx="4405">
                  <c:v>188.55298541414328</c:v>
                </c:pt>
                <c:pt idx="4406">
                  <c:v>188.58670807190785</c:v>
                </c:pt>
                <c:pt idx="4407">
                  <c:v>188.62043676096192</c:v>
                </c:pt>
                <c:pt idx="4408">
                  <c:v>188.65417148238424</c:v>
                </c:pt>
                <c:pt idx="4409">
                  <c:v>188.6879122372537</c:v>
                </c:pt>
                <c:pt idx="4410">
                  <c:v>188.72165902664929</c:v>
                </c:pt>
                <c:pt idx="4411">
                  <c:v>188.75541185165036</c:v>
                </c:pt>
                <c:pt idx="4412">
                  <c:v>188.7891707133364</c:v>
                </c:pt>
                <c:pt idx="4413">
                  <c:v>188.82293561278684</c:v>
                </c:pt>
                <c:pt idx="4414">
                  <c:v>188.85670655108191</c:v>
                </c:pt>
                <c:pt idx="4415">
                  <c:v>188.89048352930146</c:v>
                </c:pt>
                <c:pt idx="4416">
                  <c:v>188.92426654852574</c:v>
                </c:pt>
                <c:pt idx="4417">
                  <c:v>188.95805560983518</c:v>
                </c:pt>
                <c:pt idx="4418">
                  <c:v>188.9918507143104</c:v>
                </c:pt>
                <c:pt idx="4419">
                  <c:v>189.02565186303224</c:v>
                </c:pt>
                <c:pt idx="4420">
                  <c:v>189.05945905708168</c:v>
                </c:pt>
                <c:pt idx="4421">
                  <c:v>189.09327229753995</c:v>
                </c:pt>
                <c:pt idx="4422">
                  <c:v>189.1270915854885</c:v>
                </c:pt>
                <c:pt idx="4423">
                  <c:v>189.16091692200865</c:v>
                </c:pt>
                <c:pt idx="4424">
                  <c:v>189.19474830818254</c:v>
                </c:pt>
                <c:pt idx="4425">
                  <c:v>189.22858574509206</c:v>
                </c:pt>
                <c:pt idx="4426">
                  <c:v>189.26242923381932</c:v>
                </c:pt>
                <c:pt idx="4427">
                  <c:v>189.29627877544669</c:v>
                </c:pt>
                <c:pt idx="4428">
                  <c:v>189.33013437105672</c:v>
                </c:pt>
                <c:pt idx="4429">
                  <c:v>189.36399602173222</c:v>
                </c:pt>
                <c:pt idx="4430">
                  <c:v>189.39786372855608</c:v>
                </c:pt>
                <c:pt idx="4431">
                  <c:v>189.43173749261146</c:v>
                </c:pt>
                <c:pt idx="4432">
                  <c:v>189.46561731498156</c:v>
                </c:pt>
                <c:pt idx="4433">
                  <c:v>189.49950319675017</c:v>
                </c:pt>
                <c:pt idx="4434">
                  <c:v>189.5333951390009</c:v>
                </c:pt>
                <c:pt idx="4435">
                  <c:v>189.56729314281765</c:v>
                </c:pt>
                <c:pt idx="4436">
                  <c:v>189.60119720928455</c:v>
                </c:pt>
                <c:pt idx="4437">
                  <c:v>189.63510733948584</c:v>
                </c:pt>
                <c:pt idx="4438">
                  <c:v>189.6690235345061</c:v>
                </c:pt>
                <c:pt idx="4439">
                  <c:v>189.70294579542994</c:v>
                </c:pt>
                <c:pt idx="4440">
                  <c:v>189.73687412334232</c:v>
                </c:pt>
                <c:pt idx="4441">
                  <c:v>189.77080851932814</c:v>
                </c:pt>
                <c:pt idx="4442">
                  <c:v>189.80474898447295</c:v>
                </c:pt>
                <c:pt idx="4443">
                  <c:v>189.83869551986214</c:v>
                </c:pt>
                <c:pt idx="4444">
                  <c:v>189.87264812658128</c:v>
                </c:pt>
                <c:pt idx="4445">
                  <c:v>189.90660680571628</c:v>
                </c:pt>
                <c:pt idx="4446">
                  <c:v>189.94057155835316</c:v>
                </c:pt>
                <c:pt idx="4447">
                  <c:v>189.97454238557819</c:v>
                </c:pt>
                <c:pt idx="4448">
                  <c:v>190.00851928847777</c:v>
                </c:pt>
                <c:pt idx="4449">
                  <c:v>190.04250226813861</c:v>
                </c:pt>
                <c:pt idx="4450">
                  <c:v>190.07649132564731</c:v>
                </c:pt>
                <c:pt idx="4451">
                  <c:v>190.11048646209125</c:v>
                </c:pt>
                <c:pt idx="4452">
                  <c:v>190.14448767855743</c:v>
                </c:pt>
                <c:pt idx="4453">
                  <c:v>190.17849497613335</c:v>
                </c:pt>
                <c:pt idx="4454">
                  <c:v>190.21250835590649</c:v>
                </c:pt>
                <c:pt idx="4455">
                  <c:v>190.24652781896481</c:v>
                </c:pt>
                <c:pt idx="4456">
                  <c:v>190.28055336639616</c:v>
                </c:pt>
                <c:pt idx="4457">
                  <c:v>190.31458499928883</c:v>
                </c:pt>
                <c:pt idx="4458">
                  <c:v>190.34862271873112</c:v>
                </c:pt>
                <c:pt idx="4459">
                  <c:v>190.38266652581152</c:v>
                </c:pt>
                <c:pt idx="4460">
                  <c:v>190.41671642161904</c:v>
                </c:pt>
                <c:pt idx="4461">
                  <c:v>190.45077240724257</c:v>
                </c:pt>
                <c:pt idx="4462">
                  <c:v>190.48483448377127</c:v>
                </c:pt>
                <c:pt idx="4463">
                  <c:v>190.51890265229443</c:v>
                </c:pt>
                <c:pt idx="4464">
                  <c:v>190.55297691390163</c:v>
                </c:pt>
                <c:pt idx="4465">
                  <c:v>190.58705726968265</c:v>
                </c:pt>
                <c:pt idx="4466">
                  <c:v>190.62114372072742</c:v>
                </c:pt>
                <c:pt idx="4467">
                  <c:v>190.655236268126</c:v>
                </c:pt>
                <c:pt idx="4468">
                  <c:v>190.68933491296869</c:v>
                </c:pt>
                <c:pt idx="4469">
                  <c:v>190.72343965634624</c:v>
                </c:pt>
                <c:pt idx="4470">
                  <c:v>190.75755049934924</c:v>
                </c:pt>
                <c:pt idx="4471">
                  <c:v>190.79166744306866</c:v>
                </c:pt>
                <c:pt idx="4472">
                  <c:v>190.82579048859549</c:v>
                </c:pt>
                <c:pt idx="4473">
                  <c:v>190.85991963702114</c:v>
                </c:pt>
                <c:pt idx="4474">
                  <c:v>190.89405488943709</c:v>
                </c:pt>
                <c:pt idx="4475">
                  <c:v>190.92819624693504</c:v>
                </c:pt>
                <c:pt idx="4476">
                  <c:v>190.96234371060683</c:v>
                </c:pt>
                <c:pt idx="4477">
                  <c:v>190.99649728154444</c:v>
                </c:pt>
                <c:pt idx="4478">
                  <c:v>191.03065696084047</c:v>
                </c:pt>
                <c:pt idx="4479">
                  <c:v>191.06482274958722</c:v>
                </c:pt>
                <c:pt idx="4480">
                  <c:v>191.09899464887738</c:v>
                </c:pt>
                <c:pt idx="4481">
                  <c:v>191.13317265980382</c:v>
                </c:pt>
                <c:pt idx="4482">
                  <c:v>191.16735678345955</c:v>
                </c:pt>
                <c:pt idx="4483">
                  <c:v>191.20154702093794</c:v>
                </c:pt>
                <c:pt idx="4484">
                  <c:v>191.23574337333235</c:v>
                </c:pt>
                <c:pt idx="4485">
                  <c:v>191.2699458417365</c:v>
                </c:pt>
                <c:pt idx="4486">
                  <c:v>191.30415442724399</c:v>
                </c:pt>
                <c:pt idx="4487">
                  <c:v>191.33836913094927</c:v>
                </c:pt>
                <c:pt idx="4488">
                  <c:v>191.37258995394637</c:v>
                </c:pt>
                <c:pt idx="4489">
                  <c:v>191.40681689732975</c:v>
                </c:pt>
                <c:pt idx="4490">
                  <c:v>191.44104996219397</c:v>
                </c:pt>
                <c:pt idx="4491">
                  <c:v>191.47528914963399</c:v>
                </c:pt>
                <c:pt idx="4492">
                  <c:v>191.50953446074473</c:v>
                </c:pt>
                <c:pt idx="4493">
                  <c:v>191.54378589662142</c:v>
                </c:pt>
                <c:pt idx="4494">
                  <c:v>191.57804345835945</c:v>
                </c:pt>
                <c:pt idx="4495">
                  <c:v>191.61230714705434</c:v>
                </c:pt>
                <c:pt idx="4496">
                  <c:v>191.64657696380215</c:v>
                </c:pt>
                <c:pt idx="4497">
                  <c:v>191.68085290969876</c:v>
                </c:pt>
                <c:pt idx="4498">
                  <c:v>191.71513498584036</c:v>
                </c:pt>
                <c:pt idx="4499">
                  <c:v>191.74942319332337</c:v>
                </c:pt>
                <c:pt idx="4500">
                  <c:v>191.78371753324427</c:v>
                </c:pt>
                <c:pt idx="4501">
                  <c:v>191.81801800669996</c:v>
                </c:pt>
                <c:pt idx="4502">
                  <c:v>191.85232461478739</c:v>
                </c:pt>
                <c:pt idx="4503">
                  <c:v>191.88663735860371</c:v>
                </c:pt>
                <c:pt idx="4504">
                  <c:v>191.92095623924618</c:v>
                </c:pt>
                <c:pt idx="4505">
                  <c:v>191.95528125781266</c:v>
                </c:pt>
                <c:pt idx="4506">
                  <c:v>191.98961241540076</c:v>
                </c:pt>
                <c:pt idx="4507">
                  <c:v>192.02394971310841</c:v>
                </c:pt>
                <c:pt idx="4508">
                  <c:v>192.05829315203383</c:v>
                </c:pt>
                <c:pt idx="4509">
                  <c:v>192.09264273327531</c:v>
                </c:pt>
                <c:pt idx="4510">
                  <c:v>192.12699845793148</c:v>
                </c:pt>
                <c:pt idx="4511">
                  <c:v>192.16136032710102</c:v>
                </c:pt>
                <c:pt idx="4512">
                  <c:v>192.19572834188293</c:v>
                </c:pt>
                <c:pt idx="4513">
                  <c:v>192.23010250337612</c:v>
                </c:pt>
                <c:pt idx="4514">
                  <c:v>192.26448281268031</c:v>
                </c:pt>
                <c:pt idx="4515">
                  <c:v>192.2988692708949</c:v>
                </c:pt>
                <c:pt idx="4516">
                  <c:v>192.33326187911953</c:v>
                </c:pt>
                <c:pt idx="4517">
                  <c:v>192.36766063845417</c:v>
                </c:pt>
                <c:pt idx="4518">
                  <c:v>192.40206554999898</c:v>
                </c:pt>
                <c:pt idx="4519">
                  <c:v>192.4364766148542</c:v>
                </c:pt>
                <c:pt idx="4520">
                  <c:v>192.47089383412043</c:v>
                </c:pt>
                <c:pt idx="4521">
                  <c:v>192.50531720889839</c:v>
                </c:pt>
                <c:pt idx="4522">
                  <c:v>192.53974674028871</c:v>
                </c:pt>
                <c:pt idx="4523">
                  <c:v>192.57418242939298</c:v>
                </c:pt>
                <c:pt idx="4524">
                  <c:v>192.60862427731223</c:v>
                </c:pt>
                <c:pt idx="4525">
                  <c:v>192.64307228514801</c:v>
                </c:pt>
                <c:pt idx="4526">
                  <c:v>192.67752645400202</c:v>
                </c:pt>
                <c:pt idx="4527">
                  <c:v>192.71198678497615</c:v>
                </c:pt>
                <c:pt idx="4528">
                  <c:v>192.7464532791725</c:v>
                </c:pt>
                <c:pt idx="4529">
                  <c:v>192.78092593769333</c:v>
                </c:pt>
                <c:pt idx="4530">
                  <c:v>192.81540476164113</c:v>
                </c:pt>
                <c:pt idx="4531">
                  <c:v>192.84988975211851</c:v>
                </c:pt>
                <c:pt idx="4532">
                  <c:v>192.88438091022857</c:v>
                </c:pt>
                <c:pt idx="4533">
                  <c:v>192.91887823707427</c:v>
                </c:pt>
                <c:pt idx="4534">
                  <c:v>192.9533817337589</c:v>
                </c:pt>
                <c:pt idx="4535">
                  <c:v>192.98789140138589</c:v>
                </c:pt>
                <c:pt idx="4536">
                  <c:v>193.02240724105897</c:v>
                </c:pt>
                <c:pt idx="4537">
                  <c:v>193.05692925388198</c:v>
                </c:pt>
                <c:pt idx="4538">
                  <c:v>193.09145744095898</c:v>
                </c:pt>
                <c:pt idx="4539">
                  <c:v>193.12599180339421</c:v>
                </c:pt>
                <c:pt idx="4540">
                  <c:v>193.16053234229202</c:v>
                </c:pt>
                <c:pt idx="4541">
                  <c:v>193.19507905875739</c:v>
                </c:pt>
                <c:pt idx="4542">
                  <c:v>193.22963195389516</c:v>
                </c:pt>
                <c:pt idx="4543">
                  <c:v>193.26419102881005</c:v>
                </c:pt>
                <c:pt idx="4544">
                  <c:v>193.29875628460749</c:v>
                </c:pt>
                <c:pt idx="4545">
                  <c:v>193.33332772239291</c:v>
                </c:pt>
                <c:pt idx="4546">
                  <c:v>193.36790534327201</c:v>
                </c:pt>
                <c:pt idx="4547">
                  <c:v>193.40248914835055</c:v>
                </c:pt>
                <c:pt idx="4548">
                  <c:v>193.43707913873462</c:v>
                </c:pt>
                <c:pt idx="4549">
                  <c:v>193.47167531553046</c:v>
                </c:pt>
                <c:pt idx="4550">
                  <c:v>193.50627767984435</c:v>
                </c:pt>
                <c:pt idx="4551">
                  <c:v>193.54088623278324</c:v>
                </c:pt>
                <c:pt idx="4552">
                  <c:v>193.57550097545382</c:v>
                </c:pt>
                <c:pt idx="4553">
                  <c:v>193.61012190896309</c:v>
                </c:pt>
                <c:pt idx="4554">
                  <c:v>193.64474903441828</c:v>
                </c:pt>
                <c:pt idx="4555">
                  <c:v>193.67938235292686</c:v>
                </c:pt>
                <c:pt idx="4556">
                  <c:v>193.71402186559644</c:v>
                </c:pt>
                <c:pt idx="4557">
                  <c:v>193.74866757353482</c:v>
                </c:pt>
                <c:pt idx="4558">
                  <c:v>193.78331947785006</c:v>
                </c:pt>
                <c:pt idx="4559">
                  <c:v>193.81797757965018</c:v>
                </c:pt>
                <c:pt idx="4560">
                  <c:v>193.85264188004396</c:v>
                </c:pt>
                <c:pt idx="4561">
                  <c:v>193.88731238013983</c:v>
                </c:pt>
                <c:pt idx="4562">
                  <c:v>193.92198908104663</c:v>
                </c:pt>
                <c:pt idx="4563">
                  <c:v>193.95667198387329</c:v>
                </c:pt>
                <c:pt idx="4564">
                  <c:v>193.99136108972914</c:v>
                </c:pt>
                <c:pt idx="4565">
                  <c:v>194.02605639972356</c:v>
                </c:pt>
                <c:pt idx="4566">
                  <c:v>194.06075791496608</c:v>
                </c:pt>
                <c:pt idx="4567">
                  <c:v>194.09546563656659</c:v>
                </c:pt>
                <c:pt idx="4568">
                  <c:v>194.13017956563488</c:v>
                </c:pt>
                <c:pt idx="4569">
                  <c:v>194.16489970328152</c:v>
                </c:pt>
                <c:pt idx="4570">
                  <c:v>194.19962605061676</c:v>
                </c:pt>
                <c:pt idx="4571">
                  <c:v>194.23435860875114</c:v>
                </c:pt>
                <c:pt idx="4572">
                  <c:v>194.26909737879555</c:v>
                </c:pt>
                <c:pt idx="4573">
                  <c:v>194.30384236186089</c:v>
                </c:pt>
                <c:pt idx="4574">
                  <c:v>194.33859355905841</c:v>
                </c:pt>
                <c:pt idx="4575">
                  <c:v>194.37335097149949</c:v>
                </c:pt>
                <c:pt idx="4576">
                  <c:v>194.40811460029573</c:v>
                </c:pt>
                <c:pt idx="4577">
                  <c:v>194.44288444655879</c:v>
                </c:pt>
                <c:pt idx="4578">
                  <c:v>194.47766051140096</c:v>
                </c:pt>
                <c:pt idx="4579">
                  <c:v>194.51244279593425</c:v>
                </c:pt>
                <c:pt idx="4580">
                  <c:v>194.5472313012711</c:v>
                </c:pt>
                <c:pt idx="4581">
                  <c:v>194.58202602852404</c:v>
                </c:pt>
                <c:pt idx="4582">
                  <c:v>194.6168269788059</c:v>
                </c:pt>
                <c:pt idx="4583">
                  <c:v>194.65163415322965</c:v>
                </c:pt>
                <c:pt idx="4584">
                  <c:v>194.6864475529085</c:v>
                </c:pt>
                <c:pt idx="4585">
                  <c:v>194.72126717895583</c:v>
                </c:pt>
                <c:pt idx="4586">
                  <c:v>194.75609303248501</c:v>
                </c:pt>
                <c:pt idx="4587">
                  <c:v>194.79092511461022</c:v>
                </c:pt>
                <c:pt idx="4588">
                  <c:v>194.82576342644526</c:v>
                </c:pt>
                <c:pt idx="4589">
                  <c:v>194.86060796910428</c:v>
                </c:pt>
                <c:pt idx="4590">
                  <c:v>194.89545874370165</c:v>
                </c:pt>
                <c:pt idx="4591">
                  <c:v>194.93031575135205</c:v>
                </c:pt>
                <c:pt idx="4592">
                  <c:v>194.96517899317016</c:v>
                </c:pt>
                <c:pt idx="4593">
                  <c:v>195.00004847027103</c:v>
                </c:pt>
                <c:pt idx="4594">
                  <c:v>195.03492418376976</c:v>
                </c:pt>
                <c:pt idx="4595">
                  <c:v>195.06980613478157</c:v>
                </c:pt>
                <c:pt idx="4596">
                  <c:v>195.1046943244225</c:v>
                </c:pt>
                <c:pt idx="4597">
                  <c:v>195.139588753808</c:v>
                </c:pt>
                <c:pt idx="4598">
                  <c:v>195.17448942405414</c:v>
                </c:pt>
                <c:pt idx="4599">
                  <c:v>195.20939633627702</c:v>
                </c:pt>
                <c:pt idx="4600">
                  <c:v>195.24430949159313</c:v>
                </c:pt>
                <c:pt idx="4601">
                  <c:v>195.27922889111892</c:v>
                </c:pt>
                <c:pt idx="4602">
                  <c:v>195.31415453597128</c:v>
                </c:pt>
                <c:pt idx="4603">
                  <c:v>195.34908642726711</c:v>
                </c:pt>
                <c:pt idx="4604">
                  <c:v>195.38402456612346</c:v>
                </c:pt>
                <c:pt idx="4605">
                  <c:v>195.41896895365798</c:v>
                </c:pt>
                <c:pt idx="4606">
                  <c:v>195.45391959098814</c:v>
                </c:pt>
                <c:pt idx="4607">
                  <c:v>195.48887647923169</c:v>
                </c:pt>
                <c:pt idx="4608">
                  <c:v>195.52383961950662</c:v>
                </c:pt>
                <c:pt idx="4609">
                  <c:v>195.55880901293105</c:v>
                </c:pt>
                <c:pt idx="4610">
                  <c:v>195.59378466062341</c:v>
                </c:pt>
                <c:pt idx="4611">
                  <c:v>195.62876656370227</c:v>
                </c:pt>
                <c:pt idx="4612">
                  <c:v>195.66375472328639</c:v>
                </c:pt>
                <c:pt idx="4613">
                  <c:v>195.69874914049456</c:v>
                </c:pt>
                <c:pt idx="4614">
                  <c:v>195.73374981644633</c:v>
                </c:pt>
                <c:pt idx="4615">
                  <c:v>195.76875675226086</c:v>
                </c:pt>
                <c:pt idx="4616">
                  <c:v>195.80376994905777</c:v>
                </c:pt>
                <c:pt idx="4617">
                  <c:v>195.83878940795682</c:v>
                </c:pt>
                <c:pt idx="4618">
                  <c:v>195.87381513007799</c:v>
                </c:pt>
                <c:pt idx="4619">
                  <c:v>195.90884711654141</c:v>
                </c:pt>
                <c:pt idx="4620">
                  <c:v>195.94388536846753</c:v>
                </c:pt>
                <c:pt idx="4621">
                  <c:v>195.97892988697689</c:v>
                </c:pt>
                <c:pt idx="4622">
                  <c:v>196.01398067319008</c:v>
                </c:pt>
                <c:pt idx="4623">
                  <c:v>196.04903772822846</c:v>
                </c:pt>
                <c:pt idx="4624">
                  <c:v>196.08410105321298</c:v>
                </c:pt>
                <c:pt idx="4625">
                  <c:v>196.11917064926507</c:v>
                </c:pt>
                <c:pt idx="4626">
                  <c:v>196.15424651750629</c:v>
                </c:pt>
                <c:pt idx="4627">
                  <c:v>196.18932865905842</c:v>
                </c:pt>
                <c:pt idx="4628">
                  <c:v>196.22441707504345</c:v>
                </c:pt>
                <c:pt idx="4629">
                  <c:v>196.25951176658356</c:v>
                </c:pt>
                <c:pt idx="4630">
                  <c:v>196.29461273480109</c:v>
                </c:pt>
                <c:pt idx="4631">
                  <c:v>196.32971998081848</c:v>
                </c:pt>
                <c:pt idx="4632">
                  <c:v>196.36483350575887</c:v>
                </c:pt>
                <c:pt idx="4633">
                  <c:v>196.39995331074505</c:v>
                </c:pt>
                <c:pt idx="4634">
                  <c:v>196.43507939690025</c:v>
                </c:pt>
                <c:pt idx="4635">
                  <c:v>196.47021176534781</c:v>
                </c:pt>
                <c:pt idx="4636">
                  <c:v>196.50535041721133</c:v>
                </c:pt>
                <c:pt idx="4637">
                  <c:v>196.54049535361457</c:v>
                </c:pt>
                <c:pt idx="4638">
                  <c:v>196.57564657568159</c:v>
                </c:pt>
                <c:pt idx="4639">
                  <c:v>196.61080408453651</c:v>
                </c:pt>
                <c:pt idx="4640">
                  <c:v>196.64596788130373</c:v>
                </c:pt>
                <c:pt idx="4641">
                  <c:v>196.6811379671077</c:v>
                </c:pt>
                <c:pt idx="4642">
                  <c:v>196.71631434307355</c:v>
                </c:pt>
                <c:pt idx="4643">
                  <c:v>196.75149701032606</c:v>
                </c:pt>
                <c:pt idx="4644">
                  <c:v>196.78668596999049</c:v>
                </c:pt>
                <c:pt idx="4645">
                  <c:v>196.82188122319221</c:v>
                </c:pt>
                <c:pt idx="4646">
                  <c:v>196.85708277105681</c:v>
                </c:pt>
                <c:pt idx="4647">
                  <c:v>196.89229061471008</c:v>
                </c:pt>
                <c:pt idx="4648">
                  <c:v>196.92750475527802</c:v>
                </c:pt>
                <c:pt idx="4649">
                  <c:v>196.96272519388685</c:v>
                </c:pt>
                <c:pt idx="4650">
                  <c:v>196.99795193166278</c:v>
                </c:pt>
                <c:pt idx="4651">
                  <c:v>197.03318496973279</c:v>
                </c:pt>
                <c:pt idx="4652">
                  <c:v>197.0684243092235</c:v>
                </c:pt>
                <c:pt idx="4653">
                  <c:v>197.10366995126194</c:v>
                </c:pt>
                <c:pt idx="4654">
                  <c:v>197.13892189697529</c:v>
                </c:pt>
                <c:pt idx="4655">
                  <c:v>197.17418014749092</c:v>
                </c:pt>
                <c:pt idx="4656">
                  <c:v>197.20944470393653</c:v>
                </c:pt>
                <c:pt idx="4657">
                  <c:v>197.24471556743984</c:v>
                </c:pt>
                <c:pt idx="4658">
                  <c:v>197.27999273912897</c:v>
                </c:pt>
                <c:pt idx="4659">
                  <c:v>197.31527622013189</c:v>
                </c:pt>
                <c:pt idx="4660">
                  <c:v>197.3505660115774</c:v>
                </c:pt>
                <c:pt idx="4661">
                  <c:v>197.38586211459392</c:v>
                </c:pt>
                <c:pt idx="4662">
                  <c:v>197.42116453031028</c:v>
                </c:pt>
                <c:pt idx="4663">
                  <c:v>197.45647325985556</c:v>
                </c:pt>
                <c:pt idx="4664">
                  <c:v>197.49178830435889</c:v>
                </c:pt>
                <c:pt idx="4665">
                  <c:v>197.52710966494979</c:v>
                </c:pt>
                <c:pt idx="4666">
                  <c:v>197.56243734275779</c:v>
                </c:pt>
                <c:pt idx="4667">
                  <c:v>197.59777133891285</c:v>
                </c:pt>
                <c:pt idx="4668">
                  <c:v>197.63311165454471</c:v>
                </c:pt>
                <c:pt idx="4669">
                  <c:v>197.66845829078403</c:v>
                </c:pt>
                <c:pt idx="4670">
                  <c:v>197.70381124876104</c:v>
                </c:pt>
                <c:pt idx="4671">
                  <c:v>197.73917052960644</c:v>
                </c:pt>
                <c:pt idx="4672">
                  <c:v>197.77453613445095</c:v>
                </c:pt>
                <c:pt idx="4673">
                  <c:v>197.80990806442577</c:v>
                </c:pt>
                <c:pt idx="4674">
                  <c:v>197.84528632066207</c:v>
                </c:pt>
                <c:pt idx="4675">
                  <c:v>197.88067090429124</c:v>
                </c:pt>
                <c:pt idx="4676">
                  <c:v>197.91606181644508</c:v>
                </c:pt>
                <c:pt idx="4677">
                  <c:v>197.9514590582551</c:v>
                </c:pt>
                <c:pt idx="4678">
                  <c:v>197.98686263085384</c:v>
                </c:pt>
                <c:pt idx="4679">
                  <c:v>198.02227253537333</c:v>
                </c:pt>
                <c:pt idx="4680">
                  <c:v>198.05768877294605</c:v>
                </c:pt>
                <c:pt idx="4681">
                  <c:v>198.09311134470465</c:v>
                </c:pt>
                <c:pt idx="4682">
                  <c:v>198.128540251782</c:v>
                </c:pt>
                <c:pt idx="4683">
                  <c:v>198.16397549531118</c:v>
                </c:pt>
                <c:pt idx="4684">
                  <c:v>198.19941707642545</c:v>
                </c:pt>
                <c:pt idx="4685">
                  <c:v>198.2348649962583</c:v>
                </c:pt>
                <c:pt idx="4686">
                  <c:v>198.27031925594321</c:v>
                </c:pt>
                <c:pt idx="4687">
                  <c:v>198.30577985661441</c:v>
                </c:pt>
                <c:pt idx="4688">
                  <c:v>198.34124679940587</c:v>
                </c:pt>
                <c:pt idx="4689">
                  <c:v>198.37672008545181</c:v>
                </c:pt>
                <c:pt idx="4690">
                  <c:v>198.41219971588677</c:v>
                </c:pt>
                <c:pt idx="4691">
                  <c:v>198.44768569184541</c:v>
                </c:pt>
                <c:pt idx="4692">
                  <c:v>198.48317801446257</c:v>
                </c:pt>
                <c:pt idx="4693">
                  <c:v>198.51867668487347</c:v>
                </c:pt>
                <c:pt idx="4694">
                  <c:v>198.55418170421333</c:v>
                </c:pt>
                <c:pt idx="4695">
                  <c:v>198.5896930736175</c:v>
                </c:pt>
                <c:pt idx="4696">
                  <c:v>198.62521079422203</c:v>
                </c:pt>
                <c:pt idx="4697">
                  <c:v>198.66073486716269</c:v>
                </c:pt>
                <c:pt idx="4698">
                  <c:v>198.69626529357552</c:v>
                </c:pt>
                <c:pt idx="4699">
                  <c:v>198.73180207459691</c:v>
                </c:pt>
                <c:pt idx="4700">
                  <c:v>198.76734521136336</c:v>
                </c:pt>
                <c:pt idx="4701">
                  <c:v>198.80289470501177</c:v>
                </c:pt>
                <c:pt idx="4702">
                  <c:v>198.83845055667868</c:v>
                </c:pt>
                <c:pt idx="4703">
                  <c:v>198.87401276750145</c:v>
                </c:pt>
                <c:pt idx="4704">
                  <c:v>198.90958133861719</c:v>
                </c:pt>
                <c:pt idx="4705">
                  <c:v>198.94515627116385</c:v>
                </c:pt>
                <c:pt idx="4706">
                  <c:v>198.98073756627892</c:v>
                </c:pt>
                <c:pt idx="4707">
                  <c:v>199.01632522510039</c:v>
                </c:pt>
                <c:pt idx="4708">
                  <c:v>199.05191924876641</c:v>
                </c:pt>
                <c:pt idx="4709">
                  <c:v>199.0875196384153</c:v>
                </c:pt>
                <c:pt idx="4710">
                  <c:v>199.12312639518561</c:v>
                </c:pt>
                <c:pt idx="4711">
                  <c:v>199.15873952021616</c:v>
                </c:pt>
                <c:pt idx="4712">
                  <c:v>199.19435901464584</c:v>
                </c:pt>
                <c:pt idx="4713">
                  <c:v>199.22998487961388</c:v>
                </c:pt>
                <c:pt idx="4714">
                  <c:v>199.26561711625942</c:v>
                </c:pt>
                <c:pt idx="4715">
                  <c:v>199.3012557257224</c:v>
                </c:pt>
                <c:pt idx="4716">
                  <c:v>199.33690070914247</c:v>
                </c:pt>
                <c:pt idx="4717">
                  <c:v>199.37255206765951</c:v>
                </c:pt>
                <c:pt idx="4718">
                  <c:v>199.40820980241378</c:v>
                </c:pt>
                <c:pt idx="4719">
                  <c:v>199.44387391454566</c:v>
                </c:pt>
                <c:pt idx="4720">
                  <c:v>199.47954440519578</c:v>
                </c:pt>
                <c:pt idx="4721">
                  <c:v>199.51522127550481</c:v>
                </c:pt>
                <c:pt idx="4722">
                  <c:v>199.55090452661386</c:v>
                </c:pt>
                <c:pt idx="4723">
                  <c:v>199.58659415966392</c:v>
                </c:pt>
                <c:pt idx="4724">
                  <c:v>199.62229017579679</c:v>
                </c:pt>
                <c:pt idx="4725">
                  <c:v>199.65799257615387</c:v>
                </c:pt>
                <c:pt idx="4726">
                  <c:v>199.693701361877</c:v>
                </c:pt>
                <c:pt idx="4727">
                  <c:v>199.72941653410814</c:v>
                </c:pt>
                <c:pt idx="4728">
                  <c:v>199.76513809398958</c:v>
                </c:pt>
                <c:pt idx="4729">
                  <c:v>199.80086604266373</c:v>
                </c:pt>
                <c:pt idx="4730">
                  <c:v>199.8366003812732</c:v>
                </c:pt>
                <c:pt idx="4731">
                  <c:v>199.87234111096089</c:v>
                </c:pt>
                <c:pt idx="4732">
                  <c:v>199.90808823286963</c:v>
                </c:pt>
                <c:pt idx="4733">
                  <c:v>199.94384174814297</c:v>
                </c:pt>
                <c:pt idx="4734">
                  <c:v>199.97960165792429</c:v>
                </c:pt>
                <c:pt idx="4735">
                  <c:v>200.01536796335719</c:v>
                </c:pt>
                <c:pt idx="4736">
                  <c:v>200.05114066558551</c:v>
                </c:pt>
                <c:pt idx="4737">
                  <c:v>200.08691976575332</c:v>
                </c:pt>
                <c:pt idx="4738">
                  <c:v>200.12270526500492</c:v>
                </c:pt>
                <c:pt idx="4739">
                  <c:v>200.15849716448477</c:v>
                </c:pt>
                <c:pt idx="4740">
                  <c:v>200.19429546533758</c:v>
                </c:pt>
                <c:pt idx="4741">
                  <c:v>200.23010016870799</c:v>
                </c:pt>
                <c:pt idx="4742">
                  <c:v>200.2659112757415</c:v>
                </c:pt>
                <c:pt idx="4743">
                  <c:v>200.30172878758322</c:v>
                </c:pt>
                <c:pt idx="4744">
                  <c:v>200.33755270537858</c:v>
                </c:pt>
                <c:pt idx="4745">
                  <c:v>200.37338303027343</c:v>
                </c:pt>
                <c:pt idx="4746">
                  <c:v>200.40921976341355</c:v>
                </c:pt>
                <c:pt idx="4747">
                  <c:v>200.44506290594506</c:v>
                </c:pt>
                <c:pt idx="4748">
                  <c:v>200.48091245901432</c:v>
                </c:pt>
                <c:pt idx="4749">
                  <c:v>200.51676842376784</c:v>
                </c:pt>
                <c:pt idx="4750">
                  <c:v>200.55263080135219</c:v>
                </c:pt>
                <c:pt idx="4751">
                  <c:v>200.58849959291462</c:v>
                </c:pt>
                <c:pt idx="4752">
                  <c:v>200.62437479960215</c:v>
                </c:pt>
                <c:pt idx="4753">
                  <c:v>200.66025642256207</c:v>
                </c:pt>
                <c:pt idx="4754">
                  <c:v>200.69614446294193</c:v>
                </c:pt>
                <c:pt idx="4755">
                  <c:v>200.73203892188951</c:v>
                </c:pt>
                <c:pt idx="4756">
                  <c:v>200.76793980055274</c:v>
                </c:pt>
                <c:pt idx="4757">
                  <c:v>200.80384710007985</c:v>
                </c:pt>
                <c:pt idx="4758">
                  <c:v>200.83976082161911</c:v>
                </c:pt>
                <c:pt idx="4759">
                  <c:v>200.87568096631898</c:v>
                </c:pt>
                <c:pt idx="4760">
                  <c:v>200.91160753532861</c:v>
                </c:pt>
                <c:pt idx="4761">
                  <c:v>200.94754052979675</c:v>
                </c:pt>
                <c:pt idx="4762">
                  <c:v>200.98347995087269</c:v>
                </c:pt>
                <c:pt idx="4763">
                  <c:v>201.01942579970572</c:v>
                </c:pt>
                <c:pt idx="4764">
                  <c:v>201.05537807744548</c:v>
                </c:pt>
                <c:pt idx="4765">
                  <c:v>201.09133678524179</c:v>
                </c:pt>
                <c:pt idx="4766">
                  <c:v>201.12730192424465</c:v>
                </c:pt>
                <c:pt idx="4767">
                  <c:v>201.16327349560433</c:v>
                </c:pt>
                <c:pt idx="4768">
                  <c:v>201.19925150047101</c:v>
                </c:pt>
                <c:pt idx="4769">
                  <c:v>201.23523593999573</c:v>
                </c:pt>
                <c:pt idx="4770">
                  <c:v>201.27122681532907</c:v>
                </c:pt>
                <c:pt idx="4771">
                  <c:v>201.30722412762216</c:v>
                </c:pt>
                <c:pt idx="4772">
                  <c:v>201.3432278780262</c:v>
                </c:pt>
                <c:pt idx="4773">
                  <c:v>201.37923806769271</c:v>
                </c:pt>
                <c:pt idx="4774">
                  <c:v>201.41525469777324</c:v>
                </c:pt>
                <c:pt idx="4775">
                  <c:v>201.45127776941973</c:v>
                </c:pt>
                <c:pt idx="4776">
                  <c:v>201.48730728378425</c:v>
                </c:pt>
                <c:pt idx="4777">
                  <c:v>201.52334324201888</c:v>
                </c:pt>
                <c:pt idx="4778">
                  <c:v>201.55938564527651</c:v>
                </c:pt>
                <c:pt idx="4779">
                  <c:v>201.59543449470959</c:v>
                </c:pt>
                <c:pt idx="4780">
                  <c:v>201.63148979147101</c:v>
                </c:pt>
                <c:pt idx="4781">
                  <c:v>201.66755153671392</c:v>
                </c:pt>
                <c:pt idx="4782">
                  <c:v>201.70361973159163</c:v>
                </c:pt>
                <c:pt idx="4783">
                  <c:v>201.73969437725762</c:v>
                </c:pt>
                <c:pt idx="4784">
                  <c:v>201.77577547486567</c:v>
                </c:pt>
                <c:pt idx="4785">
                  <c:v>201.81186302556964</c:v>
                </c:pt>
                <c:pt idx="4786">
                  <c:v>201.8479570305235</c:v>
                </c:pt>
                <c:pt idx="4787">
                  <c:v>201.88405749088199</c:v>
                </c:pt>
                <c:pt idx="4788">
                  <c:v>201.92016440779946</c:v>
                </c:pt>
                <c:pt idx="4789">
                  <c:v>201.95627778243062</c:v>
                </c:pt>
                <c:pt idx="4790">
                  <c:v>201.99239761593051</c:v>
                </c:pt>
                <c:pt idx="4791">
                  <c:v>202.02852390945421</c:v>
                </c:pt>
                <c:pt idx="4792">
                  <c:v>202.06465666415716</c:v>
                </c:pt>
                <c:pt idx="4793">
                  <c:v>202.10079588119493</c:v>
                </c:pt>
                <c:pt idx="4794">
                  <c:v>202.13694156172326</c:v>
                </c:pt>
                <c:pt idx="4795">
                  <c:v>202.17309370689804</c:v>
                </c:pt>
                <c:pt idx="4796">
                  <c:v>202.20925231787578</c:v>
                </c:pt>
                <c:pt idx="4797">
                  <c:v>202.24541739581272</c:v>
                </c:pt>
                <c:pt idx="4798">
                  <c:v>202.28158894186544</c:v>
                </c:pt>
                <c:pt idx="4799">
                  <c:v>202.31776695719083</c:v>
                </c:pt>
                <c:pt idx="4800">
                  <c:v>202.35395144294586</c:v>
                </c:pt>
                <c:pt idx="4801">
                  <c:v>202.39014240028777</c:v>
                </c:pt>
                <c:pt idx="4802">
                  <c:v>202.42633983037408</c:v>
                </c:pt>
                <c:pt idx="4803">
                  <c:v>202.46254373436233</c:v>
                </c:pt>
                <c:pt idx="4804">
                  <c:v>202.49875411341026</c:v>
                </c:pt>
                <c:pt idx="4805">
                  <c:v>202.53497096867625</c:v>
                </c:pt>
                <c:pt idx="4806">
                  <c:v>202.57119430131846</c:v>
                </c:pt>
                <c:pt idx="4807">
                  <c:v>202.60742411249527</c:v>
                </c:pt>
                <c:pt idx="4808">
                  <c:v>202.64366040336543</c:v>
                </c:pt>
                <c:pt idx="4809">
                  <c:v>202.67990317508782</c:v>
                </c:pt>
                <c:pt idx="4810">
                  <c:v>202.71615242882154</c:v>
                </c:pt>
                <c:pt idx="4811">
                  <c:v>202.75240816572588</c:v>
                </c:pt>
                <c:pt idx="4812">
                  <c:v>202.7886703869604</c:v>
                </c:pt>
                <c:pt idx="4813">
                  <c:v>202.82493909368461</c:v>
                </c:pt>
                <c:pt idx="4814">
                  <c:v>202.86121428705877</c:v>
                </c:pt>
                <c:pt idx="4815">
                  <c:v>202.89749596824288</c:v>
                </c:pt>
                <c:pt idx="4816">
                  <c:v>202.93378413839724</c:v>
                </c:pt>
                <c:pt idx="4817">
                  <c:v>202.97007879868241</c:v>
                </c:pt>
                <c:pt idx="4818">
                  <c:v>203.00637995025923</c:v>
                </c:pt>
                <c:pt idx="4819">
                  <c:v>203.04268759428854</c:v>
                </c:pt>
                <c:pt idx="4820">
                  <c:v>203.07900173193161</c:v>
                </c:pt>
                <c:pt idx="4821">
                  <c:v>203.11532236434977</c:v>
                </c:pt>
                <c:pt idx="4822">
                  <c:v>203.15164949270448</c:v>
                </c:pt>
                <c:pt idx="4823">
                  <c:v>203.18798311815783</c:v>
                </c:pt>
                <c:pt idx="4824">
                  <c:v>203.22432324187167</c:v>
                </c:pt>
                <c:pt idx="4825">
                  <c:v>203.26066986500823</c:v>
                </c:pt>
                <c:pt idx="4826">
                  <c:v>203.29702298872991</c:v>
                </c:pt>
                <c:pt idx="4827">
                  <c:v>203.33338261419934</c:v>
                </c:pt>
                <c:pt idx="4828">
                  <c:v>203.36974874257939</c:v>
                </c:pt>
                <c:pt idx="4829">
                  <c:v>203.40612137503305</c:v>
                </c:pt>
                <c:pt idx="4830">
                  <c:v>203.4425005127236</c:v>
                </c:pt>
                <c:pt idx="4831">
                  <c:v>203.47888615681435</c:v>
                </c:pt>
                <c:pt idx="4832">
                  <c:v>203.51527830846928</c:v>
                </c:pt>
                <c:pt idx="4833">
                  <c:v>203.55167696885209</c:v>
                </c:pt>
                <c:pt idx="4834">
                  <c:v>203.5880821391269</c:v>
                </c:pt>
                <c:pt idx="4835">
                  <c:v>203.62449382045793</c:v>
                </c:pt>
                <c:pt idx="4836">
                  <c:v>203.6609120140098</c:v>
                </c:pt>
                <c:pt idx="4837">
                  <c:v>203.69733672094708</c:v>
                </c:pt>
                <c:pt idx="4838">
                  <c:v>203.73376794243484</c:v>
                </c:pt>
                <c:pt idx="4839">
                  <c:v>203.77020567963808</c:v>
                </c:pt>
                <c:pt idx="4840">
                  <c:v>203.80664993372199</c:v>
                </c:pt>
                <c:pt idx="4841">
                  <c:v>203.84310070585249</c:v>
                </c:pt>
                <c:pt idx="4842">
                  <c:v>203.87955799719515</c:v>
                </c:pt>
                <c:pt idx="4843">
                  <c:v>203.91602180891593</c:v>
                </c:pt>
                <c:pt idx="4844">
                  <c:v>203.95249214218094</c:v>
                </c:pt>
                <c:pt idx="4845">
                  <c:v>203.98896899815665</c:v>
                </c:pt>
                <c:pt idx="4846">
                  <c:v>204.02545237800962</c:v>
                </c:pt>
                <c:pt idx="4847">
                  <c:v>204.06194228290659</c:v>
                </c:pt>
                <c:pt idx="4848">
                  <c:v>204.09843871401461</c:v>
                </c:pt>
                <c:pt idx="4849">
                  <c:v>204.13494167250087</c:v>
                </c:pt>
                <c:pt idx="4850">
                  <c:v>204.17145115953264</c:v>
                </c:pt>
                <c:pt idx="4851">
                  <c:v>204.20796717627786</c:v>
                </c:pt>
                <c:pt idx="4852">
                  <c:v>204.24448972390422</c:v>
                </c:pt>
                <c:pt idx="4853">
                  <c:v>204.28101880357977</c:v>
                </c:pt>
                <c:pt idx="4854">
                  <c:v>204.3175544164728</c:v>
                </c:pt>
                <c:pt idx="4855">
                  <c:v>204.35409656375168</c:v>
                </c:pt>
                <c:pt idx="4856">
                  <c:v>204.39064524658514</c:v>
                </c:pt>
                <c:pt idx="4857">
                  <c:v>204.4272004661421</c:v>
                </c:pt>
                <c:pt idx="4858">
                  <c:v>204.46376222359154</c:v>
                </c:pt>
                <c:pt idx="4859">
                  <c:v>204.50033052010269</c:v>
                </c:pt>
                <c:pt idx="4860">
                  <c:v>204.53690535684538</c:v>
                </c:pt>
                <c:pt idx="4861">
                  <c:v>204.57348673498933</c:v>
                </c:pt>
                <c:pt idx="4862">
                  <c:v>204.61007465570415</c:v>
                </c:pt>
                <c:pt idx="4863">
                  <c:v>204.64666912016003</c:v>
                </c:pt>
                <c:pt idx="4864">
                  <c:v>204.68327012952747</c:v>
                </c:pt>
                <c:pt idx="4865">
                  <c:v>204.71987768497692</c:v>
                </c:pt>
                <c:pt idx="4866">
                  <c:v>204.75649178767918</c:v>
                </c:pt>
                <c:pt idx="4867">
                  <c:v>204.79311243880525</c:v>
                </c:pt>
                <c:pt idx="4868">
                  <c:v>204.82973963952611</c:v>
                </c:pt>
                <c:pt idx="4869">
                  <c:v>204.86637339101347</c:v>
                </c:pt>
                <c:pt idx="4870">
                  <c:v>204.90301369443884</c:v>
                </c:pt>
                <c:pt idx="4871">
                  <c:v>204.939660550974</c:v>
                </c:pt>
                <c:pt idx="4872">
                  <c:v>204.97631396179094</c:v>
                </c:pt>
                <c:pt idx="4873">
                  <c:v>205.01297392806191</c:v>
                </c:pt>
                <c:pt idx="4874">
                  <c:v>205.0496404509594</c:v>
                </c:pt>
                <c:pt idx="4875">
                  <c:v>205.08631353165595</c:v>
                </c:pt>
                <c:pt idx="4876">
                  <c:v>205.12299317132451</c:v>
                </c:pt>
                <c:pt idx="4877">
                  <c:v>205.15967937113797</c:v>
                </c:pt>
                <c:pt idx="4878">
                  <c:v>205.19637213226994</c:v>
                </c:pt>
                <c:pt idx="4879">
                  <c:v>205.23307145589374</c:v>
                </c:pt>
                <c:pt idx="4880">
                  <c:v>205.26977734318305</c:v>
                </c:pt>
                <c:pt idx="4881">
                  <c:v>205.30648979531182</c:v>
                </c:pt>
                <c:pt idx="4882">
                  <c:v>205.34320881345414</c:v>
                </c:pt>
                <c:pt idx="4883">
                  <c:v>205.37993439878434</c:v>
                </c:pt>
                <c:pt idx="4884">
                  <c:v>205.41666655247698</c:v>
                </c:pt>
                <c:pt idx="4885">
                  <c:v>205.45340527570684</c:v>
                </c:pt>
                <c:pt idx="4886">
                  <c:v>205.49015056964862</c:v>
                </c:pt>
                <c:pt idx="4887">
                  <c:v>205.52690243547784</c:v>
                </c:pt>
                <c:pt idx="4888">
                  <c:v>205.56366087436984</c:v>
                </c:pt>
                <c:pt idx="4889">
                  <c:v>205.60042588750008</c:v>
                </c:pt>
                <c:pt idx="4890">
                  <c:v>205.63719747604438</c:v>
                </c:pt>
                <c:pt idx="4891">
                  <c:v>205.6739756411788</c:v>
                </c:pt>
                <c:pt idx="4892">
                  <c:v>205.71076038407952</c:v>
                </c:pt>
                <c:pt idx="4893">
                  <c:v>205.747551705923</c:v>
                </c:pt>
                <c:pt idx="4894">
                  <c:v>205.7843496078859</c:v>
                </c:pt>
                <c:pt idx="4895">
                  <c:v>205.82115409114482</c:v>
                </c:pt>
                <c:pt idx="4896">
                  <c:v>205.85796515687721</c:v>
                </c:pt>
                <c:pt idx="4897">
                  <c:v>205.8947828062602</c:v>
                </c:pt>
                <c:pt idx="4898">
                  <c:v>205.93160704047125</c:v>
                </c:pt>
                <c:pt idx="4899">
                  <c:v>205.96843786068806</c:v>
                </c:pt>
                <c:pt idx="4900">
                  <c:v>206.00527526808855</c:v>
                </c:pt>
                <c:pt idx="4901">
                  <c:v>206.04211926385082</c:v>
                </c:pt>
                <c:pt idx="4902">
                  <c:v>206.0789698491532</c:v>
                </c:pt>
                <c:pt idx="4903">
                  <c:v>206.11582702517421</c:v>
                </c:pt>
                <c:pt idx="4904">
                  <c:v>206.15269079309243</c:v>
                </c:pt>
                <c:pt idx="4905">
                  <c:v>206.18956115408719</c:v>
                </c:pt>
                <c:pt idx="4906">
                  <c:v>206.22643810933749</c:v>
                </c:pt>
                <c:pt idx="4907">
                  <c:v>206.26332166002265</c:v>
                </c:pt>
                <c:pt idx="4908">
                  <c:v>206.30021180732234</c:v>
                </c:pt>
                <c:pt idx="4909">
                  <c:v>206.33710855241631</c:v>
                </c:pt>
                <c:pt idx="4910">
                  <c:v>206.37401189648463</c:v>
                </c:pt>
                <c:pt idx="4911">
                  <c:v>206.41092184070746</c:v>
                </c:pt>
                <c:pt idx="4912">
                  <c:v>206.44783838626529</c:v>
                </c:pt>
                <c:pt idx="4913">
                  <c:v>206.4847615343385</c:v>
                </c:pt>
                <c:pt idx="4914">
                  <c:v>206.52169128610839</c:v>
                </c:pt>
                <c:pt idx="4915">
                  <c:v>206.55862764275588</c:v>
                </c:pt>
                <c:pt idx="4916">
                  <c:v>206.59557060546217</c:v>
                </c:pt>
                <c:pt idx="4917">
                  <c:v>206.63252017540876</c:v>
                </c:pt>
                <c:pt idx="4918">
                  <c:v>206.66947635377741</c:v>
                </c:pt>
                <c:pt idx="4919">
                  <c:v>206.70643914175</c:v>
                </c:pt>
                <c:pt idx="4920">
                  <c:v>206.74340854050865</c:v>
                </c:pt>
                <c:pt idx="4921">
                  <c:v>206.7803845512357</c:v>
                </c:pt>
                <c:pt idx="4922">
                  <c:v>206.8173671751135</c:v>
                </c:pt>
                <c:pt idx="4923">
                  <c:v>206.85435641332523</c:v>
                </c:pt>
                <c:pt idx="4924">
                  <c:v>206.89135226705363</c:v>
                </c:pt>
                <c:pt idx="4925">
                  <c:v>206.92835473748192</c:v>
                </c:pt>
                <c:pt idx="4926">
                  <c:v>206.96536382579342</c:v>
                </c:pt>
                <c:pt idx="4927">
                  <c:v>207.00237953317185</c:v>
                </c:pt>
                <c:pt idx="4928">
                  <c:v>207.03940186080095</c:v>
                </c:pt>
                <c:pt idx="4929">
                  <c:v>207.07643080986477</c:v>
                </c:pt>
                <c:pt idx="4930">
                  <c:v>207.11346638154754</c:v>
                </c:pt>
                <c:pt idx="4931">
                  <c:v>207.15050857703375</c:v>
                </c:pt>
                <c:pt idx="4932">
                  <c:v>207.18755739750785</c:v>
                </c:pt>
                <c:pt idx="4933">
                  <c:v>207.2246128441551</c:v>
                </c:pt>
                <c:pt idx="4934">
                  <c:v>207.2616749181604</c:v>
                </c:pt>
                <c:pt idx="4935">
                  <c:v>207.29874362070902</c:v>
                </c:pt>
                <c:pt idx="4936">
                  <c:v>207.3358189529865</c:v>
                </c:pt>
                <c:pt idx="4937">
                  <c:v>207.37290091617862</c:v>
                </c:pt>
                <c:pt idx="4938">
                  <c:v>207.40998951147122</c:v>
                </c:pt>
                <c:pt idx="4939">
                  <c:v>207.44708474005051</c:v>
                </c:pt>
                <c:pt idx="4940">
                  <c:v>207.48418660310287</c:v>
                </c:pt>
                <c:pt idx="4941">
                  <c:v>207.52129510181464</c:v>
                </c:pt>
                <c:pt idx="4942">
                  <c:v>207.55841023737298</c:v>
                </c:pt>
                <c:pt idx="4943">
                  <c:v>207.59553201096475</c:v>
                </c:pt>
                <c:pt idx="4944">
                  <c:v>207.63266042377711</c:v>
                </c:pt>
                <c:pt idx="4945">
                  <c:v>207.66979547699745</c:v>
                </c:pt>
                <c:pt idx="4946">
                  <c:v>207.70693717181351</c:v>
                </c:pt>
                <c:pt idx="4947">
                  <c:v>207.74408550941308</c:v>
                </c:pt>
                <c:pt idx="4948">
                  <c:v>207.78124049098423</c:v>
                </c:pt>
                <c:pt idx="4949">
                  <c:v>207.81840211771521</c:v>
                </c:pt>
                <c:pt idx="4950">
                  <c:v>207.85557039079436</c:v>
                </c:pt>
                <c:pt idx="4951">
                  <c:v>207.89274531141072</c:v>
                </c:pt>
                <c:pt idx="4952">
                  <c:v>207.92992688075299</c:v>
                </c:pt>
                <c:pt idx="4953">
                  <c:v>207.96711510001035</c:v>
                </c:pt>
                <c:pt idx="4954">
                  <c:v>208.00430997037213</c:v>
                </c:pt>
                <c:pt idx="4955">
                  <c:v>208.0415114930278</c:v>
                </c:pt>
                <c:pt idx="4956">
                  <c:v>208.07871966916721</c:v>
                </c:pt>
                <c:pt idx="4957">
                  <c:v>208.11593449998034</c:v>
                </c:pt>
                <c:pt idx="4958">
                  <c:v>208.15315598665731</c:v>
                </c:pt>
                <c:pt idx="4959">
                  <c:v>208.19038413038834</c:v>
                </c:pt>
                <c:pt idx="4960">
                  <c:v>208.22761893236446</c:v>
                </c:pt>
                <c:pt idx="4961">
                  <c:v>208.26486039377627</c:v>
                </c:pt>
                <c:pt idx="4962">
                  <c:v>208.30210851581487</c:v>
                </c:pt>
                <c:pt idx="4963">
                  <c:v>208.33936329967145</c:v>
                </c:pt>
                <c:pt idx="4964">
                  <c:v>208.37662474653749</c:v>
                </c:pt>
                <c:pt idx="4965">
                  <c:v>208.41389285760465</c:v>
                </c:pt>
                <c:pt idx="4966">
                  <c:v>208.45116763406486</c:v>
                </c:pt>
                <c:pt idx="4967">
                  <c:v>208.48844907711023</c:v>
                </c:pt>
                <c:pt idx="4968">
                  <c:v>208.5257371879328</c:v>
                </c:pt>
                <c:pt idx="4969">
                  <c:v>208.56303196772561</c:v>
                </c:pt>
                <c:pt idx="4970">
                  <c:v>208.6003334176811</c:v>
                </c:pt>
                <c:pt idx="4971">
                  <c:v>208.63764153899231</c:v>
                </c:pt>
                <c:pt idx="4972">
                  <c:v>208.67495633285236</c:v>
                </c:pt>
                <c:pt idx="4973">
                  <c:v>208.71227780045461</c:v>
                </c:pt>
                <c:pt idx="4974">
                  <c:v>208.74960594299273</c:v>
                </c:pt>
                <c:pt idx="4975">
                  <c:v>208.7869407616605</c:v>
                </c:pt>
                <c:pt idx="4976">
                  <c:v>208.82428225765196</c:v>
                </c:pt>
                <c:pt idx="4977">
                  <c:v>208.86163043216109</c:v>
                </c:pt>
                <c:pt idx="4978">
                  <c:v>208.89898528638281</c:v>
                </c:pt>
                <c:pt idx="4979">
                  <c:v>208.93634682151151</c:v>
                </c:pt>
                <c:pt idx="4980">
                  <c:v>208.97371503874217</c:v>
                </c:pt>
                <c:pt idx="4981">
                  <c:v>209.01108993926979</c:v>
                </c:pt>
                <c:pt idx="4982">
                  <c:v>209.04847152428971</c:v>
                </c:pt>
                <c:pt idx="4983">
                  <c:v>209.08585979499748</c:v>
                </c:pt>
                <c:pt idx="4984">
                  <c:v>209.12325475258879</c:v>
                </c:pt>
                <c:pt idx="4985">
                  <c:v>209.16065639825956</c:v>
                </c:pt>
                <c:pt idx="4986">
                  <c:v>209.19806473320585</c:v>
                </c:pt>
                <c:pt idx="4987">
                  <c:v>209.23547975862439</c:v>
                </c:pt>
                <c:pt idx="4988">
                  <c:v>209.27290147571154</c:v>
                </c:pt>
                <c:pt idx="4989">
                  <c:v>209.31032988566409</c:v>
                </c:pt>
                <c:pt idx="4990">
                  <c:v>209.34776498967912</c:v>
                </c:pt>
                <c:pt idx="4991">
                  <c:v>209.38520678895384</c:v>
                </c:pt>
                <c:pt idx="4992">
                  <c:v>209.42265528468565</c:v>
                </c:pt>
                <c:pt idx="4993">
                  <c:v>209.46011047807229</c:v>
                </c:pt>
                <c:pt idx="4994">
                  <c:v>209.49757237031159</c:v>
                </c:pt>
                <c:pt idx="4995">
                  <c:v>209.53504096260141</c:v>
                </c:pt>
                <c:pt idx="4996">
                  <c:v>209.57251625614049</c:v>
                </c:pt>
                <c:pt idx="4997">
                  <c:v>209.60999825212713</c:v>
                </c:pt>
                <c:pt idx="4998">
                  <c:v>209.64748695176007</c:v>
                </c:pt>
                <c:pt idx="4999">
                  <c:v>209.68498235623829</c:v>
                </c:pt>
                <c:pt idx="5000">
                  <c:v>209.72248446676087</c:v>
                </c:pt>
                <c:pt idx="5001">
                  <c:v>209.75999328452724</c:v>
                </c:pt>
                <c:pt idx="5002">
                  <c:v>209.79750881073701</c:v>
                </c:pt>
                <c:pt idx="5003">
                  <c:v>209.83503104658993</c:v>
                </c:pt>
                <c:pt idx="5004">
                  <c:v>209.87255999328588</c:v>
                </c:pt>
                <c:pt idx="5005">
                  <c:v>209.9100956520254</c:v>
                </c:pt>
                <c:pt idx="5006">
                  <c:v>209.94763802400882</c:v>
                </c:pt>
                <c:pt idx="5007">
                  <c:v>209.98518711043675</c:v>
                </c:pt>
                <c:pt idx="5008">
                  <c:v>210.0227429125101</c:v>
                </c:pt>
                <c:pt idx="5009">
                  <c:v>210.06030543142998</c:v>
                </c:pt>
                <c:pt idx="5010">
                  <c:v>210.09787466839762</c:v>
                </c:pt>
                <c:pt idx="5011">
                  <c:v>210.13545062461461</c:v>
                </c:pt>
                <c:pt idx="5012">
                  <c:v>210.17303330128266</c:v>
                </c:pt>
                <c:pt idx="5013">
                  <c:v>210.21062269960356</c:v>
                </c:pt>
                <c:pt idx="5014">
                  <c:v>210.24821882077978</c:v>
                </c:pt>
                <c:pt idx="5015">
                  <c:v>210.28582166601362</c:v>
                </c:pt>
                <c:pt idx="5016">
                  <c:v>210.32343123650759</c:v>
                </c:pt>
                <c:pt idx="5017">
                  <c:v>210.36104753346453</c:v>
                </c:pt>
                <c:pt idx="5018">
                  <c:v>210.39867055808747</c:v>
                </c:pt>
                <c:pt idx="5019">
                  <c:v>210.43630031157966</c:v>
                </c:pt>
                <c:pt idx="5020">
                  <c:v>210.47393679514454</c:v>
                </c:pt>
                <c:pt idx="5021">
                  <c:v>210.51158000998598</c:v>
                </c:pt>
                <c:pt idx="5022">
                  <c:v>210.54922995730746</c:v>
                </c:pt>
                <c:pt idx="5023">
                  <c:v>210.58688663831313</c:v>
                </c:pt>
                <c:pt idx="5024">
                  <c:v>210.62455005420765</c:v>
                </c:pt>
                <c:pt idx="5025">
                  <c:v>210.66222020619543</c:v>
                </c:pt>
                <c:pt idx="5026">
                  <c:v>210.69989709548111</c:v>
                </c:pt>
                <c:pt idx="5027">
                  <c:v>210.73758072326973</c:v>
                </c:pt>
                <c:pt idx="5028">
                  <c:v>210.77527109076644</c:v>
                </c:pt>
                <c:pt idx="5029">
                  <c:v>210.81296819917668</c:v>
                </c:pt>
                <c:pt idx="5030">
                  <c:v>210.85067204970596</c:v>
                </c:pt>
                <c:pt idx="5031">
                  <c:v>210.88838264356025</c:v>
                </c:pt>
                <c:pt idx="5032">
                  <c:v>210.92609998194527</c:v>
                </c:pt>
                <c:pt idx="5033">
                  <c:v>210.96382406606776</c:v>
                </c:pt>
                <c:pt idx="5034">
                  <c:v>211.00155489713393</c:v>
                </c:pt>
                <c:pt idx="5035">
                  <c:v>211.03929247635048</c:v>
                </c:pt>
                <c:pt idx="5036">
                  <c:v>211.07703680492435</c:v>
                </c:pt>
                <c:pt idx="5037">
                  <c:v>211.11478788406265</c:v>
                </c:pt>
                <c:pt idx="5038">
                  <c:v>211.15254571497272</c:v>
                </c:pt>
                <c:pt idx="5039">
                  <c:v>211.19031029886207</c:v>
                </c:pt>
                <c:pt idx="5040">
                  <c:v>211.2280816369385</c:v>
                </c:pt>
                <c:pt idx="5041">
                  <c:v>211.2658597304098</c:v>
                </c:pt>
                <c:pt idx="5042">
                  <c:v>211.30364458048462</c:v>
                </c:pt>
                <c:pt idx="5043">
                  <c:v>211.34143618837106</c:v>
                </c:pt>
                <c:pt idx="5044">
                  <c:v>211.37923455527783</c:v>
                </c:pt>
                <c:pt idx="5045">
                  <c:v>211.41703968241376</c:v>
                </c:pt>
                <c:pt idx="5046">
                  <c:v>211.45485157098796</c:v>
                </c:pt>
                <c:pt idx="5047">
                  <c:v>211.49267022220963</c:v>
                </c:pt>
                <c:pt idx="5048">
                  <c:v>211.53049563728831</c:v>
                </c:pt>
                <c:pt idx="5049">
                  <c:v>211.56832781743373</c:v>
                </c:pt>
                <c:pt idx="5050">
                  <c:v>211.60616676385564</c:v>
                </c:pt>
                <c:pt idx="5051">
                  <c:v>211.64401247776453</c:v>
                </c:pt>
                <c:pt idx="5052">
                  <c:v>211.68186496037058</c:v>
                </c:pt>
                <c:pt idx="5053">
                  <c:v>211.71972421288433</c:v>
                </c:pt>
                <c:pt idx="5054">
                  <c:v>211.75759023651668</c:v>
                </c:pt>
                <c:pt idx="5055">
                  <c:v>211.79546303247858</c:v>
                </c:pt>
                <c:pt idx="5056">
                  <c:v>211.83334260198123</c:v>
                </c:pt>
                <c:pt idx="5057">
                  <c:v>211.87122894623613</c:v>
                </c:pt>
                <c:pt idx="5058">
                  <c:v>211.90912206645493</c:v>
                </c:pt>
                <c:pt idx="5059">
                  <c:v>211.94702196384932</c:v>
                </c:pt>
                <c:pt idx="5060">
                  <c:v>211.98492863963176</c:v>
                </c:pt>
                <c:pt idx="5061">
                  <c:v>212.0228420950144</c:v>
                </c:pt>
                <c:pt idx="5062">
                  <c:v>212.0607623312097</c:v>
                </c:pt>
                <c:pt idx="5063">
                  <c:v>212.09868934943049</c:v>
                </c:pt>
                <c:pt idx="5064">
                  <c:v>212.1366231508897</c:v>
                </c:pt>
                <c:pt idx="5065">
                  <c:v>212.17456373680054</c:v>
                </c:pt>
                <c:pt idx="5066">
                  <c:v>212.21251110837636</c:v>
                </c:pt>
                <c:pt idx="5067">
                  <c:v>212.25046526683082</c:v>
                </c:pt>
                <c:pt idx="5068">
                  <c:v>212.28842621337753</c:v>
                </c:pt>
                <c:pt idx="5069">
                  <c:v>212.32639394923092</c:v>
                </c:pt>
                <c:pt idx="5070">
                  <c:v>212.36436847560503</c:v>
                </c:pt>
                <c:pt idx="5071">
                  <c:v>212.40234979371445</c:v>
                </c:pt>
                <c:pt idx="5072">
                  <c:v>212.44033790477377</c:v>
                </c:pt>
                <c:pt idx="5073">
                  <c:v>212.47833280999797</c:v>
                </c:pt>
                <c:pt idx="5074">
                  <c:v>212.51633451060218</c:v>
                </c:pt>
                <c:pt idx="5075">
                  <c:v>212.55434300780172</c:v>
                </c:pt>
                <c:pt idx="5076">
                  <c:v>212.59235830281219</c:v>
                </c:pt>
                <c:pt idx="5077">
                  <c:v>212.63038039684918</c:v>
                </c:pt>
                <c:pt idx="5078">
                  <c:v>212.66840929112908</c:v>
                </c:pt>
                <c:pt idx="5079">
                  <c:v>212.70644498686789</c:v>
                </c:pt>
                <c:pt idx="5080">
                  <c:v>212.74448748528209</c:v>
                </c:pt>
                <c:pt idx="5081">
                  <c:v>212.7825367875883</c:v>
                </c:pt>
                <c:pt idx="5082">
                  <c:v>212.82059289500344</c:v>
                </c:pt>
                <c:pt idx="5083">
                  <c:v>212.85865580874457</c:v>
                </c:pt>
                <c:pt idx="5084">
                  <c:v>212.89672553002899</c:v>
                </c:pt>
                <c:pt idx="5085">
                  <c:v>212.93480206007425</c:v>
                </c:pt>
                <c:pt idx="5086">
                  <c:v>212.97288540009791</c:v>
                </c:pt>
                <c:pt idx="5087">
                  <c:v>213.01097555131827</c:v>
                </c:pt>
                <c:pt idx="5088">
                  <c:v>213.04907251495337</c:v>
                </c:pt>
                <c:pt idx="5089">
                  <c:v>213.08717629222159</c:v>
                </c:pt>
                <c:pt idx="5090">
                  <c:v>213.12528688434156</c:v>
                </c:pt>
                <c:pt idx="5091">
                  <c:v>213.16340429253211</c:v>
                </c:pt>
                <c:pt idx="5092">
                  <c:v>213.20152851801225</c:v>
                </c:pt>
                <c:pt idx="5093">
                  <c:v>213.23965956200129</c:v>
                </c:pt>
                <c:pt idx="5094">
                  <c:v>213.27779742571875</c:v>
                </c:pt>
                <c:pt idx="5095">
                  <c:v>213.3159421103841</c:v>
                </c:pt>
                <c:pt idx="5096">
                  <c:v>213.35409361721764</c:v>
                </c:pt>
                <c:pt idx="5097">
                  <c:v>213.39225194743935</c:v>
                </c:pt>
                <c:pt idx="5098">
                  <c:v>213.43041710226959</c:v>
                </c:pt>
                <c:pt idx="5099">
                  <c:v>213.46858908292893</c:v>
                </c:pt>
                <c:pt idx="5100">
                  <c:v>213.50676789063814</c:v>
                </c:pt>
                <c:pt idx="5101">
                  <c:v>213.54495352661829</c:v>
                </c:pt>
                <c:pt idx="5102">
                  <c:v>213.58314599209058</c:v>
                </c:pt>
                <c:pt idx="5103">
                  <c:v>213.62134528827647</c:v>
                </c:pt>
                <c:pt idx="5104">
                  <c:v>213.65955141639748</c:v>
                </c:pt>
                <c:pt idx="5105">
                  <c:v>213.69776437767578</c:v>
                </c:pt>
                <c:pt idx="5106">
                  <c:v>213.73598417333341</c:v>
                </c:pt>
                <c:pt idx="5107">
                  <c:v>213.7742108045926</c:v>
                </c:pt>
                <c:pt idx="5108">
                  <c:v>213.81244427267598</c:v>
                </c:pt>
                <c:pt idx="5109">
                  <c:v>213.85068457880621</c:v>
                </c:pt>
                <c:pt idx="5110">
                  <c:v>213.88893172420637</c:v>
                </c:pt>
                <c:pt idx="5111">
                  <c:v>213.92718571009962</c:v>
                </c:pt>
                <c:pt idx="5112">
                  <c:v>213.9654465377094</c:v>
                </c:pt>
                <c:pt idx="5113">
                  <c:v>214.00371420825914</c:v>
                </c:pt>
                <c:pt idx="5114">
                  <c:v>214.04198872297306</c:v>
                </c:pt>
                <c:pt idx="5115">
                  <c:v>214.08027008307511</c:v>
                </c:pt>
                <c:pt idx="5116">
                  <c:v>214.11855828978952</c:v>
                </c:pt>
                <c:pt idx="5117">
                  <c:v>214.15685334434082</c:v>
                </c:pt>
                <c:pt idx="5118">
                  <c:v>214.19515524795378</c:v>
                </c:pt>
                <c:pt idx="5119">
                  <c:v>214.23346400185332</c:v>
                </c:pt>
                <c:pt idx="5120">
                  <c:v>214.27177960726462</c:v>
                </c:pt>
                <c:pt idx="5121">
                  <c:v>214.31010206541305</c:v>
                </c:pt>
                <c:pt idx="5122">
                  <c:v>214.34843137752412</c:v>
                </c:pt>
                <c:pt idx="5123">
                  <c:v>214.38676754482393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A-415B-90A8-02EEB87B0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691810"/>
        <c:axId val="1631582899"/>
      </c:lineChart>
      <c:dateAx>
        <c:axId val="1479691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\-mmm\-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K"/>
          </a:p>
        </c:txPr>
        <c:crossAx val="1631582899"/>
        <c:crosses val="autoZero"/>
        <c:auto val="1"/>
        <c:lblOffset val="100"/>
        <c:baseTimeUnit val="days"/>
      </c:dateAx>
      <c:valAx>
        <c:axId val="1631582899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K"/>
          </a:p>
        </c:txPr>
        <c:crossAx val="1479691810"/>
        <c:crosses val="autoZero"/>
        <c:crossBetween val="between"/>
        <c:majorUnit val="20"/>
        <c:minorUnit val="5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PK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PKR-exchange-rate-history-ful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305"/>
  <sheetViews>
    <sheetView tabSelected="1" workbookViewId="0">
      <pane ySplit="2" topLeftCell="A3" activePane="bottomLeft" state="frozen"/>
      <selection pane="bottomLeft" activeCell="E1" sqref="E1"/>
    </sheetView>
  </sheetViews>
  <sheetFormatPr defaultColWidth="14.44140625" defaultRowHeight="15" customHeight="1" x14ac:dyDescent="0.3"/>
  <cols>
    <col min="1" max="1" width="10.5546875" customWidth="1"/>
    <col min="2" max="2" width="9.33203125" customWidth="1"/>
    <col min="3" max="3" width="11.5546875" customWidth="1"/>
    <col min="4" max="4" width="9.33203125" customWidth="1"/>
    <col min="5" max="5" width="9.109375" customWidth="1"/>
    <col min="6" max="6" width="15" customWidth="1"/>
    <col min="7" max="7" width="25.88671875" customWidth="1"/>
    <col min="8" max="8" width="26.33203125" customWidth="1"/>
    <col min="9" max="9" width="9.109375" customWidth="1"/>
  </cols>
  <sheetData>
    <row r="1" spans="1:9" ht="14.25" customHeight="1" x14ac:dyDescent="0.3">
      <c r="C1" s="1">
        <v>6.7500000000000004E-2</v>
      </c>
      <c r="E1" s="2" t="s">
        <v>0</v>
      </c>
      <c r="F1" s="3"/>
      <c r="G1" s="3"/>
      <c r="H1" s="3"/>
      <c r="I1" s="3"/>
    </row>
    <row r="2" spans="1:9" ht="14.25" customHeight="1" x14ac:dyDescent="0.3">
      <c r="A2" s="4" t="s">
        <v>1</v>
      </c>
      <c r="B2" s="4" t="s">
        <v>2</v>
      </c>
      <c r="C2" s="5" t="str">
        <f>C1*100&amp;"% annual growth"</f>
        <v>6.75% annual growth</v>
      </c>
      <c r="D2" s="5" t="s">
        <v>3</v>
      </c>
      <c r="E2" s="5"/>
      <c r="F2" s="5"/>
      <c r="G2" s="5"/>
      <c r="H2" s="5"/>
      <c r="I2" s="5"/>
    </row>
    <row r="3" spans="1:9" ht="14.25" customHeight="1" x14ac:dyDescent="0.3">
      <c r="A3" s="6">
        <v>17168</v>
      </c>
      <c r="B3" s="7">
        <v>3.3085</v>
      </c>
      <c r="C3" s="8">
        <v>1.4</v>
      </c>
      <c r="D3" s="9">
        <f t="shared" ref="D3:D257" si="0">(A3-$A$3)/365.2524</f>
        <v>0</v>
      </c>
      <c r="E3" s="9"/>
      <c r="F3" s="9" t="str">
        <f ca="1">IFERROR(__xludf.DUMMYFUNCTION("IMPORTHTML(""https://www.exchangerates.org.uk/USD-PKR-exchange-rate-history-full.html"", ""table"", 1)"),"Table of 1 US Dollar to Pakistani Rupee Exchange Rate:")</f>
        <v>Table of 1 US Dollar to Pakistani Rupee Exchange Rate:</v>
      </c>
      <c r="G3" s="9"/>
      <c r="H3" s="9" t="str">
        <f ca="1">IFERROR(__xludf.DUMMYFUNCTION("""COMPUTED_VALUE"""),"*Updated: 12/01/24 04:50*")</f>
        <v>*Updated: 12/01/24 04:50*</v>
      </c>
      <c r="I3" s="9"/>
    </row>
    <row r="4" spans="1:9" ht="14.25" customHeight="1" x14ac:dyDescent="0.3">
      <c r="A4" s="6">
        <v>17533</v>
      </c>
      <c r="B4" s="7">
        <v>3.3085</v>
      </c>
      <c r="C4" s="8">
        <f>(1+$C$1)^D4*$C$3</f>
        <v>1.4944325433116403</v>
      </c>
      <c r="D4" s="9">
        <f t="shared" si="0"/>
        <v>0.99930897100197014</v>
      </c>
      <c r="E4" s="9"/>
      <c r="F4" s="9" t="str">
        <f ca="1">IFERROR(__xludf.DUMMYFUNCTION("""COMPUTED_VALUE"""),"Date")</f>
        <v>Date</v>
      </c>
      <c r="G4" s="9" t="str">
        <f ca="1">IFERROR(__xludf.DUMMYFUNCTION("""COMPUTED_VALUE"""),"US Dollar to Pakistani Rupee")</f>
        <v>US Dollar to Pakistani Rupee</v>
      </c>
      <c r="H4" s="9" t="str">
        <f ca="1">IFERROR(__xludf.DUMMYFUNCTION("""COMPUTED_VALUE"""),"Link")</f>
        <v>Link</v>
      </c>
      <c r="I4" s="9"/>
    </row>
    <row r="5" spans="1:9" ht="14.25" customHeight="1" x14ac:dyDescent="0.3">
      <c r="A5" s="6">
        <v>17899</v>
      </c>
      <c r="B5" s="7">
        <v>3.3085</v>
      </c>
      <c r="C5" s="8">
        <f t="shared" ref="C4:C258" si="1">(1+$C$1)^D5*$C$3</f>
        <v>1.5955200405831542</v>
      </c>
      <c r="D5" s="9">
        <f>(A5-$A$3)/365.2524</f>
        <v>2.0013557748012056</v>
      </c>
      <c r="E5" s="9"/>
      <c r="F5" s="9">
        <f ca="1">IFERROR(__xludf.DUMMYFUNCTION("""COMPUTED_VALUE"""),45302)</f>
        <v>45302</v>
      </c>
      <c r="G5" s="9" t="str">
        <f ca="1">IFERROR(__xludf.DUMMYFUNCTION("""COMPUTED_VALUE"""),"1 USD = 281.1625 PKR")</f>
        <v>1 USD = 281.1625 PKR</v>
      </c>
      <c r="H5" s="9" t="str">
        <f ca="1">IFERROR(__xludf.DUMMYFUNCTION("""COMPUTED_VALUE"""),"USD PKR rate for 11/01/2024")</f>
        <v>USD PKR rate for 11/01/2024</v>
      </c>
      <c r="I5" s="9"/>
    </row>
    <row r="6" spans="1:9" ht="14.25" customHeight="1" x14ac:dyDescent="0.3">
      <c r="A6" s="6">
        <v>18264</v>
      </c>
      <c r="B6" s="7">
        <v>3.3085</v>
      </c>
      <c r="C6" s="8">
        <f t="shared" si="1"/>
        <v>1.7031407658238393</v>
      </c>
      <c r="D6" s="9">
        <f t="shared" si="0"/>
        <v>3.0006647458031761</v>
      </c>
      <c r="E6" s="9"/>
      <c r="F6" s="9">
        <f ca="1">IFERROR(__xludf.DUMMYFUNCTION("""COMPUTED_VALUE"""),45301)</f>
        <v>45301</v>
      </c>
      <c r="G6" s="9" t="str">
        <f ca="1">IFERROR(__xludf.DUMMYFUNCTION("""COMPUTED_VALUE"""),"1 USD = 281.2472 PKR")</f>
        <v>1 USD = 281.2472 PKR</v>
      </c>
      <c r="H6" s="9" t="str">
        <f ca="1">IFERROR(__xludf.DUMMYFUNCTION("""COMPUTED_VALUE"""),"USD PKR rate for 10/01/2024")</f>
        <v>USD PKR rate for 10/01/2024</v>
      </c>
      <c r="I6" s="9"/>
    </row>
    <row r="7" spans="1:9" ht="14.25" customHeight="1" x14ac:dyDescent="0.3">
      <c r="A7" s="6">
        <v>18629</v>
      </c>
      <c r="B7" s="7">
        <v>3.3085</v>
      </c>
      <c r="C7" s="8">
        <f t="shared" si="1"/>
        <v>1.8180207044913246</v>
      </c>
      <c r="D7" s="9">
        <f t="shared" si="0"/>
        <v>3.9999737168051461</v>
      </c>
      <c r="E7" s="9"/>
      <c r="F7" s="9">
        <f ca="1">IFERROR(__xludf.DUMMYFUNCTION("""COMPUTED_VALUE"""),45300)</f>
        <v>45300</v>
      </c>
      <c r="G7" s="9" t="str">
        <f ca="1">IFERROR(__xludf.DUMMYFUNCTION("""COMPUTED_VALUE"""),"1 USD = 281.2137 PKR")</f>
        <v>1 USD = 281.2137 PKR</v>
      </c>
      <c r="H7" s="9" t="str">
        <f ca="1">IFERROR(__xludf.DUMMYFUNCTION("""COMPUTED_VALUE"""),"USD PKR rate for 09/01/2024")</f>
        <v>USD PKR rate for 09/01/2024</v>
      </c>
      <c r="I7" s="9"/>
    </row>
    <row r="8" spans="1:9" ht="14.25" customHeight="1" x14ac:dyDescent="0.3">
      <c r="A8" s="6">
        <v>18994</v>
      </c>
      <c r="B8" s="7">
        <v>3.3085</v>
      </c>
      <c r="C8" s="8">
        <f t="shared" si="1"/>
        <v>1.9406495037187073</v>
      </c>
      <c r="D8" s="9">
        <f t="shared" si="0"/>
        <v>4.9992826878071162</v>
      </c>
      <c r="E8" s="9"/>
      <c r="F8" s="9">
        <f ca="1">IFERROR(__xludf.DUMMYFUNCTION("""COMPUTED_VALUE"""),45299)</f>
        <v>45299</v>
      </c>
      <c r="G8" s="9" t="str">
        <f ca="1">IFERROR(__xludf.DUMMYFUNCTION("""COMPUTED_VALUE"""),"1 USD = 281.2023 PKR")</f>
        <v>1 USD = 281.2023 PKR</v>
      </c>
      <c r="H8" s="9" t="str">
        <f ca="1">IFERROR(__xludf.DUMMYFUNCTION("""COMPUTED_VALUE"""),"USD PKR rate for 08/01/2024")</f>
        <v>USD PKR rate for 08/01/2024</v>
      </c>
      <c r="I8" s="9"/>
    </row>
    <row r="9" spans="1:9" ht="14.25" customHeight="1" x14ac:dyDescent="0.3">
      <c r="A9" s="6">
        <v>19360</v>
      </c>
      <c r="B9" s="7">
        <v>3.3085</v>
      </c>
      <c r="C9" s="8">
        <f t="shared" si="1"/>
        <v>2.0719203344364381</v>
      </c>
      <c r="D9" s="9">
        <f t="shared" si="0"/>
        <v>6.0013294916063522</v>
      </c>
      <c r="E9" s="9"/>
      <c r="F9" s="9">
        <f ca="1">IFERROR(__xludf.DUMMYFUNCTION("""COMPUTED_VALUE"""),45298)</f>
        <v>45298</v>
      </c>
      <c r="G9" s="9" t="str">
        <f ca="1">IFERROR(__xludf.DUMMYFUNCTION("""COMPUTED_VALUE"""),"1 USD = 277.1617 PKR")</f>
        <v>1 USD = 277.1617 PKR</v>
      </c>
      <c r="H9" s="9" t="str">
        <f ca="1">IFERROR(__xludf.DUMMYFUNCTION("""COMPUTED_VALUE"""),"USD PKR rate for 07/01/2024")</f>
        <v>USD PKR rate for 07/01/2024</v>
      </c>
      <c r="I9" s="9"/>
    </row>
    <row r="10" spans="1:9" ht="14.25" customHeight="1" x14ac:dyDescent="0.3">
      <c r="A10" s="6">
        <v>19725</v>
      </c>
      <c r="B10" s="7">
        <v>3.3085</v>
      </c>
      <c r="C10" s="8">
        <f t="shared" si="1"/>
        <v>2.2116751249506792</v>
      </c>
      <c r="D10" s="9">
        <f t="shared" si="0"/>
        <v>7.0006384626083218</v>
      </c>
      <c r="E10" s="9"/>
      <c r="F10" s="9">
        <f ca="1">IFERROR(__xludf.DUMMYFUNCTION("""COMPUTED_VALUE"""),45297)</f>
        <v>45297</v>
      </c>
      <c r="G10" s="9" t="str">
        <f ca="1">IFERROR(__xludf.DUMMYFUNCTION("""COMPUTED_VALUE"""),"1 USD = 281.4999 PKR")</f>
        <v>1 USD = 281.4999 PKR</v>
      </c>
      <c r="H10" s="9" t="str">
        <f ca="1">IFERROR(__xludf.DUMMYFUNCTION("""COMPUTED_VALUE"""),"USD PKR rate for 06/01/2024")</f>
        <v>USD PKR rate for 06/01/2024</v>
      </c>
      <c r="I10" s="9"/>
    </row>
    <row r="11" spans="1:9" ht="14.25" customHeight="1" x14ac:dyDescent="0.3">
      <c r="A11" s="6">
        <v>20090</v>
      </c>
      <c r="B11" s="7">
        <v>3.3085</v>
      </c>
      <c r="C11" s="8">
        <f t="shared" si="1"/>
        <v>2.3608566299708094</v>
      </c>
      <c r="D11" s="9">
        <f t="shared" si="0"/>
        <v>7.9999474336102923</v>
      </c>
      <c r="E11" s="9"/>
      <c r="F11" s="9">
        <f ca="1">IFERROR(__xludf.DUMMYFUNCTION("""COMPUTED_VALUE"""),45296)</f>
        <v>45296</v>
      </c>
      <c r="G11" s="9" t="str">
        <f ca="1">IFERROR(__xludf.DUMMYFUNCTION("""COMPUTED_VALUE"""),"1 USD = 281.4999 PKR")</f>
        <v>1 USD = 281.4999 PKR</v>
      </c>
      <c r="H11" s="9" t="str">
        <f ca="1">IFERROR(__xludf.DUMMYFUNCTION("""COMPUTED_VALUE"""),"USD PKR rate for 05/01/2024")</f>
        <v>USD PKR rate for 05/01/2024</v>
      </c>
      <c r="I11" s="9"/>
    </row>
    <row r="12" spans="1:9" ht="14.25" customHeight="1" x14ac:dyDescent="0.3">
      <c r="A12" s="6">
        <v>20270</v>
      </c>
      <c r="B12" s="7">
        <v>3.3085</v>
      </c>
      <c r="C12" s="8">
        <f t="shared" si="1"/>
        <v>2.4380891854140452</v>
      </c>
      <c r="D12" s="9">
        <f t="shared" si="0"/>
        <v>8.4927573371181122</v>
      </c>
      <c r="E12" s="9"/>
      <c r="F12" s="9">
        <f ca="1">IFERROR(__xludf.DUMMYFUNCTION("""COMPUTED_VALUE"""),45295)</f>
        <v>45295</v>
      </c>
      <c r="G12" s="9" t="str">
        <f ca="1">IFERROR(__xludf.DUMMYFUNCTION("""COMPUTED_VALUE"""),"1 USD = 281.7123 PKR")</f>
        <v>1 USD = 281.7123 PKR</v>
      </c>
      <c r="H12" s="9" t="str">
        <f ca="1">IFERROR(__xludf.DUMMYFUNCTION("""COMPUTED_VALUE"""),"USD PKR rate for 04/01/2024")</f>
        <v>USD PKR rate for 04/01/2024</v>
      </c>
      <c r="I12" s="9"/>
    </row>
    <row r="13" spans="1:9" ht="14.25" customHeight="1" x14ac:dyDescent="0.3">
      <c r="A13" s="6">
        <v>20271</v>
      </c>
      <c r="B13" s="7">
        <v>4.7697000000000012</v>
      </c>
      <c r="C13" s="8">
        <f t="shared" si="1"/>
        <v>2.4385252371000927</v>
      </c>
      <c r="D13" s="9">
        <f t="shared" si="0"/>
        <v>8.4954951699153778</v>
      </c>
      <c r="E13" s="9"/>
      <c r="F13" s="9">
        <f ca="1">IFERROR(__xludf.DUMMYFUNCTION("""COMPUTED_VALUE"""),45294)</f>
        <v>45294</v>
      </c>
      <c r="G13" s="9" t="str">
        <f ca="1">IFERROR(__xludf.DUMMYFUNCTION("""COMPUTED_VALUE"""),"1 USD = 281.8319 PKR")</f>
        <v>1 USD = 281.8319 PKR</v>
      </c>
      <c r="H13" s="9" t="str">
        <f ca="1">IFERROR(__xludf.DUMMYFUNCTION("""COMPUTED_VALUE"""),"USD PKR rate for 03/01/2024")</f>
        <v>USD PKR rate for 03/01/2024</v>
      </c>
      <c r="I13" s="9"/>
    </row>
    <row r="14" spans="1:9" ht="14.25" customHeight="1" x14ac:dyDescent="0.3">
      <c r="A14" s="6">
        <v>20455</v>
      </c>
      <c r="B14" s="7">
        <v>4.7697000000000012</v>
      </c>
      <c r="C14" s="8">
        <f t="shared" si="1"/>
        <v>2.5201006985153036</v>
      </c>
      <c r="D14" s="9">
        <f t="shared" si="0"/>
        <v>8.9992564046122627</v>
      </c>
      <c r="E14" s="9"/>
      <c r="F14" s="9">
        <f ca="1">IFERROR(__xludf.DUMMYFUNCTION("""COMPUTED_VALUE"""),45293)</f>
        <v>45293</v>
      </c>
      <c r="G14" s="9" t="str">
        <f ca="1">IFERROR(__xludf.DUMMYFUNCTION("""COMPUTED_VALUE"""),"1 USD = 281.9502 PKR")</f>
        <v>1 USD = 281.9502 PKR</v>
      </c>
      <c r="H14" s="9" t="str">
        <f ca="1">IFERROR(__xludf.DUMMYFUNCTION("""COMPUTED_VALUE"""),"USD PKR rate for 02/01/2024")</f>
        <v>USD PKR rate for 02/01/2024</v>
      </c>
      <c r="I14" s="9"/>
    </row>
    <row r="15" spans="1:9" ht="14.25" customHeight="1" x14ac:dyDescent="0.3">
      <c r="A15" s="6">
        <v>20821</v>
      </c>
      <c r="B15" s="7">
        <v>4.7697000000000012</v>
      </c>
      <c r="C15" s="8">
        <f t="shared" si="1"/>
        <v>2.6905671900443102</v>
      </c>
      <c r="D15" s="9">
        <f t="shared" si="0"/>
        <v>10.001303208411498</v>
      </c>
      <c r="E15" s="9"/>
      <c r="F15" s="9">
        <f ca="1">IFERROR(__xludf.DUMMYFUNCTION("""COMPUTED_VALUE"""),45292)</f>
        <v>45292</v>
      </c>
      <c r="G15" s="9" t="str">
        <f ca="1">IFERROR(__xludf.DUMMYFUNCTION("""COMPUTED_VALUE"""),"1 USD = 278.9918 PKR")</f>
        <v>1 USD = 278.9918 PKR</v>
      </c>
      <c r="H15" s="9" t="str">
        <f ca="1">IFERROR(__xludf.DUMMYFUNCTION("""COMPUTED_VALUE"""),"USD PKR rate for 01/01/2024")</f>
        <v>USD PKR rate for 01/01/2024</v>
      </c>
      <c r="I15" s="9"/>
    </row>
    <row r="16" spans="1:9" ht="14.25" customHeight="1" x14ac:dyDescent="0.3">
      <c r="A16" s="6">
        <v>21186</v>
      </c>
      <c r="B16" s="7">
        <v>4.7697000000000012</v>
      </c>
      <c r="C16" s="8">
        <f t="shared" si="1"/>
        <v>2.8720508348348375</v>
      </c>
      <c r="D16" s="9">
        <f t="shared" si="0"/>
        <v>11.000612179413467</v>
      </c>
      <c r="E16" s="9"/>
      <c r="F16" s="9">
        <f ca="1">IFERROR(__xludf.DUMMYFUNCTION("""COMPUTED_VALUE"""),45291)</f>
        <v>45291</v>
      </c>
      <c r="G16" s="9" t="str">
        <f ca="1">IFERROR(__xludf.DUMMYFUNCTION("""COMPUTED_VALUE"""),"1 USD = 279.3827 PKR")</f>
        <v>1 USD = 279.3827 PKR</v>
      </c>
      <c r="H16" s="9" t="str">
        <f ca="1">IFERROR(__xludf.DUMMYFUNCTION("""COMPUTED_VALUE"""),"USD PKR rate for 31/12/2023")</f>
        <v>USD PKR rate for 31/12/2023</v>
      </c>
      <c r="I16" s="9"/>
    </row>
    <row r="17" spans="1:9" ht="14.25" customHeight="1" x14ac:dyDescent="0.3">
      <c r="A17" s="6">
        <v>21551</v>
      </c>
      <c r="B17" s="7">
        <v>4.7697000000000012</v>
      </c>
      <c r="C17" s="8">
        <f t="shared" si="1"/>
        <v>3.0657758811589617</v>
      </c>
      <c r="D17" s="9">
        <f t="shared" si="0"/>
        <v>11.999921150415439</v>
      </c>
      <c r="E17" s="9"/>
      <c r="F17" s="9">
        <f ca="1">IFERROR(__xludf.DUMMYFUNCTION("""COMPUTED_VALUE"""),45290)</f>
        <v>45290</v>
      </c>
      <c r="G17" s="9" t="str">
        <f ca="1">IFERROR(__xludf.DUMMYFUNCTION("""COMPUTED_VALUE"""),"1 USD = 278.7285 PKR")</f>
        <v>1 USD = 278.7285 PKR</v>
      </c>
      <c r="H17" s="9" t="str">
        <f ca="1">IFERROR(__xludf.DUMMYFUNCTION("""COMPUTED_VALUE"""),"USD PKR rate for 30/12/2023")</f>
        <v>USD PKR rate for 30/12/2023</v>
      </c>
      <c r="I17" s="9"/>
    </row>
    <row r="18" spans="1:9" ht="14.25" customHeight="1" x14ac:dyDescent="0.3">
      <c r="A18" s="6">
        <v>21916</v>
      </c>
      <c r="B18" s="7">
        <v>4.7697000000000012</v>
      </c>
      <c r="C18" s="8">
        <f t="shared" si="1"/>
        <v>3.2725680337884797</v>
      </c>
      <c r="D18" s="9">
        <f t="shared" si="0"/>
        <v>12.999230121417408</v>
      </c>
      <c r="E18" s="9"/>
      <c r="F18" s="9">
        <f ca="1">IFERROR(__xludf.DUMMYFUNCTION("""COMPUTED_VALUE"""),45289)</f>
        <v>45289</v>
      </c>
      <c r="G18" s="9" t="str">
        <f ca="1">IFERROR(__xludf.DUMMYFUNCTION("""COMPUTED_VALUE"""),"1 USD = 278.1958 PKR")</f>
        <v>1 USD = 278.1958 PKR</v>
      </c>
      <c r="H18" s="9" t="str">
        <f ca="1">IFERROR(__xludf.DUMMYFUNCTION("""COMPUTED_VALUE"""),"USD PKR rate for 29/12/2023")</f>
        <v>USD PKR rate for 29/12/2023</v>
      </c>
      <c r="I18" s="9"/>
    </row>
    <row r="19" spans="1:9" ht="14.25" customHeight="1" x14ac:dyDescent="0.3">
      <c r="A19" s="6">
        <v>22282</v>
      </c>
      <c r="B19" s="7">
        <v>4.7697000000000012</v>
      </c>
      <c r="C19" s="8">
        <f t="shared" si="1"/>
        <v>3.4939334702325726</v>
      </c>
      <c r="D19" s="9">
        <f t="shared" si="0"/>
        <v>14.001276925216644</v>
      </c>
      <c r="E19" s="9"/>
      <c r="F19" s="9">
        <f ca="1">IFERROR(__xludf.DUMMYFUNCTION("""COMPUTED_VALUE"""),45288)</f>
        <v>45288</v>
      </c>
      <c r="G19" s="9" t="str">
        <f ca="1">IFERROR(__xludf.DUMMYFUNCTION("""COMPUTED_VALUE"""),"1 USD = 281.9923 PKR")</f>
        <v>1 USD = 281.9923 PKR</v>
      </c>
      <c r="H19" s="9" t="str">
        <f ca="1">IFERROR(__xludf.DUMMYFUNCTION("""COMPUTED_VALUE"""),"USD PKR rate for 28/12/2023")</f>
        <v>USD PKR rate for 28/12/2023</v>
      </c>
      <c r="I19" s="9"/>
    </row>
    <row r="20" spans="1:9" ht="14.25" customHeight="1" x14ac:dyDescent="0.3">
      <c r="A20" s="6">
        <v>22647</v>
      </c>
      <c r="B20" s="7">
        <v>4.7697000000000012</v>
      </c>
      <c r="C20" s="8">
        <f t="shared" si="1"/>
        <v>3.7296056300580922</v>
      </c>
      <c r="D20" s="9">
        <f t="shared" si="0"/>
        <v>15.000585896218613</v>
      </c>
      <c r="E20" s="9"/>
      <c r="F20" s="9">
        <f ca="1">IFERROR(__xludf.DUMMYFUNCTION("""COMPUTED_VALUE"""),45287)</f>
        <v>45287</v>
      </c>
      <c r="G20" s="9" t="str">
        <f ca="1">IFERROR(__xludf.DUMMYFUNCTION("""COMPUTED_VALUE"""),"1 USD = 281.9911 PKR")</f>
        <v>1 USD = 281.9911 PKR</v>
      </c>
      <c r="H20" s="9" t="str">
        <f ca="1">IFERROR(__xludf.DUMMYFUNCTION("""COMPUTED_VALUE"""),"USD PKR rate for 27/12/2023")</f>
        <v>USD PKR rate for 27/12/2023</v>
      </c>
      <c r="I20" s="9"/>
    </row>
    <row r="21" spans="1:9" ht="14.25" customHeight="1" x14ac:dyDescent="0.3">
      <c r="A21" s="6">
        <v>23012</v>
      </c>
      <c r="B21" s="7">
        <v>4.7697000000000012</v>
      </c>
      <c r="C21" s="8">
        <f t="shared" si="1"/>
        <v>3.981174305197948</v>
      </c>
      <c r="D21" s="9">
        <f t="shared" si="0"/>
        <v>15.999894867220585</v>
      </c>
      <c r="E21" s="9"/>
      <c r="F21" s="9">
        <f ca="1">IFERROR(__xludf.DUMMYFUNCTION("""COMPUTED_VALUE"""),45286)</f>
        <v>45286</v>
      </c>
      <c r="G21" s="9" t="str">
        <f ca="1">IFERROR(__xludf.DUMMYFUNCTION("""COMPUTED_VALUE"""),"1 USD = 282.5044 PKR")</f>
        <v>1 USD = 282.5044 PKR</v>
      </c>
      <c r="H21" s="9" t="str">
        <f ca="1">IFERROR(__xludf.DUMMYFUNCTION("""COMPUTED_VALUE"""),"USD PKR rate for 26/12/2023")</f>
        <v>USD PKR rate for 26/12/2023</v>
      </c>
      <c r="I21" s="9"/>
    </row>
    <row r="22" spans="1:9" ht="14.25" customHeight="1" x14ac:dyDescent="0.3">
      <c r="A22" s="6">
        <v>23377</v>
      </c>
      <c r="B22" s="7">
        <v>4.7697000000000012</v>
      </c>
      <c r="C22" s="8">
        <f t="shared" si="1"/>
        <v>4.2497117444885149</v>
      </c>
      <c r="D22" s="9">
        <f t="shared" si="0"/>
        <v>16.999203838222552</v>
      </c>
      <c r="E22" s="9"/>
      <c r="F22" s="9">
        <f ca="1">IFERROR(__xludf.DUMMYFUNCTION("""COMPUTED_VALUE"""),45285)</f>
        <v>45285</v>
      </c>
      <c r="G22" s="9" t="str">
        <f ca="1">IFERROR(__xludf.DUMMYFUNCTION("""COMPUTED_VALUE"""),"1 USD = 279.5183 PKR")</f>
        <v>1 USD = 279.5183 PKR</v>
      </c>
      <c r="H22" s="9" t="str">
        <f ca="1">IFERROR(__xludf.DUMMYFUNCTION("""COMPUTED_VALUE"""),"USD PKR rate for 25/12/2023")</f>
        <v>USD PKR rate for 25/12/2023</v>
      </c>
      <c r="I22" s="9"/>
    </row>
    <row r="23" spans="1:9" ht="14.25" customHeight="1" x14ac:dyDescent="0.3">
      <c r="A23" s="6">
        <v>23743</v>
      </c>
      <c r="B23" s="7">
        <v>4.7697000000000012</v>
      </c>
      <c r="C23" s="8">
        <f t="shared" si="1"/>
        <v>4.5371738492843159</v>
      </c>
      <c r="D23" s="9">
        <f t="shared" si="0"/>
        <v>18.001250642021791</v>
      </c>
      <c r="E23" s="9"/>
      <c r="F23" s="9">
        <f ca="1">IFERROR(__xludf.DUMMYFUNCTION("""COMPUTED_VALUE"""),45284)</f>
        <v>45284</v>
      </c>
      <c r="G23" s="9" t="str">
        <f ca="1">IFERROR(__xludf.DUMMYFUNCTION("""COMPUTED_VALUE"""),"1 USD = 279.3161 PKR")</f>
        <v>1 USD = 279.3161 PKR</v>
      </c>
      <c r="H23" s="9" t="str">
        <f ca="1">IFERROR(__xludf.DUMMYFUNCTION("""COMPUTED_VALUE"""),"USD PKR rate for 24/12/2023")</f>
        <v>USD PKR rate for 24/12/2023</v>
      </c>
      <c r="I23" s="9"/>
    </row>
    <row r="24" spans="1:9" ht="14.25" customHeight="1" x14ac:dyDescent="0.3">
      <c r="A24" s="6">
        <v>24108</v>
      </c>
      <c r="B24" s="7">
        <v>4.7697000000000012</v>
      </c>
      <c r="C24" s="8">
        <f t="shared" si="1"/>
        <v>4.8432144678807321</v>
      </c>
      <c r="D24" s="9">
        <f t="shared" si="0"/>
        <v>19.000559613023761</v>
      </c>
      <c r="E24" s="9"/>
      <c r="F24" s="9">
        <f ca="1">IFERROR(__xludf.DUMMYFUNCTION("""COMPUTED_VALUE"""),45283)</f>
        <v>45283</v>
      </c>
      <c r="G24" s="9" t="str">
        <f ca="1">IFERROR(__xludf.DUMMYFUNCTION("""COMPUTED_VALUE"""),"1 USD = 278.9556 PKR")</f>
        <v>1 USD = 278.9556 PKR</v>
      </c>
      <c r="H24" s="9" t="str">
        <f ca="1">IFERROR(__xludf.DUMMYFUNCTION("""COMPUTED_VALUE"""),"USD PKR rate for 23/12/2023")</f>
        <v>USD PKR rate for 23/12/2023</v>
      </c>
      <c r="I24" s="9"/>
    </row>
    <row r="25" spans="1:9" ht="14.25" customHeight="1" x14ac:dyDescent="0.3">
      <c r="A25" s="6">
        <v>24473</v>
      </c>
      <c r="B25" s="7">
        <v>4.7697000000000012</v>
      </c>
      <c r="C25" s="8">
        <f t="shared" si="1"/>
        <v>5.1698980821705245</v>
      </c>
      <c r="D25" s="9">
        <f t="shared" si="0"/>
        <v>19.99986858402573</v>
      </c>
      <c r="E25" s="9"/>
      <c r="F25" s="9">
        <f ca="1">IFERROR(__xludf.DUMMYFUNCTION("""COMPUTED_VALUE"""),45282)</f>
        <v>45282</v>
      </c>
      <c r="G25" s="9" t="str">
        <f ca="1">IFERROR(__xludf.DUMMYFUNCTION("""COMPUTED_VALUE"""),"1 USD = 279.285 PKR")</f>
        <v>1 USD = 279.285 PKR</v>
      </c>
      <c r="H25" s="9" t="str">
        <f ca="1">IFERROR(__xludf.DUMMYFUNCTION("""COMPUTED_VALUE"""),"USD PKR rate for 22/12/2023")</f>
        <v>USD PKR rate for 22/12/2023</v>
      </c>
      <c r="I25" s="9"/>
    </row>
    <row r="26" spans="1:9" ht="14.25" customHeight="1" x14ac:dyDescent="0.3">
      <c r="A26" s="6">
        <v>24838</v>
      </c>
      <c r="B26" s="7">
        <v>4.7697000000000012</v>
      </c>
      <c r="C26" s="8">
        <f t="shared" si="1"/>
        <v>5.5186170997143336</v>
      </c>
      <c r="D26" s="9">
        <f t="shared" si="0"/>
        <v>20.9991775550277</v>
      </c>
      <c r="E26" s="9"/>
      <c r="F26" s="9">
        <f ca="1">IFERROR(__xludf.DUMMYFUNCTION("""COMPUTED_VALUE"""),45281)</f>
        <v>45281</v>
      </c>
      <c r="G26" s="9" t="str">
        <f ca="1">IFERROR(__xludf.DUMMYFUNCTION("""COMPUTED_VALUE"""),"1 USD = 282.9652 PKR")</f>
        <v>1 USD = 282.9652 PKR</v>
      </c>
      <c r="H26" s="9" t="str">
        <f ca="1">IFERROR(__xludf.DUMMYFUNCTION("""COMPUTED_VALUE"""),"USD PKR rate for 21/12/2023")</f>
        <v>USD PKR rate for 21/12/2023</v>
      </c>
      <c r="I26" s="9"/>
    </row>
    <row r="27" spans="1:9" ht="14.25" customHeight="1" x14ac:dyDescent="0.3">
      <c r="A27" s="6">
        <v>25204</v>
      </c>
      <c r="B27" s="7">
        <v>4.7697000000000012</v>
      </c>
      <c r="C27" s="8">
        <f t="shared" si="1"/>
        <v>5.8919114270539188</v>
      </c>
      <c r="D27" s="9">
        <f t="shared" si="0"/>
        <v>22.001224358826935</v>
      </c>
      <c r="E27" s="9"/>
      <c r="F27" s="9">
        <f ca="1">IFERROR(__xludf.DUMMYFUNCTION("""COMPUTED_VALUE"""),45280)</f>
        <v>45280</v>
      </c>
      <c r="G27" s="9" t="str">
        <f ca="1">IFERROR(__xludf.DUMMYFUNCTION("""COMPUTED_VALUE"""),"1 USD = 282.7388 PKR")</f>
        <v>1 USD = 282.7388 PKR</v>
      </c>
      <c r="H27" s="9" t="str">
        <f ca="1">IFERROR(__xludf.DUMMYFUNCTION("""COMPUTED_VALUE"""),"USD PKR rate for 20/12/2023")</f>
        <v>USD PKR rate for 20/12/2023</v>
      </c>
      <c r="I27" s="9"/>
    </row>
    <row r="28" spans="1:9" ht="14.25" customHeight="1" x14ac:dyDescent="0.3">
      <c r="A28" s="6">
        <v>25569</v>
      </c>
      <c r="B28" s="7">
        <v>4.7697000000000012</v>
      </c>
      <c r="C28" s="8">
        <f t="shared" si="1"/>
        <v>6.2893315563565029</v>
      </c>
      <c r="D28" s="9">
        <f t="shared" si="0"/>
        <v>23.000533329828905</v>
      </c>
      <c r="E28" s="9"/>
      <c r="F28" s="9">
        <f ca="1">IFERROR(__xludf.DUMMYFUNCTION("""COMPUTED_VALUE"""),45279)</f>
        <v>45279</v>
      </c>
      <c r="G28" s="9" t="str">
        <f ca="1">IFERROR(__xludf.DUMMYFUNCTION("""COMPUTED_VALUE"""),"1 USD = 280.7275 PKR")</f>
        <v>1 USD = 280.7275 PKR</v>
      </c>
      <c r="H28" s="9" t="str">
        <f ca="1">IFERROR(__xludf.DUMMYFUNCTION("""COMPUTED_VALUE"""),"USD PKR rate for 19/12/2023")</f>
        <v>USD PKR rate for 19/12/2023</v>
      </c>
      <c r="I28" s="9"/>
    </row>
    <row r="29" spans="1:9" ht="14.25" customHeight="1" x14ac:dyDescent="0.3">
      <c r="A29" s="6">
        <v>25934</v>
      </c>
      <c r="B29" s="7">
        <v>4.7697000000000012</v>
      </c>
      <c r="C29" s="8">
        <f t="shared" si="1"/>
        <v>6.7135583953542906</v>
      </c>
      <c r="D29" s="9">
        <f t="shared" si="0"/>
        <v>23.999842300830878</v>
      </c>
      <c r="E29" s="9"/>
      <c r="F29" s="9">
        <f ca="1">IFERROR(__xludf.DUMMYFUNCTION("""COMPUTED_VALUE"""),45278)</f>
        <v>45278</v>
      </c>
      <c r="G29" s="9" t="str">
        <f ca="1">IFERROR(__xludf.DUMMYFUNCTION("""COMPUTED_VALUE"""),"1 USD = 279.7252 PKR")</f>
        <v>1 USD = 279.7252 PKR</v>
      </c>
      <c r="H29" s="9" t="str">
        <f ca="1">IFERROR(__xludf.DUMMYFUNCTION("""COMPUTED_VALUE"""),"USD PKR rate for 18/12/2023")</f>
        <v>USD PKR rate for 18/12/2023</v>
      </c>
      <c r="I29" s="9"/>
    </row>
    <row r="30" spans="1:9" ht="14.25" customHeight="1" x14ac:dyDescent="0.3">
      <c r="A30" s="6">
        <v>26299</v>
      </c>
      <c r="B30" s="7">
        <v>4.7697000000000012</v>
      </c>
      <c r="C30" s="8">
        <f t="shared" si="1"/>
        <v>7.1664001053146622</v>
      </c>
      <c r="D30" s="9">
        <f t="shared" si="0"/>
        <v>24.999151271832847</v>
      </c>
      <c r="E30" s="9"/>
      <c r="F30" s="9">
        <f ca="1">IFERROR(__xludf.DUMMYFUNCTION("""COMPUTED_VALUE"""),45277)</f>
        <v>45277</v>
      </c>
      <c r="G30" s="9" t="str">
        <f ca="1">IFERROR(__xludf.DUMMYFUNCTION("""COMPUTED_VALUE"""),"1 USD = 281.6946 PKR")</f>
        <v>1 USD = 281.6946 PKR</v>
      </c>
      <c r="H30" s="9" t="str">
        <f ca="1">IFERROR(__xludf.DUMMYFUNCTION("""COMPUTED_VALUE"""),"USD PKR rate for 17/12/2023")</f>
        <v>USD PKR rate for 17/12/2023</v>
      </c>
      <c r="I30" s="9"/>
    </row>
    <row r="31" spans="1:9" ht="14.25" customHeight="1" x14ac:dyDescent="0.3">
      <c r="A31" s="6">
        <v>26420</v>
      </c>
      <c r="B31" s="7">
        <v>11.0078</v>
      </c>
      <c r="C31" s="8">
        <f t="shared" si="1"/>
        <v>7.3231629975992725</v>
      </c>
      <c r="D31" s="9">
        <f t="shared" si="0"/>
        <v>25.330429040301993</v>
      </c>
      <c r="E31" s="9"/>
      <c r="F31" s="9">
        <f ca="1">IFERROR(__xludf.DUMMYFUNCTION("""COMPUTED_VALUE"""),45276)</f>
        <v>45276</v>
      </c>
      <c r="G31" s="9" t="str">
        <f ca="1">IFERROR(__xludf.DUMMYFUNCTION("""COMPUTED_VALUE"""),"1 USD = 281.3133 PKR")</f>
        <v>1 USD = 281.3133 PKR</v>
      </c>
      <c r="H31" s="9" t="str">
        <f ca="1">IFERROR(__xludf.DUMMYFUNCTION("""COMPUTED_VALUE"""),"USD PKR rate for 16/12/2023")</f>
        <v>USD PKR rate for 16/12/2023</v>
      </c>
      <c r="I31" s="9"/>
    </row>
    <row r="32" spans="1:9" ht="14.25" customHeight="1" x14ac:dyDescent="0.3">
      <c r="A32" s="6">
        <v>26665</v>
      </c>
      <c r="B32" s="7">
        <v>9.9077999999999999</v>
      </c>
      <c r="C32" s="8">
        <f t="shared" si="1"/>
        <v>7.6511549738664666</v>
      </c>
      <c r="D32" s="9">
        <f t="shared" si="0"/>
        <v>26.001198075632082</v>
      </c>
      <c r="E32" s="9"/>
      <c r="F32" s="9">
        <f ca="1">IFERROR(__xludf.DUMMYFUNCTION("""COMPUTED_VALUE"""),45275)</f>
        <v>45275</v>
      </c>
      <c r="G32" s="9" t="str">
        <f ca="1">IFERROR(__xludf.DUMMYFUNCTION("""COMPUTED_VALUE"""),"1 USD = 283.526 PKR")</f>
        <v>1 USD = 283.526 PKR</v>
      </c>
      <c r="H32" s="9" t="str">
        <f ca="1">IFERROR(__xludf.DUMMYFUNCTION("""COMPUTED_VALUE"""),"USD PKR rate for 15/12/2023")</f>
        <v>USD PKR rate for 15/12/2023</v>
      </c>
      <c r="I32" s="9"/>
    </row>
    <row r="33" spans="1:9" ht="14.25" customHeight="1" x14ac:dyDescent="0.3">
      <c r="A33" s="6">
        <v>27030</v>
      </c>
      <c r="B33" s="7">
        <v>9.9077999999999999</v>
      </c>
      <c r="C33" s="8">
        <f t="shared" si="1"/>
        <v>8.1672392763334081</v>
      </c>
      <c r="D33" s="9">
        <f t="shared" si="0"/>
        <v>27.000507046634052</v>
      </c>
      <c r="E33" s="9"/>
      <c r="F33" s="9">
        <f ca="1">IFERROR(__xludf.DUMMYFUNCTION("""COMPUTED_VALUE"""),45274)</f>
        <v>45274</v>
      </c>
      <c r="G33" s="9" t="str">
        <f ca="1">IFERROR(__xludf.DUMMYFUNCTION("""COMPUTED_VALUE"""),"1 USD = 283.497 PKR")</f>
        <v>1 USD = 283.497 PKR</v>
      </c>
      <c r="H33" s="9" t="str">
        <f ca="1">IFERROR(__xludf.DUMMYFUNCTION("""COMPUTED_VALUE"""),"USD PKR rate for 14/12/2023")</f>
        <v>USD PKR rate for 14/12/2023</v>
      </c>
      <c r="I33" s="9"/>
    </row>
    <row r="34" spans="1:9" ht="14.25" customHeight="1" x14ac:dyDescent="0.3">
      <c r="A34" s="6">
        <v>27395</v>
      </c>
      <c r="B34" s="7">
        <v>9.9077999999999999</v>
      </c>
      <c r="C34" s="8">
        <f t="shared" si="1"/>
        <v>8.7181344025468945</v>
      </c>
      <c r="D34" s="9">
        <f t="shared" si="0"/>
        <v>27.999816017636022</v>
      </c>
      <c r="E34" s="9"/>
      <c r="F34" s="9">
        <f ca="1">IFERROR(__xludf.DUMMYFUNCTION("""COMPUTED_VALUE"""),45273)</f>
        <v>45273</v>
      </c>
      <c r="G34" s="9" t="str">
        <f ca="1">IFERROR(__xludf.DUMMYFUNCTION("""COMPUTED_VALUE"""),"1 USD = 283.6213 PKR")</f>
        <v>1 USD = 283.6213 PKR</v>
      </c>
      <c r="H34" s="9" t="str">
        <f ca="1">IFERROR(__xludf.DUMMYFUNCTION("""COMPUTED_VALUE"""),"USD PKR rate for 13/12/2023")</f>
        <v>USD PKR rate for 13/12/2023</v>
      </c>
      <c r="I34" s="9"/>
    </row>
    <row r="35" spans="1:9" ht="14.25" customHeight="1" x14ac:dyDescent="0.3">
      <c r="A35" s="6">
        <v>27760</v>
      </c>
      <c r="B35" s="7">
        <v>9.9077999999999999</v>
      </c>
      <c r="C35" s="8">
        <f t="shared" si="1"/>
        <v>9.3061884058077613</v>
      </c>
      <c r="D35" s="9">
        <f t="shared" si="0"/>
        <v>28.999124988637991</v>
      </c>
      <c r="E35" s="9"/>
      <c r="F35" s="9">
        <f ca="1">IFERROR(__xludf.DUMMYFUNCTION("""COMPUTED_VALUE"""),45272)</f>
        <v>45272</v>
      </c>
      <c r="G35" s="9" t="str">
        <f ca="1">IFERROR(__xludf.DUMMYFUNCTION("""COMPUTED_VALUE"""),"1 USD = 283.6466 PKR")</f>
        <v>1 USD = 283.6466 PKR</v>
      </c>
      <c r="H35" s="9" t="str">
        <f ca="1">IFERROR(__xludf.DUMMYFUNCTION("""COMPUTED_VALUE"""),"USD PKR rate for 12/12/2023")</f>
        <v>USD PKR rate for 12/12/2023</v>
      </c>
      <c r="I35" s="9"/>
    </row>
    <row r="36" spans="1:9" ht="14.25" customHeight="1" x14ac:dyDescent="0.3">
      <c r="A36" s="6">
        <v>28126</v>
      </c>
      <c r="B36" s="7">
        <v>9.9077999999999999</v>
      </c>
      <c r="C36" s="8">
        <f t="shared" si="1"/>
        <v>9.9356843969721549</v>
      </c>
      <c r="D36" s="9">
        <f t="shared" si="0"/>
        <v>30.001171792437226</v>
      </c>
      <c r="E36" s="9"/>
      <c r="F36" s="9">
        <f ca="1">IFERROR(__xludf.DUMMYFUNCTION("""COMPUTED_VALUE"""),45271)</f>
        <v>45271</v>
      </c>
      <c r="G36" s="9" t="str">
        <f ca="1">IFERROR(__xludf.DUMMYFUNCTION("""COMPUTED_VALUE"""),"1 USD = 284.071 PKR")</f>
        <v>1 USD = 284.071 PKR</v>
      </c>
      <c r="H36" s="9" t="str">
        <f ca="1">IFERROR(__xludf.DUMMYFUNCTION("""COMPUTED_VALUE"""),"USD PKR rate for 11/12/2023")</f>
        <v>USD PKR rate for 11/12/2023</v>
      </c>
      <c r="I36" s="9"/>
    </row>
    <row r="37" spans="1:9" ht="14.25" customHeight="1" x14ac:dyDescent="0.3">
      <c r="A37" s="6">
        <v>28491</v>
      </c>
      <c r="B37" s="7">
        <v>9.9077999999999999</v>
      </c>
      <c r="C37" s="8">
        <f t="shared" si="1"/>
        <v>10.605864359220629</v>
      </c>
      <c r="D37" s="9">
        <f t="shared" si="0"/>
        <v>31.000480763439199</v>
      </c>
      <c r="E37" s="9"/>
      <c r="F37" s="9">
        <f ca="1">IFERROR(__xludf.DUMMYFUNCTION("""COMPUTED_VALUE"""),45270)</f>
        <v>45270</v>
      </c>
      <c r="G37" s="9" t="str">
        <f ca="1">IFERROR(__xludf.DUMMYFUNCTION("""COMPUTED_VALUE"""),"1 USD = 284.1596 PKR")</f>
        <v>1 USD = 284.1596 PKR</v>
      </c>
      <c r="H37" s="9" t="str">
        <f ca="1">IFERROR(__xludf.DUMMYFUNCTION("""COMPUTED_VALUE"""),"USD PKR rate for 10/12/2023")</f>
        <v>USD PKR rate for 10/12/2023</v>
      </c>
      <c r="I37" s="9"/>
    </row>
    <row r="38" spans="1:9" ht="14.25" customHeight="1" x14ac:dyDescent="0.3">
      <c r="A38" s="6">
        <v>28856</v>
      </c>
      <c r="B38" s="7">
        <v>9.9077999999999999</v>
      </c>
      <c r="C38" s="8">
        <f t="shared" si="1"/>
        <v>11.321249177405974</v>
      </c>
      <c r="D38" s="9">
        <f t="shared" si="0"/>
        <v>31.999789734441169</v>
      </c>
      <c r="E38" s="9"/>
      <c r="F38" s="9">
        <f ca="1">IFERROR(__xludf.DUMMYFUNCTION("""COMPUTED_VALUE"""),45269)</f>
        <v>45269</v>
      </c>
      <c r="G38" s="9" t="str">
        <f ca="1">IFERROR(__xludf.DUMMYFUNCTION("""COMPUTED_VALUE"""),"1 USD = 283.9934 PKR")</f>
        <v>1 USD = 283.9934 PKR</v>
      </c>
      <c r="H38" s="9" t="str">
        <f ca="1">IFERROR(__xludf.DUMMYFUNCTION("""COMPUTED_VALUE"""),"USD PKR rate for 09/12/2023")</f>
        <v>USD PKR rate for 09/12/2023</v>
      </c>
      <c r="I38" s="9"/>
    </row>
    <row r="39" spans="1:9" ht="14.25" customHeight="1" x14ac:dyDescent="0.3">
      <c r="A39" s="6">
        <v>29221</v>
      </c>
      <c r="B39" s="7">
        <v>9.9077999999999999</v>
      </c>
      <c r="C39" s="8">
        <f t="shared" si="1"/>
        <v>12.084888001182588</v>
      </c>
      <c r="D39" s="9">
        <f t="shared" si="0"/>
        <v>32.999098705443139</v>
      </c>
      <c r="E39" s="9"/>
      <c r="F39" s="9">
        <f ca="1">IFERROR(__xludf.DUMMYFUNCTION("""COMPUTED_VALUE"""),45268)</f>
        <v>45268</v>
      </c>
      <c r="G39" s="9" t="str">
        <f ca="1">IFERROR(__xludf.DUMMYFUNCTION("""COMPUTED_VALUE"""),"1 USD = 284.0999 PKR")</f>
        <v>1 USD = 284.0999 PKR</v>
      </c>
      <c r="H39" s="9" t="str">
        <f ca="1">IFERROR(__xludf.DUMMYFUNCTION("""COMPUTED_VALUE"""),"USD PKR rate for 08/12/2023")</f>
        <v>USD PKR rate for 08/12/2023</v>
      </c>
      <c r="I39" s="9"/>
    </row>
    <row r="40" spans="1:9" ht="14.25" customHeight="1" x14ac:dyDescent="0.3">
      <c r="A40" s="6">
        <v>29587</v>
      </c>
      <c r="B40" s="7">
        <v>9.9077999999999999</v>
      </c>
      <c r="C40" s="8">
        <f t="shared" si="1"/>
        <v>12.902342819276278</v>
      </c>
      <c r="D40" s="9">
        <f t="shared" si="0"/>
        <v>34.001145509242377</v>
      </c>
      <c r="E40" s="9"/>
      <c r="F40" s="9">
        <f ca="1">IFERROR(__xludf.DUMMYFUNCTION("""COMPUTED_VALUE"""),45267)</f>
        <v>45267</v>
      </c>
      <c r="G40" s="9" t="str">
        <f ca="1">IFERROR(__xludf.DUMMYFUNCTION("""COMPUTED_VALUE"""),"1 USD = 284.165 PKR")</f>
        <v>1 USD = 284.165 PKR</v>
      </c>
      <c r="H40" s="9" t="str">
        <f ca="1">IFERROR(__xludf.DUMMYFUNCTION("""COMPUTED_VALUE"""),"USD PKR rate for 07/12/2023")</f>
        <v>USD PKR rate for 07/12/2023</v>
      </c>
      <c r="I40" s="9"/>
    </row>
    <row r="41" spans="1:9" ht="14.25" customHeight="1" x14ac:dyDescent="0.3">
      <c r="A41" s="6">
        <v>29951</v>
      </c>
      <c r="B41" s="7">
        <v>9.9077999999999999</v>
      </c>
      <c r="C41" s="8">
        <f t="shared" si="1"/>
        <v>13.770166490405597</v>
      </c>
      <c r="D41" s="9">
        <f t="shared" si="0"/>
        <v>34.997716647447078</v>
      </c>
      <c r="E41" s="9"/>
      <c r="F41" s="9">
        <f ca="1">IFERROR(__xludf.DUMMYFUNCTION("""COMPUTED_VALUE"""),45266)</f>
        <v>45266</v>
      </c>
      <c r="G41" s="9" t="str">
        <f ca="1">IFERROR(__xludf.DUMMYFUNCTION("""COMPUTED_VALUE"""),"1 USD = 284.6988 PKR")</f>
        <v>1 USD = 284.6988 PKR</v>
      </c>
      <c r="H41" s="9" t="str">
        <f ca="1">IFERROR(__xludf.DUMMYFUNCTION("""COMPUTED_VALUE"""),"USD PKR rate for 06/12/2023")</f>
        <v>USD PKR rate for 06/12/2023</v>
      </c>
      <c r="I41" s="9"/>
    </row>
    <row r="42" spans="1:9" ht="14.25" customHeight="1" x14ac:dyDescent="0.3">
      <c r="A42" s="6">
        <v>29982</v>
      </c>
      <c r="B42" s="7">
        <v>10.437799999999999</v>
      </c>
      <c r="C42" s="8">
        <f t="shared" si="1"/>
        <v>13.846718187026033</v>
      </c>
      <c r="D42" s="9">
        <f t="shared" si="0"/>
        <v>35.082589464162311</v>
      </c>
      <c r="E42" s="9"/>
      <c r="F42" s="9">
        <f ca="1">IFERROR(__xludf.DUMMYFUNCTION("""COMPUTED_VALUE"""),45265)</f>
        <v>45265</v>
      </c>
      <c r="G42" s="9" t="str">
        <f ca="1">IFERROR(__xludf.DUMMYFUNCTION("""COMPUTED_VALUE"""),"1 USD = 284.4774 PKR")</f>
        <v>1 USD = 284.4774 PKR</v>
      </c>
      <c r="H42" s="9" t="str">
        <f ca="1">IFERROR(__xludf.DUMMYFUNCTION("""COMPUTED_VALUE"""),"USD PKR rate for 05/12/2023")</f>
        <v>USD PKR rate for 05/12/2023</v>
      </c>
      <c r="I42" s="9"/>
    </row>
    <row r="43" spans="1:9" ht="14.25" customHeight="1" x14ac:dyDescent="0.3">
      <c r="A43" s="6">
        <v>30010</v>
      </c>
      <c r="B43" s="7">
        <v>10.9278</v>
      </c>
      <c r="C43" s="8">
        <f t="shared" si="1"/>
        <v>13.916227375469701</v>
      </c>
      <c r="D43" s="9">
        <f t="shared" si="0"/>
        <v>35.159248782485754</v>
      </c>
      <c r="E43" s="9"/>
      <c r="F43" s="9">
        <f ca="1">IFERROR(__xludf.DUMMYFUNCTION("""COMPUTED_VALUE"""),45264)</f>
        <v>45264</v>
      </c>
      <c r="G43" s="9" t="str">
        <f ca="1">IFERROR(__xludf.DUMMYFUNCTION("""COMPUTED_VALUE"""),"1 USD = 281.123 PKR")</f>
        <v>1 USD = 281.123 PKR</v>
      </c>
      <c r="H43" s="9" t="str">
        <f ca="1">IFERROR(__xludf.DUMMYFUNCTION("""COMPUTED_VALUE"""),"USD PKR rate for 04/12/2023")</f>
        <v>USD PKR rate for 04/12/2023</v>
      </c>
      <c r="I43" s="9"/>
    </row>
    <row r="44" spans="1:9" ht="14.25" customHeight="1" x14ac:dyDescent="0.3">
      <c r="A44" s="6">
        <v>30041</v>
      </c>
      <c r="B44" s="7">
        <v>11.467800000000002</v>
      </c>
      <c r="C44" s="8">
        <f t="shared" si="1"/>
        <v>13.993591059989436</v>
      </c>
      <c r="D44" s="9">
        <f t="shared" si="0"/>
        <v>35.244121599200987</v>
      </c>
      <c r="E44" s="9"/>
      <c r="F44" s="9">
        <f ca="1">IFERROR(__xludf.DUMMYFUNCTION("""COMPUTED_VALUE"""),45263)</f>
        <v>45263</v>
      </c>
      <c r="G44" s="9" t="str">
        <f ca="1">IFERROR(__xludf.DUMMYFUNCTION("""COMPUTED_VALUE"""),"1 USD = 281.8848 PKR")</f>
        <v>1 USD = 281.8848 PKR</v>
      </c>
      <c r="H44" s="9" t="str">
        <f ca="1">IFERROR(__xludf.DUMMYFUNCTION("""COMPUTED_VALUE"""),"USD PKR rate for 03/12/2023")</f>
        <v>USD PKR rate for 03/12/2023</v>
      </c>
      <c r="I44" s="9"/>
    </row>
    <row r="45" spans="1:9" ht="14.25" customHeight="1" x14ac:dyDescent="0.3">
      <c r="A45" s="6">
        <v>30071</v>
      </c>
      <c r="B45" s="7">
        <v>11.617800000000001</v>
      </c>
      <c r="C45" s="8">
        <f t="shared" si="1"/>
        <v>14.068868614109729</v>
      </c>
      <c r="D45" s="9">
        <f t="shared" si="0"/>
        <v>35.326256583118962</v>
      </c>
      <c r="E45" s="9"/>
      <c r="F45" s="9">
        <f ca="1">IFERROR(__xludf.DUMMYFUNCTION("""COMPUTED_VALUE"""),45262)</f>
        <v>45262</v>
      </c>
      <c r="G45" s="9" t="str">
        <f ca="1">IFERROR(__xludf.DUMMYFUNCTION("""COMPUTED_VALUE"""),"1 USD = 281.7075 PKR")</f>
        <v>1 USD = 281.7075 PKR</v>
      </c>
      <c r="H45" s="9" t="str">
        <f ca="1">IFERROR(__xludf.DUMMYFUNCTION("""COMPUTED_VALUE"""),"USD PKR rate for 02/12/2023")</f>
        <v>USD PKR rate for 02/12/2023</v>
      </c>
      <c r="I45" s="9"/>
    </row>
    <row r="46" spans="1:9" ht="14.25" customHeight="1" x14ac:dyDescent="0.3">
      <c r="A46" s="6">
        <v>30102</v>
      </c>
      <c r="B46" s="7">
        <v>11.727800000000002</v>
      </c>
      <c r="C46" s="8">
        <f t="shared" si="1"/>
        <v>14.147080868310908</v>
      </c>
      <c r="D46" s="9">
        <f t="shared" si="0"/>
        <v>35.411129399834195</v>
      </c>
      <c r="E46" s="9"/>
      <c r="F46" s="9">
        <f ca="1">IFERROR(__xludf.DUMMYFUNCTION("""COMPUTED_VALUE"""),45261)</f>
        <v>45261</v>
      </c>
      <c r="G46" s="9" t="str">
        <f ca="1">IFERROR(__xludf.DUMMYFUNCTION("""COMPUTED_VALUE"""),"1 USD = 285.2248 PKR")</f>
        <v>1 USD = 285.2248 PKR</v>
      </c>
      <c r="H46" s="9" t="str">
        <f ca="1">IFERROR(__xludf.DUMMYFUNCTION("""COMPUTED_VALUE"""),"USD PKR rate for 01/12/2023")</f>
        <v>USD PKR rate for 01/12/2023</v>
      </c>
      <c r="I46" s="9"/>
    </row>
    <row r="47" spans="1:9" ht="14.25" customHeight="1" x14ac:dyDescent="0.3">
      <c r="A47" s="6">
        <v>30132</v>
      </c>
      <c r="B47" s="7">
        <v>12.207800000000001</v>
      </c>
      <c r="C47" s="8">
        <f t="shared" si="1"/>
        <v>14.223184110226653</v>
      </c>
      <c r="D47" s="9">
        <f t="shared" si="0"/>
        <v>35.493264383752162</v>
      </c>
      <c r="E47" s="9"/>
      <c r="F47" s="9">
        <f ca="1">IFERROR(__xludf.DUMMYFUNCTION("""COMPUTED_VALUE"""),45260)</f>
        <v>45260</v>
      </c>
      <c r="G47" s="9" t="str">
        <f ca="1">IFERROR(__xludf.DUMMYFUNCTION("""COMPUTED_VALUE"""),"1 USD = 285.0252 PKR")</f>
        <v>1 USD = 285.0252 PKR</v>
      </c>
      <c r="H47" s="9" t="str">
        <f ca="1">IFERROR(__xludf.DUMMYFUNCTION("""COMPUTED_VALUE"""),"USD PKR rate for 30/11/2023")</f>
        <v>USD PKR rate for 30/11/2023</v>
      </c>
      <c r="I47" s="9"/>
    </row>
    <row r="48" spans="1:9" ht="14.25" customHeight="1" x14ac:dyDescent="0.3">
      <c r="A48" s="6">
        <v>30163</v>
      </c>
      <c r="B48" s="7">
        <v>12.1578</v>
      </c>
      <c r="C48" s="8">
        <f t="shared" si="1"/>
        <v>14.302254241712818</v>
      </c>
      <c r="D48" s="9">
        <f t="shared" si="0"/>
        <v>35.578137200467403</v>
      </c>
      <c r="E48" s="9"/>
      <c r="F48" s="9">
        <f ca="1">IFERROR(__xludf.DUMMYFUNCTION("""COMPUTED_VALUE"""),45259)</f>
        <v>45259</v>
      </c>
      <c r="G48" s="9" t="str">
        <f ca="1">IFERROR(__xludf.DUMMYFUNCTION("""COMPUTED_VALUE"""),"1 USD = 285.726 PKR")</f>
        <v>1 USD = 285.726 PKR</v>
      </c>
      <c r="H48" s="9" t="str">
        <f ca="1">IFERROR(__xludf.DUMMYFUNCTION("""COMPUTED_VALUE"""),"USD PKR rate for 29/11/2023")</f>
        <v>USD PKR rate for 29/11/2023</v>
      </c>
      <c r="I48" s="9"/>
    </row>
    <row r="49" spans="1:9" ht="14.25" customHeight="1" x14ac:dyDescent="0.3">
      <c r="A49" s="6">
        <v>30194</v>
      </c>
      <c r="B49" s="7">
        <v>12.3378</v>
      </c>
      <c r="C49" s="8">
        <f t="shared" si="1"/>
        <v>14.38176394324495</v>
      </c>
      <c r="D49" s="9">
        <f t="shared" si="0"/>
        <v>35.663010017182636</v>
      </c>
      <c r="E49" s="9"/>
      <c r="F49" s="9">
        <f ca="1">IFERROR(__xludf.DUMMYFUNCTION("""COMPUTED_VALUE"""),45258)</f>
        <v>45258</v>
      </c>
      <c r="G49" s="9" t="str">
        <f ca="1">IFERROR(__xludf.DUMMYFUNCTION("""COMPUTED_VALUE"""),"1 USD = 285.6641 PKR")</f>
        <v>1 USD = 285.6641 PKR</v>
      </c>
      <c r="H49" s="9" t="str">
        <f ca="1">IFERROR(__xludf.DUMMYFUNCTION("""COMPUTED_VALUE"""),"USD PKR rate for 28/11/2023")</f>
        <v>USD PKR rate for 28/11/2023</v>
      </c>
      <c r="I49" s="9"/>
    </row>
    <row r="50" spans="1:9" ht="14.25" customHeight="1" x14ac:dyDescent="0.3">
      <c r="A50" s="6">
        <v>30224</v>
      </c>
      <c r="B50" s="7">
        <v>12.4278</v>
      </c>
      <c r="C50" s="8">
        <f t="shared" si="1"/>
        <v>14.459129646511668</v>
      </c>
      <c r="D50" s="9">
        <f t="shared" si="0"/>
        <v>35.745145001100603</v>
      </c>
      <c r="E50" s="9"/>
      <c r="F50" s="9">
        <f ca="1">IFERROR(__xludf.DUMMYFUNCTION("""COMPUTED_VALUE"""),45257)</f>
        <v>45257</v>
      </c>
      <c r="G50" s="9" t="str">
        <f ca="1">IFERROR(__xludf.DUMMYFUNCTION("""COMPUTED_VALUE"""),"1 USD = 284.0246 PKR")</f>
        <v>1 USD = 284.0246 PKR</v>
      </c>
      <c r="H50" s="9" t="str">
        <f ca="1">IFERROR(__xludf.DUMMYFUNCTION("""COMPUTED_VALUE"""),"USD PKR rate for 27/11/2023")</f>
        <v>USD PKR rate for 27/11/2023</v>
      </c>
      <c r="I50" s="9"/>
    </row>
    <row r="51" spans="1:9" ht="14.25" customHeight="1" x14ac:dyDescent="0.3">
      <c r="A51" s="6">
        <v>30255</v>
      </c>
      <c r="B51" s="7">
        <v>12.727800000000002</v>
      </c>
      <c r="C51" s="8">
        <f t="shared" si="1"/>
        <v>14.539511456482273</v>
      </c>
      <c r="D51" s="9">
        <f t="shared" si="0"/>
        <v>35.830017817815843</v>
      </c>
      <c r="E51" s="9"/>
      <c r="F51" s="9">
        <f ca="1">IFERROR(__xludf.DUMMYFUNCTION("""COMPUTED_VALUE"""),45256)</f>
        <v>45256</v>
      </c>
      <c r="G51" s="9" t="str">
        <f ca="1">IFERROR(__xludf.DUMMYFUNCTION("""COMPUTED_VALUE"""),"1 USD = 281.0798 PKR")</f>
        <v>1 USD = 281.0798 PKR</v>
      </c>
      <c r="H51" s="9" t="str">
        <f ca="1">IFERROR(__xludf.DUMMYFUNCTION("""COMPUTED_VALUE"""),"USD PKR rate for 26/11/2023")</f>
        <v>USD PKR rate for 26/11/2023</v>
      </c>
      <c r="I51" s="9"/>
    </row>
    <row r="52" spans="1:9" ht="14.25" customHeight="1" x14ac:dyDescent="0.3">
      <c r="A52" s="6">
        <v>30285</v>
      </c>
      <c r="B52" s="7">
        <v>12.727800000000002</v>
      </c>
      <c r="C52" s="8">
        <f t="shared" si="1"/>
        <v>14.617725751573207</v>
      </c>
      <c r="D52" s="9">
        <f t="shared" si="0"/>
        <v>35.912152801733811</v>
      </c>
      <c r="E52" s="9"/>
      <c r="F52" s="9">
        <f ca="1">IFERROR(__xludf.DUMMYFUNCTION("""COMPUTED_VALUE"""),45255)</f>
        <v>45255</v>
      </c>
      <c r="G52" s="9" t="str">
        <f ca="1">IFERROR(__xludf.DUMMYFUNCTION("""COMPUTED_VALUE"""),"1 USD = 281.0663 PKR")</f>
        <v>1 USD = 281.0663 PKR</v>
      </c>
      <c r="H52" s="9" t="str">
        <f ca="1">IFERROR(__xludf.DUMMYFUNCTION("""COMPUTED_VALUE"""),"USD PKR rate for 25/11/2023")</f>
        <v>USD PKR rate for 25/11/2023</v>
      </c>
      <c r="I52" s="9"/>
    </row>
    <row r="53" spans="1:9" ht="14.25" customHeight="1" x14ac:dyDescent="0.3">
      <c r="A53" s="6">
        <v>30316</v>
      </c>
      <c r="B53" s="7">
        <v>12.847799999999999</v>
      </c>
      <c r="C53" s="8">
        <f t="shared" si="1"/>
        <v>14.698989235772547</v>
      </c>
      <c r="D53" s="9">
        <f t="shared" si="0"/>
        <v>35.997025618449051</v>
      </c>
      <c r="E53" s="9"/>
      <c r="F53" s="9">
        <f ca="1">IFERROR(__xludf.DUMMYFUNCTION("""COMPUTED_VALUE"""),45254)</f>
        <v>45254</v>
      </c>
      <c r="G53" s="9" t="str">
        <f ca="1">IFERROR(__xludf.DUMMYFUNCTION("""COMPUTED_VALUE"""),"1 USD = 285.75 PKR")</f>
        <v>1 USD = 285.75 PKR</v>
      </c>
      <c r="H53" s="9" t="str">
        <f ca="1">IFERROR(__xludf.DUMMYFUNCTION("""COMPUTED_VALUE"""),"USD PKR rate for 24/11/2023")</f>
        <v>USD PKR rate for 24/11/2023</v>
      </c>
      <c r="I53" s="9"/>
    </row>
    <row r="54" spans="1:9" ht="14.25" customHeight="1" x14ac:dyDescent="0.3">
      <c r="A54" s="6">
        <v>30347</v>
      </c>
      <c r="B54" s="7">
        <v>12.9078</v>
      </c>
      <c r="C54" s="8">
        <f t="shared" si="1"/>
        <v>14.780704483397761</v>
      </c>
      <c r="D54" s="9">
        <f t="shared" si="0"/>
        <v>36.081898435164284</v>
      </c>
      <c r="E54" s="9"/>
      <c r="F54" s="9">
        <f ca="1">IFERROR(__xludf.DUMMYFUNCTION("""COMPUTED_VALUE"""),45253)</f>
        <v>45253</v>
      </c>
      <c r="G54" s="9" t="str">
        <f ca="1">IFERROR(__xludf.DUMMYFUNCTION("""COMPUTED_VALUE"""),"1 USD = 282.1947 PKR")</f>
        <v>1 USD = 282.1947 PKR</v>
      </c>
      <c r="H54" s="9" t="str">
        <f ca="1">IFERROR(__xludf.DUMMYFUNCTION("""COMPUTED_VALUE"""),"USD PKR rate for 23/11/2023")</f>
        <v>USD PKR rate for 23/11/2023</v>
      </c>
      <c r="I54" s="9"/>
    </row>
    <row r="55" spans="1:9" ht="14.25" customHeight="1" x14ac:dyDescent="0.3">
      <c r="A55" s="6">
        <v>30375</v>
      </c>
      <c r="B55" s="7">
        <v>12.807800000000002</v>
      </c>
      <c r="C55" s="8">
        <f t="shared" si="1"/>
        <v>14.854902192875896</v>
      </c>
      <c r="D55" s="9">
        <f t="shared" si="0"/>
        <v>36.15855775348772</v>
      </c>
      <c r="E55" s="9"/>
      <c r="F55" s="9">
        <f ca="1">IFERROR(__xludf.DUMMYFUNCTION("""COMPUTED_VALUE"""),45252)</f>
        <v>45252</v>
      </c>
      <c r="G55" s="9" t="str">
        <f ca="1">IFERROR(__xludf.DUMMYFUNCTION("""COMPUTED_VALUE"""),"1 USD = 284.8703 PKR")</f>
        <v>1 USD = 284.8703 PKR</v>
      </c>
      <c r="H55" s="9" t="str">
        <f ca="1">IFERROR(__xludf.DUMMYFUNCTION("""COMPUTED_VALUE"""),"USD PKR rate for 22/11/2023")</f>
        <v>USD PKR rate for 22/11/2023</v>
      </c>
      <c r="I55" s="9"/>
    </row>
    <row r="56" spans="1:9" ht="14.25" customHeight="1" x14ac:dyDescent="0.3">
      <c r="A56" s="6">
        <v>30406</v>
      </c>
      <c r="B56" s="7">
        <v>12.9878</v>
      </c>
      <c r="C56" s="8">
        <f t="shared" si="1"/>
        <v>14.937484198459321</v>
      </c>
      <c r="D56" s="9">
        <f t="shared" si="0"/>
        <v>36.24343057020296</v>
      </c>
      <c r="E56" s="9"/>
      <c r="F56" s="9">
        <f ca="1">IFERROR(__xludf.DUMMYFUNCTION("""COMPUTED_VALUE"""),45251)</f>
        <v>45251</v>
      </c>
      <c r="G56" s="9" t="str">
        <f ca="1">IFERROR(__xludf.DUMMYFUNCTION("""COMPUTED_VALUE"""),"1 USD = 285.5512 PKR")</f>
        <v>1 USD = 285.5512 PKR</v>
      </c>
      <c r="H56" s="9" t="str">
        <f ca="1">IFERROR(__xludf.DUMMYFUNCTION("""COMPUTED_VALUE"""),"USD PKR rate for 21/11/2023")</f>
        <v>USD PKR rate for 21/11/2023</v>
      </c>
      <c r="I56" s="9"/>
    </row>
    <row r="57" spans="1:9" ht="14.25" customHeight="1" x14ac:dyDescent="0.3">
      <c r="A57" s="6">
        <v>30436</v>
      </c>
      <c r="B57" s="7">
        <v>12.9078</v>
      </c>
      <c r="C57" s="8">
        <f t="shared" si="1"/>
        <v>15.01783936035808</v>
      </c>
      <c r="D57" s="9">
        <f t="shared" si="0"/>
        <v>36.325565554120928</v>
      </c>
      <c r="E57" s="9"/>
      <c r="F57" s="9">
        <f ca="1">IFERROR(__xludf.DUMMYFUNCTION("""COMPUTED_VALUE"""),45250)</f>
        <v>45250</v>
      </c>
      <c r="G57" s="9" t="str">
        <f ca="1">IFERROR(__xludf.DUMMYFUNCTION("""COMPUTED_VALUE"""),"1 USD = 286.0152 PKR")</f>
        <v>1 USD = 286.0152 PKR</v>
      </c>
      <c r="H57" s="9" t="str">
        <f ca="1">IFERROR(__xludf.DUMMYFUNCTION("""COMPUTED_VALUE"""),"USD PKR rate for 20/11/2023")</f>
        <v>USD PKR rate for 20/11/2023</v>
      </c>
      <c r="I57" s="9"/>
    </row>
    <row r="58" spans="1:9" ht="14.25" customHeight="1" x14ac:dyDescent="0.3">
      <c r="A58" s="6">
        <v>30467</v>
      </c>
      <c r="B58" s="7">
        <v>12.9078</v>
      </c>
      <c r="C58" s="8">
        <f t="shared" si="1"/>
        <v>15.101327173189514</v>
      </c>
      <c r="D58" s="9">
        <f t="shared" si="0"/>
        <v>36.410438370836168</v>
      </c>
      <c r="E58" s="9"/>
      <c r="F58" s="9">
        <f ca="1">IFERROR(__xludf.DUMMYFUNCTION("""COMPUTED_VALUE"""),45249)</f>
        <v>45249</v>
      </c>
      <c r="G58" s="9" t="str">
        <f ca="1">IFERROR(__xludf.DUMMYFUNCTION("""COMPUTED_VALUE"""),"1 USD = 285.828 PKR")</f>
        <v>1 USD = 285.828 PKR</v>
      </c>
      <c r="H58" s="9" t="str">
        <f ca="1">IFERROR(__xludf.DUMMYFUNCTION("""COMPUTED_VALUE"""),"USD PKR rate for 19/11/2023")</f>
        <v>USD PKR rate for 19/11/2023</v>
      </c>
      <c r="I58" s="9"/>
    </row>
    <row r="59" spans="1:9" ht="14.25" customHeight="1" x14ac:dyDescent="0.3">
      <c r="A59" s="6">
        <v>30497</v>
      </c>
      <c r="B59" s="7">
        <v>13.1778</v>
      </c>
      <c r="C59" s="8">
        <f t="shared" si="1"/>
        <v>15.182563717025522</v>
      </c>
      <c r="D59" s="9">
        <f t="shared" si="0"/>
        <v>36.492573354754136</v>
      </c>
      <c r="E59" s="9"/>
      <c r="F59" s="9">
        <f ca="1">IFERROR(__xludf.DUMMYFUNCTION("""COMPUTED_VALUE"""),45248)</f>
        <v>45248</v>
      </c>
      <c r="G59" s="9" t="str">
        <f ca="1">IFERROR(__xludf.DUMMYFUNCTION("""COMPUTED_VALUE"""),"1 USD = 285.1027 PKR")</f>
        <v>1 USD = 285.1027 PKR</v>
      </c>
      <c r="H59" s="9" t="str">
        <f ca="1">IFERROR(__xludf.DUMMYFUNCTION("""COMPUTED_VALUE"""),"USD PKR rate for 18/11/2023")</f>
        <v>USD PKR rate for 18/11/2023</v>
      </c>
      <c r="I59" s="9"/>
    </row>
    <row r="60" spans="1:9" ht="14.25" customHeight="1" x14ac:dyDescent="0.3">
      <c r="A60" s="6">
        <v>30528</v>
      </c>
      <c r="B60" s="7">
        <v>13.307800000000002</v>
      </c>
      <c r="C60" s="8">
        <f t="shared" si="1"/>
        <v>15.266967272523271</v>
      </c>
      <c r="D60" s="9">
        <f t="shared" si="0"/>
        <v>36.577446171469369</v>
      </c>
      <c r="E60" s="9"/>
      <c r="F60" s="9">
        <f ca="1">IFERROR(__xludf.DUMMYFUNCTION("""COMPUTED_VALUE"""),45247)</f>
        <v>45247</v>
      </c>
      <c r="G60" s="9" t="str">
        <f ca="1">IFERROR(__xludf.DUMMYFUNCTION("""COMPUTED_VALUE"""),"1 USD = 288.3498 PKR")</f>
        <v>1 USD = 288.3498 PKR</v>
      </c>
      <c r="H60" s="9" t="str">
        <f ca="1">IFERROR(__xludf.DUMMYFUNCTION("""COMPUTED_VALUE"""),"USD PKR rate for 17/11/2023")</f>
        <v>USD PKR rate for 17/11/2023</v>
      </c>
      <c r="I60" s="9"/>
    </row>
    <row r="61" spans="1:9" ht="14.25" customHeight="1" x14ac:dyDescent="0.3">
      <c r="A61" s="6">
        <v>30559</v>
      </c>
      <c r="B61" s="7">
        <v>13.4078</v>
      </c>
      <c r="C61" s="8">
        <f t="shared" si="1"/>
        <v>15.351840047865146</v>
      </c>
      <c r="D61" s="9">
        <f t="shared" si="0"/>
        <v>36.662318988184609</v>
      </c>
      <c r="E61" s="9"/>
      <c r="F61" s="9">
        <f ca="1">IFERROR(__xludf.DUMMYFUNCTION("""COMPUTED_VALUE"""),45246)</f>
        <v>45246</v>
      </c>
      <c r="G61" s="9" t="str">
        <f ca="1">IFERROR(__xludf.DUMMYFUNCTION("""COMPUTED_VALUE"""),"1 USD = 287.8651 PKR")</f>
        <v>1 USD = 287.8651 PKR</v>
      </c>
      <c r="H61" s="9" t="str">
        <f ca="1">IFERROR(__xludf.DUMMYFUNCTION("""COMPUTED_VALUE"""),"USD PKR rate for 16/11/2023")</f>
        <v>USD PKR rate for 16/11/2023</v>
      </c>
      <c r="I61" s="9"/>
    </row>
    <row r="62" spans="1:9" ht="14.25" customHeight="1" x14ac:dyDescent="0.3">
      <c r="A62" s="6">
        <v>30589</v>
      </c>
      <c r="B62" s="7">
        <v>13.4078</v>
      </c>
      <c r="C62" s="8">
        <f t="shared" si="1"/>
        <v>15.434424208363691</v>
      </c>
      <c r="D62" s="9">
        <f t="shared" si="0"/>
        <v>36.744453972102576</v>
      </c>
      <c r="E62" s="9"/>
      <c r="F62" s="9">
        <f ca="1">IFERROR(__xludf.DUMMYFUNCTION("""COMPUTED_VALUE"""),45245)</f>
        <v>45245</v>
      </c>
      <c r="G62" s="9" t="str">
        <f ca="1">IFERROR(__xludf.DUMMYFUNCTION("""COMPUTED_VALUE"""),"1 USD = 288.2317 PKR")</f>
        <v>1 USD = 288.2317 PKR</v>
      </c>
      <c r="H62" s="9" t="str">
        <f ca="1">IFERROR(__xludf.DUMMYFUNCTION("""COMPUTED_VALUE"""),"USD PKR rate for 15/11/2023")</f>
        <v>USD PKR rate for 15/11/2023</v>
      </c>
      <c r="I62" s="9"/>
    </row>
    <row r="63" spans="1:9" ht="14.25" customHeight="1" x14ac:dyDescent="0.3">
      <c r="A63" s="6">
        <v>30620</v>
      </c>
      <c r="B63" s="7">
        <v>13.2378</v>
      </c>
      <c r="C63" s="8">
        <f t="shared" si="1"/>
        <v>15.520227917442524</v>
      </c>
      <c r="D63" s="9">
        <f t="shared" si="0"/>
        <v>36.829326788817809</v>
      </c>
      <c r="E63" s="9"/>
      <c r="F63" s="9">
        <f ca="1">IFERROR(__xludf.DUMMYFUNCTION("""COMPUTED_VALUE"""),45244)</f>
        <v>45244</v>
      </c>
      <c r="G63" s="9" t="str">
        <f ca="1">IFERROR(__xludf.DUMMYFUNCTION("""COMPUTED_VALUE"""),"1 USD = 287.8206 PKR")</f>
        <v>1 USD = 287.8206 PKR</v>
      </c>
      <c r="H63" s="9" t="str">
        <f ca="1">IFERROR(__xludf.DUMMYFUNCTION("""COMPUTED_VALUE"""),"USD PKR rate for 14/11/2023")</f>
        <v>USD PKR rate for 14/11/2023</v>
      </c>
      <c r="I63" s="9"/>
    </row>
    <row r="64" spans="1:9" ht="14.25" customHeight="1" x14ac:dyDescent="0.3">
      <c r="A64" s="6">
        <v>30650</v>
      </c>
      <c r="B64" s="7">
        <v>13.237799999999995</v>
      </c>
      <c r="C64" s="8">
        <f t="shared" si="1"/>
        <v>15.603717908825439</v>
      </c>
      <c r="D64" s="9">
        <f t="shared" si="0"/>
        <v>36.911461772735784</v>
      </c>
      <c r="E64" s="9"/>
      <c r="F64" s="9">
        <f ca="1">IFERROR(__xludf.DUMMYFUNCTION("""COMPUTED_VALUE"""),45243)</f>
        <v>45243</v>
      </c>
      <c r="G64" s="9" t="str">
        <f ca="1">IFERROR(__xludf.DUMMYFUNCTION("""COMPUTED_VALUE"""),"1 USD = 283.9712 PKR")</f>
        <v>1 USD = 283.9712 PKR</v>
      </c>
      <c r="H64" s="9" t="str">
        <f ca="1">IFERROR(__xludf.DUMMYFUNCTION("""COMPUTED_VALUE"""),"USD PKR rate for 13/11/2023")</f>
        <v>USD PKR rate for 13/11/2023</v>
      </c>
      <c r="I64" s="9"/>
    </row>
    <row r="65" spans="1:9" ht="14.25" customHeight="1" x14ac:dyDescent="0.3">
      <c r="A65" s="6">
        <v>30681</v>
      </c>
      <c r="B65" s="7">
        <v>13.5078</v>
      </c>
      <c r="C65" s="8">
        <f t="shared" si="1"/>
        <v>15.690462762661413</v>
      </c>
      <c r="D65" s="9">
        <f t="shared" si="0"/>
        <v>36.996334589451017</v>
      </c>
      <c r="E65" s="9"/>
      <c r="F65" s="9">
        <f ca="1">IFERROR(__xludf.DUMMYFUNCTION("""COMPUTED_VALUE"""),45242)</f>
        <v>45242</v>
      </c>
      <c r="G65" s="9" t="str">
        <f ca="1">IFERROR(__xludf.DUMMYFUNCTION("""COMPUTED_VALUE"""),"1 USD = 282.3461 PKR")</f>
        <v>1 USD = 282.3461 PKR</v>
      </c>
      <c r="H65" s="9" t="str">
        <f ca="1">IFERROR(__xludf.DUMMYFUNCTION("""COMPUTED_VALUE"""),"USD PKR rate for 12/11/2023")</f>
        <v>USD PKR rate for 12/11/2023</v>
      </c>
      <c r="I65" s="9"/>
    </row>
    <row r="66" spans="1:9" ht="14.25" customHeight="1" x14ac:dyDescent="0.3">
      <c r="A66" s="6">
        <v>30712</v>
      </c>
      <c r="B66" s="7">
        <v>13.6578</v>
      </c>
      <c r="C66" s="8">
        <f t="shared" si="1"/>
        <v>15.777689852187056</v>
      </c>
      <c r="D66" s="9">
        <f t="shared" si="0"/>
        <v>37.081207406166257</v>
      </c>
      <c r="E66" s="9"/>
      <c r="F66" s="9">
        <f ca="1">IFERROR(__xludf.DUMMYFUNCTION("""COMPUTED_VALUE"""),45241)</f>
        <v>45241</v>
      </c>
      <c r="G66" s="9" t="str">
        <f ca="1">IFERROR(__xludf.DUMMYFUNCTION("""COMPUTED_VALUE"""),"1 USD = 282.0829 PKR")</f>
        <v>1 USD = 282.0829 PKR</v>
      </c>
      <c r="H66" s="9" t="str">
        <f ca="1">IFERROR(__xludf.DUMMYFUNCTION("""COMPUTED_VALUE"""),"USD PKR rate for 11/11/2023")</f>
        <v>USD PKR rate for 11/11/2023</v>
      </c>
      <c r="I66" s="9"/>
    </row>
    <row r="67" spans="1:9" ht="14.25" customHeight="1" x14ac:dyDescent="0.3">
      <c r="A67" s="6">
        <v>30741</v>
      </c>
      <c r="B67" s="7">
        <v>13.4078</v>
      </c>
      <c r="C67" s="8">
        <f t="shared" si="1"/>
        <v>15.8597283334813</v>
      </c>
      <c r="D67" s="9">
        <f t="shared" si="0"/>
        <v>37.160604557286959</v>
      </c>
      <c r="E67" s="9"/>
      <c r="F67" s="9">
        <f ca="1">IFERROR(__xludf.DUMMYFUNCTION("""COMPUTED_VALUE"""),45240)</f>
        <v>45240</v>
      </c>
      <c r="G67" s="9" t="str">
        <f ca="1">IFERROR(__xludf.DUMMYFUNCTION("""COMPUTED_VALUE"""),"1 USD = 283.4658 PKR")</f>
        <v>1 USD = 283.4658 PKR</v>
      </c>
      <c r="H67" s="9" t="str">
        <f ca="1">IFERROR(__xludf.DUMMYFUNCTION("""COMPUTED_VALUE"""),"USD PKR rate for 10/11/2023")</f>
        <v>USD PKR rate for 10/11/2023</v>
      </c>
      <c r="I67" s="9"/>
    </row>
    <row r="68" spans="1:9" ht="14.25" customHeight="1" x14ac:dyDescent="0.3">
      <c r="A68" s="6">
        <v>30772</v>
      </c>
      <c r="B68" s="7">
        <v>13.4078</v>
      </c>
      <c r="C68" s="8">
        <f t="shared" si="1"/>
        <v>15.947896411384576</v>
      </c>
      <c r="D68" s="9">
        <f t="shared" si="0"/>
        <v>37.245477374002192</v>
      </c>
      <c r="E68" s="9"/>
      <c r="F68" s="9">
        <f ca="1">IFERROR(__xludf.DUMMYFUNCTION("""COMPUTED_VALUE"""),45239)</f>
        <v>45239</v>
      </c>
      <c r="G68" s="9" t="str">
        <f ca="1">IFERROR(__xludf.DUMMYFUNCTION("""COMPUTED_VALUE"""),"1 USD = 285.5791 PKR")</f>
        <v>1 USD = 285.5791 PKR</v>
      </c>
      <c r="H68" s="9" t="str">
        <f ca="1">IFERROR(__xludf.DUMMYFUNCTION("""COMPUTED_VALUE"""),"USD PKR rate for 09/11/2023")</f>
        <v>USD PKR rate for 09/11/2023</v>
      </c>
      <c r="I68" s="9"/>
    </row>
    <row r="69" spans="1:9" ht="14.25" customHeight="1" x14ac:dyDescent="0.3">
      <c r="A69" s="6">
        <v>30802</v>
      </c>
      <c r="B69" s="7">
        <v>13.617800000000001</v>
      </c>
      <c r="C69" s="8">
        <f t="shared" si="1"/>
        <v>16.033687015816735</v>
      </c>
      <c r="D69" s="9">
        <f t="shared" si="0"/>
        <v>37.327612357920167</v>
      </c>
      <c r="E69" s="9"/>
      <c r="F69" s="9">
        <f ca="1">IFERROR(__xludf.DUMMYFUNCTION("""COMPUTED_VALUE"""),45238)</f>
        <v>45238</v>
      </c>
      <c r="G69" s="9" t="str">
        <f ca="1">IFERROR(__xludf.DUMMYFUNCTION("""COMPUTED_VALUE"""),"1 USD = 287.2522 PKR")</f>
        <v>1 USD = 287.2522 PKR</v>
      </c>
      <c r="H69" s="9" t="str">
        <f ca="1">IFERROR(__xludf.DUMMYFUNCTION("""COMPUTED_VALUE"""),"USD PKR rate for 08/11/2023")</f>
        <v>USD PKR rate for 08/11/2023</v>
      </c>
      <c r="I69" s="9"/>
    </row>
    <row r="70" spans="1:9" ht="14.25" customHeight="1" x14ac:dyDescent="0.3">
      <c r="A70" s="6">
        <v>30833</v>
      </c>
      <c r="B70" s="7">
        <v>13.8978</v>
      </c>
      <c r="C70" s="8">
        <f t="shared" si="1"/>
        <v>16.122822172243275</v>
      </c>
      <c r="D70" s="9">
        <f t="shared" si="0"/>
        <v>37.4124851746354</v>
      </c>
      <c r="E70" s="9"/>
      <c r="F70" s="9">
        <f ca="1">IFERROR(__xludf.DUMMYFUNCTION("""COMPUTED_VALUE"""),45237)</f>
        <v>45237</v>
      </c>
      <c r="G70" s="9" t="str">
        <f ca="1">IFERROR(__xludf.DUMMYFUNCTION("""COMPUTED_VALUE"""),"1 USD = 283.7463 PKR")</f>
        <v>1 USD = 283.7463 PKR</v>
      </c>
      <c r="H70" s="9" t="str">
        <f ca="1">IFERROR(__xludf.DUMMYFUNCTION("""COMPUTED_VALUE"""),"USD PKR rate for 07/11/2023")</f>
        <v>USD PKR rate for 07/11/2023</v>
      </c>
      <c r="I70" s="9"/>
    </row>
    <row r="71" spans="1:9" ht="14.25" customHeight="1" x14ac:dyDescent="0.3">
      <c r="A71" s="6">
        <v>30863</v>
      </c>
      <c r="B71" s="7">
        <v>13.9878</v>
      </c>
      <c r="C71" s="8">
        <f t="shared" si="1"/>
        <v>16.209553777693216</v>
      </c>
      <c r="D71" s="9">
        <f t="shared" si="0"/>
        <v>37.494620158553367</v>
      </c>
      <c r="E71" s="9"/>
      <c r="F71" s="9">
        <f ca="1">IFERROR(__xludf.DUMMYFUNCTION("""COMPUTED_VALUE"""),45236)</f>
        <v>45236</v>
      </c>
      <c r="G71" s="9" t="str">
        <f ca="1">IFERROR(__xludf.DUMMYFUNCTION("""COMPUTED_VALUE"""),"1 USD = 285.2641 PKR")</f>
        <v>1 USD = 285.2641 PKR</v>
      </c>
      <c r="H71" s="9" t="str">
        <f ca="1">IFERROR(__xludf.DUMMYFUNCTION("""COMPUTED_VALUE"""),"USD PKR rate for 06/11/2023")</f>
        <v>USD PKR rate for 06/11/2023</v>
      </c>
      <c r="I71" s="9"/>
    </row>
    <row r="72" spans="1:9" ht="14.25" customHeight="1" x14ac:dyDescent="0.3">
      <c r="A72" s="6">
        <v>30894</v>
      </c>
      <c r="B72" s="7">
        <v>14.137800000000002</v>
      </c>
      <c r="C72" s="8">
        <f t="shared" si="1"/>
        <v>16.29966662012016</v>
      </c>
      <c r="D72" s="9">
        <f t="shared" si="0"/>
        <v>37.579492975268607</v>
      </c>
      <c r="E72" s="9"/>
      <c r="F72" s="9">
        <f ca="1">IFERROR(__xludf.DUMMYFUNCTION("""COMPUTED_VALUE"""),45235)</f>
        <v>45235</v>
      </c>
      <c r="G72" s="9" t="str">
        <f ca="1">IFERROR(__xludf.DUMMYFUNCTION("""COMPUTED_VALUE"""),"1 USD = 279.6316 PKR")</f>
        <v>1 USD = 279.6316 PKR</v>
      </c>
      <c r="H72" s="9" t="str">
        <f ca="1">IFERROR(__xludf.DUMMYFUNCTION("""COMPUTED_VALUE"""),"USD PKR rate for 05/11/2023")</f>
        <v>USD PKR rate for 05/11/2023</v>
      </c>
      <c r="I72" s="9"/>
    </row>
    <row r="73" spans="1:9" ht="14.25" customHeight="1" x14ac:dyDescent="0.3">
      <c r="A73" s="6">
        <v>30925</v>
      </c>
      <c r="B73" s="7">
        <v>14.057800000000002</v>
      </c>
      <c r="C73" s="8">
        <f t="shared" si="1"/>
        <v>16.390280421702528</v>
      </c>
      <c r="D73" s="9">
        <f t="shared" si="0"/>
        <v>37.66436579198384</v>
      </c>
      <c r="E73" s="9"/>
      <c r="F73" s="9">
        <f ca="1">IFERROR(__xludf.DUMMYFUNCTION("""COMPUTED_VALUE"""),45234)</f>
        <v>45234</v>
      </c>
      <c r="G73" s="9" t="str">
        <f ca="1">IFERROR(__xludf.DUMMYFUNCTION("""COMPUTED_VALUE"""),"1 USD = 278.3989 PKR")</f>
        <v>1 USD = 278.3989 PKR</v>
      </c>
      <c r="H73" s="9" t="str">
        <f ca="1">IFERROR(__xludf.DUMMYFUNCTION("""COMPUTED_VALUE"""),"USD PKR rate for 04/11/2023")</f>
        <v>USD PKR rate for 04/11/2023</v>
      </c>
      <c r="I73" s="9"/>
    </row>
    <row r="74" spans="1:9" ht="14.25" customHeight="1" x14ac:dyDescent="0.3">
      <c r="A74" s="6">
        <v>30955</v>
      </c>
      <c r="B74" s="7">
        <v>14.3278</v>
      </c>
      <c r="C74" s="8">
        <f t="shared" si="1"/>
        <v>16.47845080028528</v>
      </c>
      <c r="D74" s="9">
        <f t="shared" si="0"/>
        <v>37.746500775901815</v>
      </c>
      <c r="E74" s="9"/>
      <c r="F74" s="9">
        <f ca="1">IFERROR(__xludf.DUMMYFUNCTION("""COMPUTED_VALUE"""),45233)</f>
        <v>45233</v>
      </c>
      <c r="G74" s="9" t="str">
        <f ca="1">IFERROR(__xludf.DUMMYFUNCTION("""COMPUTED_VALUE"""),"1 USD = 278.3989 PKR")</f>
        <v>1 USD = 278.3989 PKR</v>
      </c>
      <c r="H74" s="9" t="str">
        <f ca="1">IFERROR(__xludf.DUMMYFUNCTION("""COMPUTED_VALUE"""),"USD PKR rate for 03/11/2023")</f>
        <v>USD PKR rate for 03/11/2023</v>
      </c>
      <c r="I74" s="9"/>
    </row>
    <row r="75" spans="1:9" ht="14.25" customHeight="1" x14ac:dyDescent="0.3">
      <c r="A75" s="6">
        <v>30986</v>
      </c>
      <c r="B75" s="7">
        <v>14.7478</v>
      </c>
      <c r="C75" s="8">
        <f t="shared" si="1"/>
        <v>16.570058506504168</v>
      </c>
      <c r="D75" s="9">
        <f t="shared" si="0"/>
        <v>37.831373592617048</v>
      </c>
      <c r="E75" s="9"/>
      <c r="F75" s="9">
        <f ca="1">IFERROR(__xludf.DUMMYFUNCTION("""COMPUTED_VALUE"""),45232)</f>
        <v>45232</v>
      </c>
      <c r="G75" s="9" t="str">
        <f ca="1">IFERROR(__xludf.DUMMYFUNCTION("""COMPUTED_VALUE"""),"1 USD = 282.5312 PKR")</f>
        <v>1 USD = 282.5312 PKR</v>
      </c>
      <c r="H75" s="9" t="str">
        <f ca="1">IFERROR(__xludf.DUMMYFUNCTION("""COMPUTED_VALUE"""),"USD PKR rate for 02/11/2023")</f>
        <v>USD PKR rate for 02/11/2023</v>
      </c>
      <c r="I75" s="9"/>
    </row>
    <row r="76" spans="1:9" ht="14.25" customHeight="1" x14ac:dyDescent="0.3">
      <c r="A76" s="6">
        <v>31016</v>
      </c>
      <c r="B76" s="7">
        <v>14.967800000000002</v>
      </c>
      <c r="C76" s="8">
        <f t="shared" si="1"/>
        <v>16.659195988845365</v>
      </c>
      <c r="D76" s="9">
        <f t="shared" si="0"/>
        <v>37.913508576535015</v>
      </c>
      <c r="E76" s="9"/>
      <c r="F76" s="9">
        <f ca="1">IFERROR(__xludf.DUMMYFUNCTION("""COMPUTED_VALUE"""),45231)</f>
        <v>45231</v>
      </c>
      <c r="G76" s="9" t="str">
        <f ca="1">IFERROR(__xludf.DUMMYFUNCTION("""COMPUTED_VALUE"""),"1 USD = 280.2484 PKR")</f>
        <v>1 USD = 280.2484 PKR</v>
      </c>
      <c r="H76" s="9" t="str">
        <f ca="1">IFERROR(__xludf.DUMMYFUNCTION("""COMPUTED_VALUE"""),"USD PKR rate for 01/11/2023")</f>
        <v>USD PKR rate for 01/11/2023</v>
      </c>
      <c r="I76" s="9"/>
    </row>
    <row r="77" spans="1:9" ht="14.25" customHeight="1" x14ac:dyDescent="0.3">
      <c r="A77" s="6">
        <v>31047</v>
      </c>
      <c r="B77" s="7">
        <v>15.367800000000001</v>
      </c>
      <c r="C77" s="8">
        <f t="shared" si="1"/>
        <v>16.751808501422261</v>
      </c>
      <c r="D77" s="9">
        <f t="shared" si="0"/>
        <v>37.998381393250256</v>
      </c>
      <c r="E77" s="9"/>
      <c r="F77" s="9">
        <f ca="1">IFERROR(__xludf.DUMMYFUNCTION("""COMPUTED_VALUE"""),45230)</f>
        <v>45230</v>
      </c>
      <c r="G77" s="9" t="str">
        <f ca="1">IFERROR(__xludf.DUMMYFUNCTION("""COMPUTED_VALUE"""),"1 USD = 281.0335 PKR")</f>
        <v>1 USD = 281.0335 PKR</v>
      </c>
      <c r="H77" s="9" t="str">
        <f ca="1">IFERROR(__xludf.DUMMYFUNCTION("""COMPUTED_VALUE"""),"USD PKR rate for 31/10/2023")</f>
        <v>USD PKR rate for 31/10/2023</v>
      </c>
      <c r="I77" s="9"/>
    </row>
    <row r="78" spans="1:9" ht="14.25" customHeight="1" x14ac:dyDescent="0.3">
      <c r="A78" s="6">
        <v>31078</v>
      </c>
      <c r="B78" s="7">
        <v>15.5078</v>
      </c>
      <c r="C78" s="8">
        <f t="shared" si="1"/>
        <v>16.844935869427431</v>
      </c>
      <c r="D78" s="9">
        <f t="shared" si="0"/>
        <v>38.083254209965489</v>
      </c>
      <c r="E78" s="9"/>
      <c r="F78" s="9">
        <f ca="1">IFERROR(__xludf.DUMMYFUNCTION("""COMPUTED_VALUE"""),45229)</f>
        <v>45229</v>
      </c>
      <c r="G78" s="9" t="str">
        <f ca="1">IFERROR(__xludf.DUMMYFUNCTION("""COMPUTED_VALUE"""),"1 USD = 279.3555 PKR")</f>
        <v>1 USD = 279.3555 PKR</v>
      </c>
      <c r="H78" s="9" t="str">
        <f ca="1">IFERROR(__xludf.DUMMYFUNCTION("""COMPUTED_VALUE"""),"USD PKR rate for 30/10/2023")</f>
        <v>USD PKR rate for 30/10/2023</v>
      </c>
      <c r="I78" s="9"/>
    </row>
    <row r="79" spans="1:9" ht="14.25" customHeight="1" x14ac:dyDescent="0.3">
      <c r="A79" s="6">
        <v>31106</v>
      </c>
      <c r="B79" s="7">
        <v>16.027799999999999</v>
      </c>
      <c r="C79" s="8">
        <f t="shared" si="1"/>
        <v>16.929495821168675</v>
      </c>
      <c r="D79" s="9">
        <f t="shared" si="0"/>
        <v>38.159913528288932</v>
      </c>
      <c r="E79" s="9"/>
      <c r="F79" s="9">
        <f ca="1">IFERROR(__xludf.DUMMYFUNCTION("""COMPUTED_VALUE"""),45228)</f>
        <v>45228</v>
      </c>
      <c r="G79" s="9" t="str">
        <f ca="1">IFERROR(__xludf.DUMMYFUNCTION("""COMPUTED_VALUE"""),"1 USD = 276.8897 PKR")</f>
        <v>1 USD = 276.8897 PKR</v>
      </c>
      <c r="H79" s="9" t="str">
        <f ca="1">IFERROR(__xludf.DUMMYFUNCTION("""COMPUTED_VALUE"""),"USD PKR rate for 29/10/2023")</f>
        <v>USD PKR rate for 29/10/2023</v>
      </c>
      <c r="I79" s="9"/>
    </row>
    <row r="80" spans="1:9" ht="14.25" customHeight="1" x14ac:dyDescent="0.3">
      <c r="A80" s="6">
        <v>31137</v>
      </c>
      <c r="B80" s="7">
        <v>15.9078</v>
      </c>
      <c r="C80" s="8">
        <f t="shared" si="1"/>
        <v>17.023610996097172</v>
      </c>
      <c r="D80" s="9">
        <f t="shared" si="0"/>
        <v>38.244786345004165</v>
      </c>
      <c r="E80" s="9"/>
      <c r="F80" s="9">
        <f ca="1">IFERROR(__xludf.DUMMYFUNCTION("""COMPUTED_VALUE"""),45227)</f>
        <v>45227</v>
      </c>
      <c r="G80" s="9" t="str">
        <f ca="1">IFERROR(__xludf.DUMMYFUNCTION("""COMPUTED_VALUE"""),"1 USD = 276.8837 PKR")</f>
        <v>1 USD = 276.8837 PKR</v>
      </c>
      <c r="H80" s="9" t="str">
        <f ca="1">IFERROR(__xludf.DUMMYFUNCTION("""COMPUTED_VALUE"""),"USD PKR rate for 28/10/2023")</f>
        <v>USD PKR rate for 28/10/2023</v>
      </c>
      <c r="I80" s="9"/>
    </row>
    <row r="81" spans="1:9" ht="14.25" customHeight="1" x14ac:dyDescent="0.3">
      <c r="A81" s="6">
        <v>31167</v>
      </c>
      <c r="B81" s="7">
        <v>16.0078</v>
      </c>
      <c r="C81" s="8">
        <f t="shared" si="1"/>
        <v>17.115188332649865</v>
      </c>
      <c r="D81" s="9">
        <f t="shared" si="0"/>
        <v>38.326921328922133</v>
      </c>
      <c r="E81" s="9"/>
      <c r="F81" s="9">
        <f ca="1">IFERROR(__xludf.DUMMYFUNCTION("""COMPUTED_VALUE"""),45226)</f>
        <v>45226</v>
      </c>
      <c r="G81" s="9" t="str">
        <f ca="1">IFERROR(__xludf.DUMMYFUNCTION("""COMPUTED_VALUE"""),"1 USD = 277.7123 PKR")</f>
        <v>1 USD = 277.7123 PKR</v>
      </c>
      <c r="H81" s="9" t="str">
        <f ca="1">IFERROR(__xludf.DUMMYFUNCTION("""COMPUTED_VALUE"""),"USD PKR rate for 27/10/2023")</f>
        <v>USD PKR rate for 27/10/2023</v>
      </c>
      <c r="I81" s="9"/>
    </row>
    <row r="82" spans="1:9" ht="14.25" customHeight="1" x14ac:dyDescent="0.3">
      <c r="A82" s="6">
        <v>31198</v>
      </c>
      <c r="B82" s="7">
        <v>16.0078</v>
      </c>
      <c r="C82" s="8">
        <f t="shared" si="1"/>
        <v>17.21033581730488</v>
      </c>
      <c r="D82" s="9">
        <f t="shared" si="0"/>
        <v>38.411794145637373</v>
      </c>
      <c r="E82" s="9"/>
      <c r="F82" s="9">
        <f ca="1">IFERROR(__xludf.DUMMYFUNCTION("""COMPUTED_VALUE"""),45225)</f>
        <v>45225</v>
      </c>
      <c r="G82" s="9" t="str">
        <f ca="1">IFERROR(__xludf.DUMMYFUNCTION("""COMPUTED_VALUE"""),"1 USD = 280.1616 PKR")</f>
        <v>1 USD = 280.1616 PKR</v>
      </c>
      <c r="H82" s="9" t="str">
        <f ca="1">IFERROR(__xludf.DUMMYFUNCTION("""COMPUTED_VALUE"""),"USD PKR rate for 26/10/2023")</f>
        <v>USD PKR rate for 26/10/2023</v>
      </c>
      <c r="I82" s="9"/>
    </row>
    <row r="83" spans="1:9" ht="14.25" customHeight="1" x14ac:dyDescent="0.3">
      <c r="A83" s="6">
        <v>31228</v>
      </c>
      <c r="B83" s="7">
        <v>16.0078</v>
      </c>
      <c r="C83" s="8">
        <f t="shared" si="1"/>
        <v>17.30291762710349</v>
      </c>
      <c r="D83" s="9">
        <f t="shared" si="0"/>
        <v>38.49392912955534</v>
      </c>
      <c r="E83" s="9"/>
      <c r="F83" s="9">
        <f ca="1">IFERROR(__xludf.DUMMYFUNCTION("""COMPUTED_VALUE"""),45224)</f>
        <v>45224</v>
      </c>
      <c r="G83" s="9" t="str">
        <f ca="1">IFERROR(__xludf.DUMMYFUNCTION("""COMPUTED_VALUE"""),"1 USD = 277.9653 PKR")</f>
        <v>1 USD = 277.9653 PKR</v>
      </c>
      <c r="H83" s="9" t="str">
        <f ca="1">IFERROR(__xludf.DUMMYFUNCTION("""COMPUTED_VALUE"""),"USD PKR rate for 25/10/2023")</f>
        <v>USD PKR rate for 25/10/2023</v>
      </c>
      <c r="I83" s="9"/>
    </row>
    <row r="84" spans="1:9" ht="14.25" customHeight="1" x14ac:dyDescent="0.3">
      <c r="A84" s="6">
        <v>31259</v>
      </c>
      <c r="B84" s="7">
        <v>16.0078</v>
      </c>
      <c r="C84" s="8">
        <f t="shared" si="1"/>
        <v>17.399108744455724</v>
      </c>
      <c r="D84" s="9">
        <f t="shared" si="0"/>
        <v>38.578801946270573</v>
      </c>
      <c r="E84" s="9"/>
      <c r="F84" s="9">
        <f ca="1">IFERROR(__xludf.DUMMYFUNCTION("""COMPUTED_VALUE"""),45223)</f>
        <v>45223</v>
      </c>
      <c r="G84" s="9" t="str">
        <f ca="1">IFERROR(__xludf.DUMMYFUNCTION("""COMPUTED_VALUE"""),"1 USD = 279.5835 PKR")</f>
        <v>1 USD = 279.5835 PKR</v>
      </c>
      <c r="H84" s="9" t="str">
        <f ca="1">IFERROR(__xludf.DUMMYFUNCTION("""COMPUTED_VALUE"""),"USD PKR rate for 24/10/2023")</f>
        <v>USD PKR rate for 24/10/2023</v>
      </c>
      <c r="I84" s="9"/>
    </row>
    <row r="85" spans="1:9" ht="14.25" customHeight="1" x14ac:dyDescent="0.3">
      <c r="A85" s="6">
        <v>31290</v>
      </c>
      <c r="B85" s="7">
        <v>15.9078</v>
      </c>
      <c r="C85" s="8">
        <f t="shared" si="1"/>
        <v>17.49583461156849</v>
      </c>
      <c r="D85" s="9">
        <f t="shared" si="0"/>
        <v>38.663674762985814</v>
      </c>
      <c r="E85" s="9"/>
      <c r="F85" s="9">
        <f ca="1">IFERROR(__xludf.DUMMYFUNCTION("""COMPUTED_VALUE"""),45222)</f>
        <v>45222</v>
      </c>
      <c r="G85" s="9" t="str">
        <f ca="1">IFERROR(__xludf.DUMMYFUNCTION("""COMPUTED_VALUE"""),"1 USD = 278.6362 PKR")</f>
        <v>1 USD = 278.6362 PKR</v>
      </c>
      <c r="H85" s="9" t="str">
        <f ca="1">IFERROR(__xludf.DUMMYFUNCTION("""COMPUTED_VALUE"""),"USD PKR rate for 23/10/2023")</f>
        <v>USD PKR rate for 23/10/2023</v>
      </c>
      <c r="I85" s="9"/>
    </row>
    <row r="86" spans="1:9" ht="14.25" customHeight="1" x14ac:dyDescent="0.3">
      <c r="A86" s="6">
        <v>31320</v>
      </c>
      <c r="B86" s="7">
        <v>16.0578</v>
      </c>
      <c r="C86" s="8">
        <f t="shared" si="1"/>
        <v>17.589952242361473</v>
      </c>
      <c r="D86" s="9">
        <f t="shared" si="0"/>
        <v>38.745809746903781</v>
      </c>
      <c r="E86" s="9"/>
      <c r="F86" s="9">
        <f ca="1">IFERROR(__xludf.DUMMYFUNCTION("""COMPUTED_VALUE"""),45221)</f>
        <v>45221</v>
      </c>
      <c r="G86" s="9" t="str">
        <f ca="1">IFERROR(__xludf.DUMMYFUNCTION("""COMPUTED_VALUE"""),"1 USD = 275.6928 PKR")</f>
        <v>1 USD = 275.6928 PKR</v>
      </c>
      <c r="H86" s="9" t="str">
        <f ca="1">IFERROR(__xludf.DUMMYFUNCTION("""COMPUTED_VALUE"""),"USD PKR rate for 22/10/2023")</f>
        <v>USD PKR rate for 22/10/2023</v>
      </c>
      <c r="I86" s="9"/>
    </row>
    <row r="87" spans="1:9" ht="14.25" customHeight="1" x14ac:dyDescent="0.3">
      <c r="A87" s="6">
        <v>31351</v>
      </c>
      <c r="B87" s="7">
        <v>15.9878</v>
      </c>
      <c r="C87" s="8">
        <f t="shared" si="1"/>
        <v>17.687739054784078</v>
      </c>
      <c r="D87" s="9">
        <f t="shared" si="0"/>
        <v>38.830682563619021</v>
      </c>
      <c r="E87" s="9"/>
      <c r="F87" s="9">
        <f ca="1">IFERROR(__xludf.DUMMYFUNCTION("""COMPUTED_VALUE"""),45220)</f>
        <v>45220</v>
      </c>
      <c r="G87" s="9" t="str">
        <f ca="1">IFERROR(__xludf.DUMMYFUNCTION("""COMPUTED_VALUE"""),"1 USD = 274.9998 PKR")</f>
        <v>1 USD = 274.9998 PKR</v>
      </c>
      <c r="H87" s="9" t="str">
        <f ca="1">IFERROR(__xludf.DUMMYFUNCTION("""COMPUTED_VALUE"""),"USD PKR rate for 21/10/2023")</f>
        <v>USD PKR rate for 21/10/2023</v>
      </c>
      <c r="I87" s="9"/>
    </row>
    <row r="88" spans="1:9" ht="14.25" customHeight="1" x14ac:dyDescent="0.3">
      <c r="A88" s="6">
        <v>31381</v>
      </c>
      <c r="B88" s="7">
        <v>15.9878</v>
      </c>
      <c r="C88" s="8">
        <f t="shared" si="1"/>
        <v>17.782889022240894</v>
      </c>
      <c r="D88" s="9">
        <f t="shared" si="0"/>
        <v>38.912817547536989</v>
      </c>
      <c r="E88" s="9"/>
      <c r="F88" s="9">
        <f ca="1">IFERROR(__xludf.DUMMYFUNCTION("""COMPUTED_VALUE"""),45219)</f>
        <v>45219</v>
      </c>
      <c r="G88" s="9" t="str">
        <f ca="1">IFERROR(__xludf.DUMMYFUNCTION("""COMPUTED_VALUE"""),"1 USD = 278.5275 PKR")</f>
        <v>1 USD = 278.5275 PKR</v>
      </c>
      <c r="H88" s="9" t="str">
        <f ca="1">IFERROR(__xludf.DUMMYFUNCTION("""COMPUTED_VALUE"""),"USD PKR rate for 20/10/2023")</f>
        <v>USD PKR rate for 20/10/2023</v>
      </c>
      <c r="I88" s="9"/>
    </row>
    <row r="89" spans="1:9" ht="14.25" customHeight="1" x14ac:dyDescent="0.3">
      <c r="A89" s="6">
        <v>31412</v>
      </c>
      <c r="B89" s="7">
        <v>15.9878</v>
      </c>
      <c r="C89" s="8">
        <f t="shared" si="1"/>
        <v>17.88174841703572</v>
      </c>
      <c r="D89" s="9">
        <f t="shared" si="0"/>
        <v>38.997690364252222</v>
      </c>
      <c r="E89" s="9"/>
      <c r="F89" s="9">
        <f ca="1">IFERROR(__xludf.DUMMYFUNCTION("""COMPUTED_VALUE"""),45218)</f>
        <v>45218</v>
      </c>
      <c r="G89" s="9" t="str">
        <f ca="1">IFERROR(__xludf.DUMMYFUNCTION("""COMPUTED_VALUE"""),"1 USD = 277.2066 PKR")</f>
        <v>1 USD = 277.2066 PKR</v>
      </c>
      <c r="H89" s="9" t="str">
        <f ca="1">IFERROR(__xludf.DUMMYFUNCTION("""COMPUTED_VALUE"""),"USD PKR rate for 19/10/2023")</f>
        <v>USD PKR rate for 19/10/2023</v>
      </c>
      <c r="I89" s="9"/>
    </row>
    <row r="90" spans="1:9" ht="14.25" customHeight="1" x14ac:dyDescent="0.3">
      <c r="A90" s="6">
        <v>31443</v>
      </c>
      <c r="B90" s="7">
        <v>15.9878</v>
      </c>
      <c r="C90" s="8">
        <f t="shared" si="1"/>
        <v>17.981157395192803</v>
      </c>
      <c r="D90" s="9">
        <f t="shared" si="0"/>
        <v>39.082563180967462</v>
      </c>
      <c r="E90" s="9"/>
      <c r="F90" s="9">
        <f ca="1">IFERROR(__xludf.DUMMYFUNCTION("""COMPUTED_VALUE"""),45217)</f>
        <v>45217</v>
      </c>
      <c r="G90" s="9" t="str">
        <f ca="1">IFERROR(__xludf.DUMMYFUNCTION("""COMPUTED_VALUE"""),"1 USD = 276.3681 PKR")</f>
        <v>1 USD = 276.3681 PKR</v>
      </c>
      <c r="H90" s="9" t="str">
        <f ca="1">IFERROR(__xludf.DUMMYFUNCTION("""COMPUTED_VALUE"""),"USD PKR rate for 18/10/2023")</f>
        <v>USD PKR rate for 18/10/2023</v>
      </c>
      <c r="I90" s="9"/>
    </row>
    <row r="91" spans="1:9" ht="14.25" customHeight="1" x14ac:dyDescent="0.3">
      <c r="A91" s="6">
        <v>31471</v>
      </c>
      <c r="B91" s="7">
        <v>15.9878</v>
      </c>
      <c r="C91" s="8">
        <f t="shared" si="1"/>
        <v>18.07142106929491</v>
      </c>
      <c r="D91" s="9">
        <f t="shared" si="0"/>
        <v>39.159222499290898</v>
      </c>
      <c r="E91" s="9"/>
      <c r="F91" s="9">
        <f ca="1">IFERROR(__xludf.DUMMYFUNCTION("""COMPUTED_VALUE"""),45216)</f>
        <v>45216</v>
      </c>
      <c r="G91" s="9" t="str">
        <f ca="1">IFERROR(__xludf.DUMMYFUNCTION("""COMPUTED_VALUE"""),"1 USD = 276.3759 PKR")</f>
        <v>1 USD = 276.3759 PKR</v>
      </c>
      <c r="H91" s="9" t="str">
        <f ca="1">IFERROR(__xludf.DUMMYFUNCTION("""COMPUTED_VALUE"""),"USD PKR rate for 17/10/2023")</f>
        <v>USD PKR rate for 17/10/2023</v>
      </c>
      <c r="I91" s="9"/>
    </row>
    <row r="92" spans="1:9" ht="14.25" customHeight="1" x14ac:dyDescent="0.3">
      <c r="A92" s="6">
        <v>31502</v>
      </c>
      <c r="B92" s="7">
        <v>15.9878</v>
      </c>
      <c r="C92" s="8">
        <f t="shared" si="1"/>
        <v>18.171884483746787</v>
      </c>
      <c r="D92" s="9">
        <f t="shared" si="0"/>
        <v>39.244095316006131</v>
      </c>
      <c r="E92" s="9"/>
      <c r="F92" s="9">
        <f ca="1">IFERROR(__xludf.DUMMYFUNCTION("""COMPUTED_VALUE"""),45215)</f>
        <v>45215</v>
      </c>
      <c r="G92" s="9" t="str">
        <f ca="1">IFERROR(__xludf.DUMMYFUNCTION("""COMPUTED_VALUE"""),"1 USD = 276.8342 PKR")</f>
        <v>1 USD = 276.8342 PKR</v>
      </c>
      <c r="H92" s="9" t="str">
        <f ca="1">IFERROR(__xludf.DUMMYFUNCTION("""COMPUTED_VALUE"""),"USD PKR rate for 16/10/2023")</f>
        <v>USD PKR rate for 16/10/2023</v>
      </c>
      <c r="I92" s="9"/>
    </row>
    <row r="93" spans="1:9" ht="14.25" customHeight="1" x14ac:dyDescent="0.3">
      <c r="A93" s="6">
        <v>31532</v>
      </c>
      <c r="B93" s="7">
        <v>16.267800000000001</v>
      </c>
      <c r="C93" s="8">
        <f t="shared" si="1"/>
        <v>18.269638878014042</v>
      </c>
      <c r="D93" s="9">
        <f t="shared" si="0"/>
        <v>39.326230299924106</v>
      </c>
      <c r="E93" s="9"/>
      <c r="F93" s="9">
        <f ca="1">IFERROR(__xludf.DUMMYFUNCTION("""COMPUTED_VALUE"""),45214)</f>
        <v>45214</v>
      </c>
      <c r="G93" s="9" t="str">
        <f ca="1">IFERROR(__xludf.DUMMYFUNCTION("""COMPUTED_VALUE"""),"1 USD = 277.578 PKR")</f>
        <v>1 USD = 277.578 PKR</v>
      </c>
      <c r="H93" s="9" t="str">
        <f ca="1">IFERROR(__xludf.DUMMYFUNCTION("""COMPUTED_VALUE"""),"USD PKR rate for 15/10/2023")</f>
        <v>USD PKR rate for 15/10/2023</v>
      </c>
      <c r="I93" s="9"/>
    </row>
    <row r="94" spans="1:9" ht="14.25" customHeight="1" x14ac:dyDescent="0.3">
      <c r="A94" s="6">
        <v>31563</v>
      </c>
      <c r="B94" s="7">
        <v>16.887799999999999</v>
      </c>
      <c r="C94" s="8">
        <f t="shared" si="1"/>
        <v>18.37120423335881</v>
      </c>
      <c r="D94" s="9">
        <f t="shared" si="0"/>
        <v>39.411103116639339</v>
      </c>
      <c r="E94" s="9"/>
      <c r="F94" s="9">
        <f ca="1">IFERROR(__xludf.DUMMYFUNCTION("""COMPUTED_VALUE"""),45213)</f>
        <v>45213</v>
      </c>
      <c r="G94" s="9" t="str">
        <f ca="1">IFERROR(__xludf.DUMMYFUNCTION("""COMPUTED_VALUE"""),"1 USD = 277.5574 PKR")</f>
        <v>1 USD = 277.5574 PKR</v>
      </c>
      <c r="H94" s="9" t="str">
        <f ca="1">IFERROR(__xludf.DUMMYFUNCTION("""COMPUTED_VALUE"""),"USD PKR rate for 14/10/2023")</f>
        <v>USD PKR rate for 14/10/2023</v>
      </c>
      <c r="I94" s="9"/>
    </row>
    <row r="95" spans="1:9" ht="14.25" customHeight="1" x14ac:dyDescent="0.3">
      <c r="A95" s="6">
        <v>31593</v>
      </c>
      <c r="B95" s="7">
        <v>16.8278</v>
      </c>
      <c r="C95" s="8">
        <f t="shared" si="1"/>
        <v>18.470030854417207</v>
      </c>
      <c r="D95" s="9">
        <f t="shared" si="0"/>
        <v>39.493238100557313</v>
      </c>
      <c r="E95" s="9"/>
      <c r="F95" s="9">
        <f ca="1">IFERROR(__xludf.DUMMYFUNCTION("""COMPUTED_VALUE"""),45212)</f>
        <v>45212</v>
      </c>
      <c r="G95" s="9" t="str">
        <f ca="1">IFERROR(__xludf.DUMMYFUNCTION("""COMPUTED_VALUE"""),"1 USD = 277.4514 PKR")</f>
        <v>1 USD = 277.4514 PKR</v>
      </c>
      <c r="H95" s="9" t="str">
        <f ca="1">IFERROR(__xludf.DUMMYFUNCTION("""COMPUTED_VALUE"""),"USD PKR rate for 13/10/2023")</f>
        <v>USD PKR rate for 13/10/2023</v>
      </c>
      <c r="I95" s="9"/>
    </row>
    <row r="96" spans="1:9" ht="14.25" customHeight="1" x14ac:dyDescent="0.3">
      <c r="A96" s="6">
        <v>31624</v>
      </c>
      <c r="B96" s="7">
        <v>16.907800000000002</v>
      </c>
      <c r="C96" s="8">
        <f t="shared" si="1"/>
        <v>18.572710237380559</v>
      </c>
      <c r="D96" s="9">
        <f t="shared" si="0"/>
        <v>39.578110917272546</v>
      </c>
      <c r="E96" s="9"/>
      <c r="F96" s="9">
        <f ca="1">IFERROR(__xludf.DUMMYFUNCTION("""COMPUTED_VALUE"""),45211)</f>
        <v>45211</v>
      </c>
      <c r="G96" s="9" t="str">
        <f ca="1">IFERROR(__xludf.DUMMYFUNCTION("""COMPUTED_VALUE"""),"1 USD = 278.4499 PKR")</f>
        <v>1 USD = 278.4499 PKR</v>
      </c>
      <c r="H96" s="9" t="str">
        <f ca="1">IFERROR(__xludf.DUMMYFUNCTION("""COMPUTED_VALUE"""),"USD PKR rate for 12/10/2023")</f>
        <v>USD PKR rate for 12/10/2023</v>
      </c>
      <c r="I96" s="9"/>
    </row>
    <row r="97" spans="1:9" ht="14.25" customHeight="1" x14ac:dyDescent="0.3">
      <c r="A97" s="6">
        <v>31655</v>
      </c>
      <c r="B97" s="7">
        <v>16.957799999999999</v>
      </c>
      <c r="C97" s="8">
        <f t="shared" si="1"/>
        <v>18.675960439947232</v>
      </c>
      <c r="D97" s="9">
        <f t="shared" si="0"/>
        <v>39.66298373398778</v>
      </c>
      <c r="E97" s="9"/>
      <c r="F97" s="9">
        <f ca="1">IFERROR(__xludf.DUMMYFUNCTION("""COMPUTED_VALUE"""),45210)</f>
        <v>45210</v>
      </c>
      <c r="G97" s="9" t="str">
        <f ca="1">IFERROR(__xludf.DUMMYFUNCTION("""COMPUTED_VALUE"""),"1 USD = 279.3697 PKR")</f>
        <v>1 USD = 279.3697 PKR</v>
      </c>
      <c r="H97" s="9" t="str">
        <f ca="1">IFERROR(__xludf.DUMMYFUNCTION("""COMPUTED_VALUE"""),"USD PKR rate for 11/10/2023")</f>
        <v>USD PKR rate for 11/10/2023</v>
      </c>
      <c r="I97" s="9"/>
    </row>
    <row r="98" spans="1:9" ht="14.25" customHeight="1" x14ac:dyDescent="0.3">
      <c r="A98" s="6">
        <v>31685</v>
      </c>
      <c r="B98" s="7">
        <v>17.0078</v>
      </c>
      <c r="C98" s="8">
        <f t="shared" si="1"/>
        <v>18.776426475916104</v>
      </c>
      <c r="D98" s="9">
        <f t="shared" si="0"/>
        <v>39.745118717905754</v>
      </c>
      <c r="E98" s="9"/>
      <c r="F98" s="9">
        <f ca="1">IFERROR(__xludf.DUMMYFUNCTION("""COMPUTED_VALUE"""),45209)</f>
        <v>45209</v>
      </c>
      <c r="G98" s="9" t="str">
        <f ca="1">IFERROR(__xludf.DUMMYFUNCTION("""COMPUTED_VALUE"""),"1 USD = 280.6542 PKR")</f>
        <v>1 USD = 280.6542 PKR</v>
      </c>
      <c r="H98" s="9" t="str">
        <f ca="1">IFERROR(__xludf.DUMMYFUNCTION("""COMPUTED_VALUE"""),"USD PKR rate for 10/10/2023")</f>
        <v>USD PKR rate for 10/10/2023</v>
      </c>
      <c r="I98" s="9"/>
    </row>
    <row r="99" spans="1:9" ht="14.25" customHeight="1" x14ac:dyDescent="0.3">
      <c r="A99" s="6">
        <v>31716</v>
      </c>
      <c r="B99" s="7">
        <v>17.107800000000001</v>
      </c>
      <c r="C99" s="8">
        <f t="shared" si="1"/>
        <v>18.880809186481141</v>
      </c>
      <c r="D99" s="9">
        <f t="shared" si="0"/>
        <v>39.829991534620987</v>
      </c>
      <c r="E99" s="9"/>
      <c r="F99" s="9">
        <f ca="1">IFERROR(__xludf.DUMMYFUNCTION("""COMPUTED_VALUE"""),45208)</f>
        <v>45208</v>
      </c>
      <c r="G99" s="9" t="str">
        <f ca="1">IFERROR(__xludf.DUMMYFUNCTION("""COMPUTED_VALUE"""),"1 USD = 281.3521 PKR")</f>
        <v>1 USD = 281.3521 PKR</v>
      </c>
      <c r="H99" s="9" t="str">
        <f ca="1">IFERROR(__xludf.DUMMYFUNCTION("""COMPUTED_VALUE"""),"USD PKR rate for 09/10/2023")</f>
        <v>USD PKR rate for 09/10/2023</v>
      </c>
      <c r="I99" s="9"/>
    </row>
    <row r="100" spans="1:9" ht="14.25" customHeight="1" x14ac:dyDescent="0.3">
      <c r="A100" s="6">
        <v>31746</v>
      </c>
      <c r="B100" s="7">
        <v>17.2578</v>
      </c>
      <c r="C100" s="8">
        <f t="shared" si="1"/>
        <v>18.982377192097228</v>
      </c>
      <c r="D100" s="9">
        <f t="shared" si="0"/>
        <v>39.912126518538962</v>
      </c>
      <c r="E100" s="9"/>
      <c r="F100" s="9">
        <f ca="1">IFERROR(__xludf.DUMMYFUNCTION("""COMPUTED_VALUE"""),45207)</f>
        <v>45207</v>
      </c>
      <c r="G100" s="9" t="str">
        <f ca="1">IFERROR(__xludf.DUMMYFUNCTION("""COMPUTED_VALUE"""),"1 USD = 278.8448 PKR")</f>
        <v>1 USD = 278.8448 PKR</v>
      </c>
      <c r="H100" s="9" t="str">
        <f ca="1">IFERROR(__xludf.DUMMYFUNCTION("""COMPUTED_VALUE"""),"USD PKR rate for 08/10/2023")</f>
        <v>USD PKR rate for 08/10/2023</v>
      </c>
      <c r="I100" s="9"/>
    </row>
    <row r="101" spans="1:9" ht="14.25" customHeight="1" x14ac:dyDescent="0.3">
      <c r="A101" s="6">
        <v>31777</v>
      </c>
      <c r="B101" s="7">
        <v>17.2578</v>
      </c>
      <c r="C101" s="8">
        <f t="shared" si="1"/>
        <v>19.087904832663998</v>
      </c>
      <c r="D101" s="9">
        <f t="shared" si="0"/>
        <v>39.996999335254195</v>
      </c>
      <c r="E101" s="9"/>
      <c r="F101" s="9">
        <f ca="1">IFERROR(__xludf.DUMMYFUNCTION("""COMPUTED_VALUE"""),45206)</f>
        <v>45206</v>
      </c>
      <c r="G101" s="9" t="str">
        <f ca="1">IFERROR(__xludf.DUMMYFUNCTION("""COMPUTED_VALUE"""),"1 USD = 277.6806 PKR")</f>
        <v>1 USD = 277.6806 PKR</v>
      </c>
      <c r="H101" s="9" t="str">
        <f ca="1">IFERROR(__xludf.DUMMYFUNCTION("""COMPUTED_VALUE"""),"USD PKR rate for 07/10/2023")</f>
        <v>USD PKR rate for 07/10/2023</v>
      </c>
      <c r="I101" s="9"/>
    </row>
    <row r="102" spans="1:9" ht="14.25" customHeight="1" x14ac:dyDescent="0.3">
      <c r="A102" s="6">
        <v>31808</v>
      </c>
      <c r="B102" s="7">
        <v>17.2578</v>
      </c>
      <c r="C102" s="8">
        <f t="shared" si="1"/>
        <v>19.194019126989193</v>
      </c>
      <c r="D102" s="9">
        <f t="shared" si="0"/>
        <v>40.081872151969428</v>
      </c>
      <c r="E102" s="9"/>
      <c r="F102" s="9">
        <f ca="1">IFERROR(__xludf.DUMMYFUNCTION("""COMPUTED_VALUE"""),45205)</f>
        <v>45205</v>
      </c>
      <c r="G102" s="9" t="str">
        <f ca="1">IFERROR(__xludf.DUMMYFUNCTION("""COMPUTED_VALUE"""),"1 USD = 277.635 PKR")</f>
        <v>1 USD = 277.635 PKR</v>
      </c>
      <c r="H102" s="9" t="str">
        <f ca="1">IFERROR(__xludf.DUMMYFUNCTION("""COMPUTED_VALUE"""),"USD PKR rate for 06/10/2023")</f>
        <v>USD PKR rate for 06/10/2023</v>
      </c>
      <c r="I102" s="9"/>
    </row>
    <row r="103" spans="1:9" ht="14.25" customHeight="1" x14ac:dyDescent="0.3">
      <c r="A103" s="6">
        <v>31836</v>
      </c>
      <c r="B103" s="7">
        <v>17.2578</v>
      </c>
      <c r="C103" s="8">
        <f t="shared" si="1"/>
        <v>19.290371249887119</v>
      </c>
      <c r="D103" s="9">
        <f t="shared" si="0"/>
        <v>40.158531470292871</v>
      </c>
      <c r="E103" s="9"/>
      <c r="F103" s="9">
        <f ca="1">IFERROR(__xludf.DUMMYFUNCTION("""COMPUTED_VALUE"""),45204)</f>
        <v>45204</v>
      </c>
      <c r="G103" s="9" t="str">
        <f ca="1">IFERROR(__xludf.DUMMYFUNCTION("""COMPUTED_VALUE"""),"1 USD = 283.7966 PKR")</f>
        <v>1 USD = 283.7966 PKR</v>
      </c>
      <c r="H103" s="9" t="str">
        <f ca="1">IFERROR(__xludf.DUMMYFUNCTION("""COMPUTED_VALUE"""),"USD PKR rate for 05/10/2023")</f>
        <v>USD PKR rate for 05/10/2023</v>
      </c>
      <c r="I103" s="9"/>
    </row>
    <row r="104" spans="1:9" ht="14.25" customHeight="1" x14ac:dyDescent="0.3">
      <c r="A104" s="6">
        <v>31867</v>
      </c>
      <c r="B104" s="7">
        <v>17.3078</v>
      </c>
      <c r="C104" s="8">
        <f t="shared" si="1"/>
        <v>19.397611104150744</v>
      </c>
      <c r="D104" s="9">
        <f t="shared" si="0"/>
        <v>40.243404287008104</v>
      </c>
      <c r="E104" s="9"/>
      <c r="F104" s="9">
        <f ca="1">IFERROR(__xludf.DUMMYFUNCTION("""COMPUTED_VALUE"""),45203)</f>
        <v>45203</v>
      </c>
      <c r="G104" s="9" t="str">
        <f ca="1">IFERROR(__xludf.DUMMYFUNCTION("""COMPUTED_VALUE"""),"1 USD = 284.5353 PKR")</f>
        <v>1 USD = 284.5353 PKR</v>
      </c>
      <c r="H104" s="9" t="str">
        <f ca="1">IFERROR(__xludf.DUMMYFUNCTION("""COMPUTED_VALUE"""),"USD PKR rate for 04/10/2023")</f>
        <v>USD PKR rate for 04/10/2023</v>
      </c>
      <c r="I104" s="9"/>
    </row>
    <row r="105" spans="1:9" ht="14.25" customHeight="1" x14ac:dyDescent="0.3">
      <c r="A105" s="6">
        <v>31897</v>
      </c>
      <c r="B105" s="7">
        <v>17.343299999999999</v>
      </c>
      <c r="C105" s="8">
        <f t="shared" si="1"/>
        <v>19.50195920989696</v>
      </c>
      <c r="D105" s="9">
        <f t="shared" si="0"/>
        <v>40.325539270926072</v>
      </c>
      <c r="E105" s="9"/>
      <c r="F105" s="9">
        <f ca="1">IFERROR(__xludf.DUMMYFUNCTION("""COMPUTED_VALUE"""),45202)</f>
        <v>45202</v>
      </c>
      <c r="G105" s="9" t="str">
        <f ca="1">IFERROR(__xludf.DUMMYFUNCTION("""COMPUTED_VALUE"""),"1 USD = 285.7364 PKR")</f>
        <v>1 USD = 285.7364 PKR</v>
      </c>
      <c r="H105" s="9" t="str">
        <f ca="1">IFERROR(__xludf.DUMMYFUNCTION("""COMPUTED_VALUE"""),"USD PKR rate for 03/10/2023")</f>
        <v>USD PKR rate for 03/10/2023</v>
      </c>
      <c r="I105" s="9"/>
    </row>
    <row r="106" spans="1:9" ht="14.25" customHeight="1" x14ac:dyDescent="0.3">
      <c r="A106" s="6">
        <v>31928</v>
      </c>
      <c r="B106" s="7">
        <v>17.343299999999999</v>
      </c>
      <c r="C106" s="8">
        <f t="shared" si="1"/>
        <v>19.610375332968562</v>
      </c>
      <c r="D106" s="9">
        <f t="shared" si="0"/>
        <v>40.410412087641312</v>
      </c>
      <c r="E106" s="9"/>
      <c r="F106" s="9">
        <f ca="1">IFERROR(__xludf.DUMMYFUNCTION("""COMPUTED_VALUE"""),45201)</f>
        <v>45201</v>
      </c>
      <c r="G106" s="9" t="str">
        <f ca="1">IFERROR(__xludf.DUMMYFUNCTION("""COMPUTED_VALUE"""),"1 USD = 286.9793 PKR")</f>
        <v>1 USD = 286.9793 PKR</v>
      </c>
      <c r="H106" s="9" t="str">
        <f ca="1">IFERROR(__xludf.DUMMYFUNCTION("""COMPUTED_VALUE"""),"USD PKR rate for 02/10/2023")</f>
        <v>USD PKR rate for 02/10/2023</v>
      </c>
      <c r="I106" s="9"/>
    </row>
    <row r="107" spans="1:9" ht="14.25" customHeight="1" x14ac:dyDescent="0.3">
      <c r="A107" s="6">
        <v>31958</v>
      </c>
      <c r="B107" s="7">
        <v>17.393400000000003</v>
      </c>
      <c r="C107" s="8">
        <f t="shared" si="1"/>
        <v>19.715867989150826</v>
      </c>
      <c r="D107" s="9">
        <f t="shared" si="0"/>
        <v>40.492547071559279</v>
      </c>
      <c r="E107" s="9"/>
      <c r="F107" s="9">
        <f ca="1">IFERROR(__xludf.DUMMYFUNCTION("""COMPUTED_VALUE"""),45200)</f>
        <v>45200</v>
      </c>
      <c r="G107" s="9" t="str">
        <f ca="1">IFERROR(__xludf.DUMMYFUNCTION("""COMPUTED_VALUE"""),"1 USD = 289.0941 PKR")</f>
        <v>1 USD = 289.0941 PKR</v>
      </c>
      <c r="H107" s="9" t="str">
        <f ca="1">IFERROR(__xludf.DUMMYFUNCTION("""COMPUTED_VALUE"""),"USD PKR rate for 01/10/2023")</f>
        <v>USD PKR rate for 01/10/2023</v>
      </c>
      <c r="I107" s="9"/>
    </row>
    <row r="108" spans="1:9" ht="14.25" customHeight="1" x14ac:dyDescent="0.3">
      <c r="A108" s="6">
        <v>31989</v>
      </c>
      <c r="B108" s="7">
        <v>17.543800000000001</v>
      </c>
      <c r="C108" s="8">
        <f t="shared" si="1"/>
        <v>19.825473283027694</v>
      </c>
      <c r="D108" s="9">
        <f t="shared" si="0"/>
        <v>40.57741988827452</v>
      </c>
      <c r="E108" s="9"/>
      <c r="F108" s="9">
        <f ca="1">IFERROR(__xludf.DUMMYFUNCTION("""COMPUTED_VALUE"""),45199)</f>
        <v>45199</v>
      </c>
      <c r="G108" s="9" t="str">
        <f ca="1">IFERROR(__xludf.DUMMYFUNCTION("""COMPUTED_VALUE"""),"1 USD = 289.3705 PKR")</f>
        <v>1 USD = 289.3705 PKR</v>
      </c>
      <c r="H108" s="9" t="str">
        <f ca="1">IFERROR(__xludf.DUMMYFUNCTION("""COMPUTED_VALUE"""),"USD PKR rate for 30/09/2023")</f>
        <v>USD PKR rate for 30/09/2023</v>
      </c>
      <c r="I108" s="9"/>
    </row>
    <row r="109" spans="1:9" ht="14.25" customHeight="1" x14ac:dyDescent="0.3">
      <c r="A109" s="6">
        <v>32020</v>
      </c>
      <c r="B109" s="7">
        <v>17.563800000000001</v>
      </c>
      <c r="C109" s="8">
        <f t="shared" si="1"/>
        <v>19.935687899327093</v>
      </c>
      <c r="D109" s="9">
        <f t="shared" si="0"/>
        <v>40.662292704989753</v>
      </c>
      <c r="E109" s="9"/>
      <c r="F109" s="9">
        <f ca="1">IFERROR(__xludf.DUMMYFUNCTION("""COMPUTED_VALUE"""),45198)</f>
        <v>45198</v>
      </c>
      <c r="G109" s="9" t="str">
        <f ca="1">IFERROR(__xludf.DUMMYFUNCTION("""COMPUTED_VALUE"""),"1 USD = 287.7503 PKR")</f>
        <v>1 USD = 287.7503 PKR</v>
      </c>
      <c r="H109" s="9" t="str">
        <f ca="1">IFERROR(__xludf.DUMMYFUNCTION("""COMPUTED_VALUE"""),"USD PKR rate for 29/09/2023")</f>
        <v>USD PKR rate for 29/09/2023</v>
      </c>
      <c r="I109" s="9"/>
    </row>
    <row r="110" spans="1:9" ht="14.25" customHeight="1" x14ac:dyDescent="0.3">
      <c r="A110" s="6">
        <v>32050</v>
      </c>
      <c r="B110" s="7">
        <v>17.563800000000001</v>
      </c>
      <c r="C110" s="8">
        <f t="shared" si="1"/>
        <v>20.042930551933797</v>
      </c>
      <c r="D110" s="9">
        <f t="shared" si="0"/>
        <v>40.74442768890772</v>
      </c>
      <c r="E110" s="9"/>
      <c r="F110" s="9">
        <f ca="1">IFERROR(__xludf.DUMMYFUNCTION("""COMPUTED_VALUE"""),45197)</f>
        <v>45197</v>
      </c>
      <c r="G110" s="9" t="str">
        <f ca="1">IFERROR(__xludf.DUMMYFUNCTION("""COMPUTED_VALUE"""),"1 USD = 287.6266 PKR")</f>
        <v>1 USD = 287.6266 PKR</v>
      </c>
      <c r="H110" s="9" t="str">
        <f ca="1">IFERROR(__xludf.DUMMYFUNCTION("""COMPUTED_VALUE"""),"USD PKR rate for 28/09/2023")</f>
        <v>USD PKR rate for 28/09/2023</v>
      </c>
      <c r="I110" s="9"/>
    </row>
    <row r="111" spans="1:9" ht="14.25" customHeight="1" x14ac:dyDescent="0.3">
      <c r="A111" s="6">
        <v>32081</v>
      </c>
      <c r="B111" s="7">
        <v>17.573899999999998</v>
      </c>
      <c r="C111" s="8">
        <f t="shared" si="1"/>
        <v>20.15435406595342</v>
      </c>
      <c r="D111" s="9">
        <f t="shared" si="0"/>
        <v>40.82930050562296</v>
      </c>
      <c r="E111" s="9"/>
      <c r="F111" s="9">
        <f ca="1">IFERROR(__xludf.DUMMYFUNCTION("""COMPUTED_VALUE"""),45196)</f>
        <v>45196</v>
      </c>
      <c r="G111" s="9" t="str">
        <f ca="1">IFERROR(__xludf.DUMMYFUNCTION("""COMPUTED_VALUE"""),"1 USD = 289.476 PKR")</f>
        <v>1 USD = 289.476 PKR</v>
      </c>
      <c r="H111" s="9" t="str">
        <f ca="1">IFERROR(__xludf.DUMMYFUNCTION("""COMPUTED_VALUE"""),"USD PKR rate for 27/09/2023")</f>
        <v>USD PKR rate for 27/09/2023</v>
      </c>
      <c r="I111" s="9"/>
    </row>
    <row r="112" spans="1:9" ht="14.25" customHeight="1" x14ac:dyDescent="0.3">
      <c r="A112" s="6">
        <v>32111</v>
      </c>
      <c r="B112" s="7">
        <v>17.543800000000001</v>
      </c>
      <c r="C112" s="8">
        <f t="shared" si="1"/>
        <v>20.262773018061949</v>
      </c>
      <c r="D112" s="9">
        <f t="shared" si="0"/>
        <v>40.911435489540928</v>
      </c>
      <c r="E112" s="9"/>
      <c r="F112" s="9">
        <f ca="1">IFERROR(__xludf.DUMMYFUNCTION("""COMPUTED_VALUE"""),45195)</f>
        <v>45195</v>
      </c>
      <c r="G112" s="9" t="str">
        <f ca="1">IFERROR(__xludf.DUMMYFUNCTION("""COMPUTED_VALUE"""),"1 USD = 287.9152 PKR")</f>
        <v>1 USD = 287.9152 PKR</v>
      </c>
      <c r="H112" s="9" t="str">
        <f ca="1">IFERROR(__xludf.DUMMYFUNCTION("""COMPUTED_VALUE"""),"USD PKR rate for 26/09/2023")</f>
        <v>USD PKR rate for 26/09/2023</v>
      </c>
      <c r="I112" s="9"/>
    </row>
    <row r="113" spans="1:9" ht="14.25" customHeight="1" x14ac:dyDescent="0.3">
      <c r="A113" s="6">
        <v>32142</v>
      </c>
      <c r="B113" s="7">
        <v>17.4937</v>
      </c>
      <c r="C113" s="8">
        <f t="shared" si="1"/>
        <v>20.37541868969187</v>
      </c>
      <c r="D113" s="9">
        <f t="shared" si="0"/>
        <v>40.996308306256168</v>
      </c>
      <c r="E113" s="9"/>
      <c r="F113" s="9">
        <f ca="1">IFERROR(__xludf.DUMMYFUNCTION("""COMPUTED_VALUE"""),45194)</f>
        <v>45194</v>
      </c>
      <c r="G113" s="9" t="str">
        <f ca="1">IFERROR(__xludf.DUMMYFUNCTION("""COMPUTED_VALUE"""),"1 USD = 290.5067 PKR")</f>
        <v>1 USD = 290.5067 PKR</v>
      </c>
      <c r="H113" s="9" t="str">
        <f ca="1">IFERROR(__xludf.DUMMYFUNCTION("""COMPUTED_VALUE"""),"USD PKR rate for 25/09/2023")</f>
        <v>USD PKR rate for 25/09/2023</v>
      </c>
      <c r="I113" s="9"/>
    </row>
    <row r="114" spans="1:9" ht="14.25" customHeight="1" x14ac:dyDescent="0.3">
      <c r="A114" s="6">
        <v>32173</v>
      </c>
      <c r="B114" s="7">
        <v>17.543800000000001</v>
      </c>
      <c r="C114" s="8">
        <f t="shared" si="1"/>
        <v>20.48869058594196</v>
      </c>
      <c r="D114" s="9">
        <f t="shared" si="0"/>
        <v>41.081181122971401</v>
      </c>
      <c r="E114" s="9"/>
      <c r="F114" s="9">
        <f ca="1">IFERROR(__xludf.DUMMYFUNCTION("""COMPUTED_VALUE"""),45193)</f>
        <v>45193</v>
      </c>
      <c r="G114" s="9" t="str">
        <f ca="1">IFERROR(__xludf.DUMMYFUNCTION("""COMPUTED_VALUE"""),"1 USD = 288.3681 PKR")</f>
        <v>1 USD = 288.3681 PKR</v>
      </c>
      <c r="H114" s="9" t="str">
        <f ca="1">IFERROR(__xludf.DUMMYFUNCTION("""COMPUTED_VALUE"""),"USD PKR rate for 24/09/2023")</f>
        <v>USD PKR rate for 24/09/2023</v>
      </c>
      <c r="I114" s="9"/>
    </row>
    <row r="115" spans="1:9" ht="14.25" customHeight="1" x14ac:dyDescent="0.3">
      <c r="A115" s="6">
        <v>32202</v>
      </c>
      <c r="B115" s="7">
        <v>17.593900000000001</v>
      </c>
      <c r="C115" s="8">
        <f t="shared" si="1"/>
        <v>20.595224627054783</v>
      </c>
      <c r="D115" s="9">
        <f t="shared" si="0"/>
        <v>41.160578274092103</v>
      </c>
      <c r="E115" s="9"/>
      <c r="F115" s="9">
        <f ca="1">IFERROR(__xludf.DUMMYFUNCTION("""COMPUTED_VALUE"""),45192)</f>
        <v>45192</v>
      </c>
      <c r="G115" s="9" t="str">
        <f ca="1">IFERROR(__xludf.DUMMYFUNCTION("""COMPUTED_VALUE"""),"1 USD = 292.9501 PKR")</f>
        <v>1 USD = 292.9501 PKR</v>
      </c>
      <c r="H115" s="9" t="str">
        <f ca="1">IFERROR(__xludf.DUMMYFUNCTION("""COMPUTED_VALUE"""),"USD PKR rate for 23/09/2023")</f>
        <v>USD PKR rate for 23/09/2023</v>
      </c>
      <c r="I115" s="9"/>
    </row>
    <row r="116" spans="1:9" ht="14.25" customHeight="1" x14ac:dyDescent="0.3">
      <c r="A116" s="6">
        <v>32233</v>
      </c>
      <c r="B116" s="7">
        <v>17.644000000000002</v>
      </c>
      <c r="C116" s="8">
        <f t="shared" si="1"/>
        <v>20.709718477842912</v>
      </c>
      <c r="D116" s="9">
        <f t="shared" si="0"/>
        <v>41.245451090807343</v>
      </c>
      <c r="E116" s="9"/>
      <c r="F116" s="9">
        <f ca="1">IFERROR(__xludf.DUMMYFUNCTION("""COMPUTED_VALUE"""),45191)</f>
        <v>45191</v>
      </c>
      <c r="G116" s="9" t="str">
        <f ca="1">IFERROR(__xludf.DUMMYFUNCTION("""COMPUTED_VALUE"""),"1 USD = 292.9501 PKR")</f>
        <v>1 USD = 292.9501 PKR</v>
      </c>
      <c r="H116" s="9" t="str">
        <f ca="1">IFERROR(__xludf.DUMMYFUNCTION("""COMPUTED_VALUE"""),"USD PKR rate for 22/09/2023")</f>
        <v>USD PKR rate for 22/09/2023</v>
      </c>
      <c r="I116" s="9"/>
    </row>
    <row r="117" spans="1:9" ht="14.25" customHeight="1" x14ac:dyDescent="0.3">
      <c r="A117" s="6">
        <v>32263</v>
      </c>
      <c r="B117" s="7">
        <v>17.644000000000002</v>
      </c>
      <c r="C117" s="8">
        <f t="shared" si="1"/>
        <v>20.821124974348955</v>
      </c>
      <c r="D117" s="9">
        <f t="shared" si="0"/>
        <v>41.327586074725311</v>
      </c>
      <c r="E117" s="9"/>
      <c r="F117" s="9">
        <f ca="1">IFERROR(__xludf.DUMMYFUNCTION("""COMPUTED_VALUE"""),45190)</f>
        <v>45190</v>
      </c>
      <c r="G117" s="9" t="str">
        <f ca="1">IFERROR(__xludf.DUMMYFUNCTION("""COMPUTED_VALUE"""),"1 USD = 290.9066 PKR")</f>
        <v>1 USD = 290.9066 PKR</v>
      </c>
      <c r="H117" s="9" t="str">
        <f ca="1">IFERROR(__xludf.DUMMYFUNCTION("""COMPUTED_VALUE"""),"USD PKR rate for 21/09/2023")</f>
        <v>USD PKR rate for 21/09/2023</v>
      </c>
      <c r="I117" s="9"/>
    </row>
    <row r="118" spans="1:9" ht="14.25" customHeight="1" x14ac:dyDescent="0.3">
      <c r="A118" s="6">
        <v>32294</v>
      </c>
      <c r="B118" s="7">
        <v>17.744299999999999</v>
      </c>
      <c r="C118" s="8">
        <f t="shared" si="1"/>
        <v>20.936874659978617</v>
      </c>
      <c r="D118" s="9">
        <f t="shared" si="0"/>
        <v>41.412458891440544</v>
      </c>
      <c r="E118" s="9"/>
      <c r="F118" s="9">
        <f ca="1">IFERROR(__xludf.DUMMYFUNCTION("""COMPUTED_VALUE"""),45189)</f>
        <v>45189</v>
      </c>
      <c r="G118" s="9" t="str">
        <f ca="1">IFERROR(__xludf.DUMMYFUNCTION("""COMPUTED_VALUE"""),"1 USD = 291.7055 PKR")</f>
        <v>1 USD = 291.7055 PKR</v>
      </c>
      <c r="H118" s="9" t="str">
        <f ca="1">IFERROR(__xludf.DUMMYFUNCTION("""COMPUTED_VALUE"""),"USD PKR rate for 20/09/2023")</f>
        <v>USD PKR rate for 20/09/2023</v>
      </c>
      <c r="I118" s="9"/>
    </row>
    <row r="119" spans="1:9" ht="14.25" customHeight="1" x14ac:dyDescent="0.3">
      <c r="A119" s="6">
        <v>32324</v>
      </c>
      <c r="B119" s="7">
        <v>18.045000000000002</v>
      </c>
      <c r="C119" s="8">
        <f t="shared" si="1"/>
        <v>21.049503127437038</v>
      </c>
      <c r="D119" s="9">
        <f t="shared" si="0"/>
        <v>41.494593875358518</v>
      </c>
      <c r="E119" s="9"/>
      <c r="F119" s="9">
        <f ca="1">IFERROR(__xludf.DUMMYFUNCTION("""COMPUTED_VALUE"""),45188)</f>
        <v>45188</v>
      </c>
      <c r="G119" s="9" t="str">
        <f ca="1">IFERROR(__xludf.DUMMYFUNCTION("""COMPUTED_VALUE"""),"1 USD = 294.7725 PKR")</f>
        <v>1 USD = 294.7725 PKR</v>
      </c>
      <c r="H119" s="9" t="str">
        <f ca="1">IFERROR(__xludf.DUMMYFUNCTION("""COMPUTED_VALUE"""),"USD PKR rate for 19/09/2023")</f>
        <v>USD PKR rate for 19/09/2023</v>
      </c>
      <c r="I119" s="9"/>
    </row>
    <row r="120" spans="1:9" ht="14.25" customHeight="1" x14ac:dyDescent="0.3">
      <c r="A120" s="6">
        <v>32355</v>
      </c>
      <c r="B120" s="7">
        <v>18.195399999999999</v>
      </c>
      <c r="C120" s="8">
        <f t="shared" si="1"/>
        <v>21.16652242263185</v>
      </c>
      <c r="D120" s="9">
        <f t="shared" si="0"/>
        <v>41.579466692073751</v>
      </c>
      <c r="E120" s="9"/>
      <c r="F120" s="9">
        <f ca="1">IFERROR(__xludf.DUMMYFUNCTION("""COMPUTED_VALUE"""),45187)</f>
        <v>45187</v>
      </c>
      <c r="G120" s="9" t="str">
        <f ca="1">IFERROR(__xludf.DUMMYFUNCTION("""COMPUTED_VALUE"""),"1 USD = 293.8159 PKR")</f>
        <v>1 USD = 293.8159 PKR</v>
      </c>
      <c r="H120" s="9" t="str">
        <f ca="1">IFERROR(__xludf.DUMMYFUNCTION("""COMPUTED_VALUE"""),"USD PKR rate for 18/09/2023")</f>
        <v>USD PKR rate for 18/09/2023</v>
      </c>
      <c r="I120" s="9"/>
    </row>
    <row r="121" spans="1:9" ht="14.25" customHeight="1" x14ac:dyDescent="0.3">
      <c r="A121" s="6">
        <v>32386</v>
      </c>
      <c r="B121" s="7">
        <v>18.345800000000001</v>
      </c>
      <c r="C121" s="8">
        <f t="shared" si="1"/>
        <v>21.284192256481429</v>
      </c>
      <c r="D121" s="9">
        <f t="shared" si="0"/>
        <v>41.664339508788991</v>
      </c>
      <c r="E121" s="9"/>
      <c r="F121" s="9">
        <f ca="1">IFERROR(__xludf.DUMMYFUNCTION("""COMPUTED_VALUE"""),45186)</f>
        <v>45186</v>
      </c>
      <c r="G121" s="9" t="str">
        <f ca="1">IFERROR(__xludf.DUMMYFUNCTION("""COMPUTED_VALUE"""),"1 USD = 296.5413 PKR")</f>
        <v>1 USD = 296.5413 PKR</v>
      </c>
      <c r="H121" s="9" t="str">
        <f ca="1">IFERROR(__xludf.DUMMYFUNCTION("""COMPUTED_VALUE"""),"USD PKR rate for 17/09/2023")</f>
        <v>USD PKR rate for 17/09/2023</v>
      </c>
      <c r="I121" s="9"/>
    </row>
    <row r="122" spans="1:9" ht="14.25" customHeight="1" x14ac:dyDescent="0.3">
      <c r="A122" s="6">
        <v>32416</v>
      </c>
      <c r="B122" s="7">
        <v>18.395900000000001</v>
      </c>
      <c r="C122" s="8">
        <f t="shared" si="1"/>
        <v>21.398689094900202</v>
      </c>
      <c r="D122" s="9">
        <f t="shared" si="0"/>
        <v>41.746474492706959</v>
      </c>
      <c r="E122" s="9"/>
      <c r="F122" s="9">
        <f ca="1">IFERROR(__xludf.DUMMYFUNCTION("""COMPUTED_VALUE"""),45185)</f>
        <v>45185</v>
      </c>
      <c r="G122" s="9" t="str">
        <f ca="1">IFERROR(__xludf.DUMMYFUNCTION("""COMPUTED_VALUE"""),"1 USD = 296.4203 PKR")</f>
        <v>1 USD = 296.4203 PKR</v>
      </c>
      <c r="H122" s="9" t="str">
        <f ca="1">IFERROR(__xludf.DUMMYFUNCTION("""COMPUTED_VALUE"""),"USD PKR rate for 16/09/2023")</f>
        <v>USD PKR rate for 16/09/2023</v>
      </c>
      <c r="I122" s="9"/>
    </row>
    <row r="123" spans="1:9" ht="14.25" customHeight="1" x14ac:dyDescent="0.3">
      <c r="A123" s="6">
        <v>32447</v>
      </c>
      <c r="B123" s="7">
        <v>18.596399999999999</v>
      </c>
      <c r="C123" s="8">
        <f t="shared" si="1"/>
        <v>21.51764959961227</v>
      </c>
      <c r="D123" s="9">
        <f t="shared" si="0"/>
        <v>41.831347309422192</v>
      </c>
      <c r="E123" s="9"/>
      <c r="F123" s="9">
        <f ca="1">IFERROR(__xludf.DUMMYFUNCTION("""COMPUTED_VALUE"""),45184)</f>
        <v>45184</v>
      </c>
      <c r="G123" s="9" t="str">
        <f ca="1">IFERROR(__xludf.DUMMYFUNCTION("""COMPUTED_VALUE"""),"1 USD = 297.025 PKR")</f>
        <v>1 USD = 297.025 PKR</v>
      </c>
      <c r="H123" s="9" t="str">
        <f ca="1">IFERROR(__xludf.DUMMYFUNCTION("""COMPUTED_VALUE"""),"USD PKR rate for 15/09/2023")</f>
        <v>USD PKR rate for 15/09/2023</v>
      </c>
      <c r="I123" s="9"/>
    </row>
    <row r="124" spans="1:9" ht="14.25" customHeight="1" x14ac:dyDescent="0.3">
      <c r="A124" s="6">
        <v>32477</v>
      </c>
      <c r="B124" s="7">
        <v>18.7468</v>
      </c>
      <c r="C124" s="8">
        <f t="shared" si="1"/>
        <v>21.633402305642651</v>
      </c>
      <c r="D124" s="9">
        <f t="shared" si="0"/>
        <v>41.913482293340167</v>
      </c>
      <c r="E124" s="9"/>
      <c r="F124" s="9">
        <f ca="1">IFERROR(__xludf.DUMMYFUNCTION("""COMPUTED_VALUE"""),45183)</f>
        <v>45183</v>
      </c>
      <c r="G124" s="9" t="str">
        <f ca="1">IFERROR(__xludf.DUMMYFUNCTION("""COMPUTED_VALUE"""),"1 USD = 297.8212 PKR")</f>
        <v>1 USD = 297.8212 PKR</v>
      </c>
      <c r="H124" s="9" t="str">
        <f ca="1">IFERROR(__xludf.DUMMYFUNCTION("""COMPUTED_VALUE"""),"USD PKR rate for 14/09/2023")</f>
        <v>USD PKR rate for 14/09/2023</v>
      </c>
      <c r="I124" s="9"/>
    </row>
    <row r="125" spans="1:9" ht="14.25" customHeight="1" x14ac:dyDescent="0.3">
      <c r="A125" s="6">
        <v>32508</v>
      </c>
      <c r="B125" s="7">
        <v>18.6967</v>
      </c>
      <c r="C125" s="8">
        <f t="shared" si="1"/>
        <v>21.753667638042462</v>
      </c>
      <c r="D125" s="9">
        <f t="shared" si="0"/>
        <v>41.9983551100554</v>
      </c>
      <c r="E125" s="9"/>
      <c r="F125" s="9">
        <f ca="1">IFERROR(__xludf.DUMMYFUNCTION("""COMPUTED_VALUE"""),45182)</f>
        <v>45182</v>
      </c>
      <c r="G125" s="9" t="str">
        <f ca="1">IFERROR(__xludf.DUMMYFUNCTION("""COMPUTED_VALUE"""),"1 USD = 295.3189 PKR")</f>
        <v>1 USD = 295.3189 PKR</v>
      </c>
      <c r="H125" s="9" t="str">
        <f ca="1">IFERROR(__xludf.DUMMYFUNCTION("""COMPUTED_VALUE"""),"USD PKR rate for 13/09/2023")</f>
        <v>USD PKR rate for 13/09/2023</v>
      </c>
      <c r="I125" s="9"/>
    </row>
    <row r="126" spans="1:9" ht="14.25" customHeight="1" x14ac:dyDescent="0.3">
      <c r="A126" s="6">
        <v>32539</v>
      </c>
      <c r="B126" s="7">
        <v>19.1478</v>
      </c>
      <c r="C126" s="8">
        <f t="shared" si="1"/>
        <v>21.874601554605455</v>
      </c>
      <c r="D126" s="9">
        <f t="shared" si="0"/>
        <v>42.083227926770633</v>
      </c>
      <c r="E126" s="9"/>
      <c r="F126" s="9">
        <f ca="1">IFERROR(__xludf.DUMMYFUNCTION("""COMPUTED_VALUE"""),45181)</f>
        <v>45181</v>
      </c>
      <c r="G126" s="9" t="str">
        <f ca="1">IFERROR(__xludf.DUMMYFUNCTION("""COMPUTED_VALUE"""),"1 USD = 299.6611 PKR")</f>
        <v>1 USD = 299.6611 PKR</v>
      </c>
      <c r="H126" s="9" t="str">
        <f ca="1">IFERROR(__xludf.DUMMYFUNCTION("""COMPUTED_VALUE"""),"USD PKR rate for 12/09/2023")</f>
        <v>USD PKR rate for 12/09/2023</v>
      </c>
      <c r="I126" s="9"/>
    </row>
    <row r="127" spans="1:9" ht="14.25" customHeight="1" x14ac:dyDescent="0.3">
      <c r="A127" s="6">
        <v>32567</v>
      </c>
      <c r="B127" s="7">
        <v>19.348299999999998</v>
      </c>
      <c r="C127" s="8">
        <f t="shared" si="1"/>
        <v>21.984409942488575</v>
      </c>
      <c r="D127" s="9">
        <f t="shared" si="0"/>
        <v>42.159887245094076</v>
      </c>
      <c r="E127" s="9"/>
      <c r="F127" s="9">
        <f ca="1">IFERROR(__xludf.DUMMYFUNCTION("""COMPUTED_VALUE"""),45180)</f>
        <v>45180</v>
      </c>
      <c r="G127" s="9" t="str">
        <f ca="1">IFERROR(__xludf.DUMMYFUNCTION("""COMPUTED_VALUE"""),"1 USD = 299.0639 PKR")</f>
        <v>1 USD = 299.0639 PKR</v>
      </c>
      <c r="H127" s="9" t="str">
        <f ca="1">IFERROR(__xludf.DUMMYFUNCTION("""COMPUTED_VALUE"""),"USD PKR rate for 11/09/2023")</f>
        <v>USD PKR rate for 11/09/2023</v>
      </c>
      <c r="I127" s="9"/>
    </row>
    <row r="128" spans="1:9" ht="14.25" customHeight="1" x14ac:dyDescent="0.3">
      <c r="A128" s="6">
        <v>32598</v>
      </c>
      <c r="B128" s="7">
        <v>19.799399999999999</v>
      </c>
      <c r="C128" s="8">
        <f t="shared" si="1"/>
        <v>22.10662661150775</v>
      </c>
      <c r="D128" s="9">
        <f t="shared" si="0"/>
        <v>42.244760061809309</v>
      </c>
      <c r="E128" s="9"/>
      <c r="F128" s="9">
        <f ca="1">IFERROR(__xludf.DUMMYFUNCTION("""COMPUTED_VALUE"""),45179)</f>
        <v>45179</v>
      </c>
      <c r="G128" s="9" t="str">
        <f ca="1">IFERROR(__xludf.DUMMYFUNCTION("""COMPUTED_VALUE"""),"1 USD = 306.3202 PKR")</f>
        <v>1 USD = 306.3202 PKR</v>
      </c>
      <c r="H128" s="9" t="str">
        <f ca="1">IFERROR(__xludf.DUMMYFUNCTION("""COMPUTED_VALUE"""),"USD PKR rate for 10/09/2023")</f>
        <v>USD PKR rate for 10/09/2023</v>
      </c>
      <c r="I128" s="9"/>
    </row>
    <row r="129" spans="1:9" ht="14.25" customHeight="1" x14ac:dyDescent="0.3">
      <c r="A129" s="6">
        <v>32628</v>
      </c>
      <c r="B129" s="7">
        <v>20.200399999999998</v>
      </c>
      <c r="C129" s="8">
        <f t="shared" si="1"/>
        <v>22.22554767858988</v>
      </c>
      <c r="D129" s="9">
        <f t="shared" si="0"/>
        <v>42.326895045727284</v>
      </c>
      <c r="E129" s="9"/>
      <c r="F129" s="9">
        <f ca="1">IFERROR(__xludf.DUMMYFUNCTION("""COMPUTED_VALUE"""),45178)</f>
        <v>45178</v>
      </c>
      <c r="G129" s="9" t="str">
        <f ca="1">IFERROR(__xludf.DUMMYFUNCTION("""COMPUTED_VALUE"""),"1 USD = 307.3751 PKR")</f>
        <v>1 USD = 307.3751 PKR</v>
      </c>
      <c r="H129" s="9" t="str">
        <f ca="1">IFERROR(__xludf.DUMMYFUNCTION("""COMPUTED_VALUE"""),"USD PKR rate for 09/09/2023")</f>
        <v>USD PKR rate for 09/09/2023</v>
      </c>
      <c r="I129" s="9"/>
    </row>
    <row r="130" spans="1:9" ht="14.25" customHeight="1" x14ac:dyDescent="0.3">
      <c r="A130" s="6">
        <v>32659</v>
      </c>
      <c r="B130" s="7">
        <v>21.152799999999999</v>
      </c>
      <c r="C130" s="8">
        <f t="shared" si="1"/>
        <v>22.349104890792063</v>
      </c>
      <c r="D130" s="9">
        <f t="shared" si="0"/>
        <v>42.411767862442517</v>
      </c>
      <c r="E130" s="9"/>
      <c r="F130" s="9">
        <f ca="1">IFERROR(__xludf.DUMMYFUNCTION("""COMPUTED_VALUE"""),45177)</f>
        <v>45177</v>
      </c>
      <c r="G130" s="9" t="str">
        <f ca="1">IFERROR(__xludf.DUMMYFUNCTION("""COMPUTED_VALUE"""),"1 USD = 307.3749 PKR")</f>
        <v>1 USD = 307.3749 PKR</v>
      </c>
      <c r="H130" s="9" t="str">
        <f ca="1">IFERROR(__xludf.DUMMYFUNCTION("""COMPUTED_VALUE"""),"USD PKR rate for 08/09/2023")</f>
        <v>USD PKR rate for 08/09/2023</v>
      </c>
      <c r="I130" s="9"/>
    </row>
    <row r="131" spans="1:9" ht="14.25" customHeight="1" x14ac:dyDescent="0.3">
      <c r="A131" s="6">
        <v>32689</v>
      </c>
      <c r="B131" s="7">
        <v>21.152799999999999</v>
      </c>
      <c r="C131" s="8">
        <f t="shared" si="1"/>
        <v>22.469330352987182</v>
      </c>
      <c r="D131" s="9">
        <f t="shared" si="0"/>
        <v>42.493902846360484</v>
      </c>
      <c r="E131" s="9"/>
      <c r="F131" s="9">
        <f ca="1">IFERROR(__xludf.DUMMYFUNCTION("""COMPUTED_VALUE"""),45176)</f>
        <v>45176</v>
      </c>
      <c r="G131" s="9" t="str">
        <f ca="1">IFERROR(__xludf.DUMMYFUNCTION("""COMPUTED_VALUE"""),"1 USD = 304.9588 PKR")</f>
        <v>1 USD = 304.9588 PKR</v>
      </c>
      <c r="H131" s="9" t="str">
        <f ca="1">IFERROR(__xludf.DUMMYFUNCTION("""COMPUTED_VALUE"""),"USD PKR rate for 07/09/2023")</f>
        <v>USD PKR rate for 07/09/2023</v>
      </c>
      <c r="I131" s="9"/>
    </row>
    <row r="132" spans="1:9" ht="14.25" customHeight="1" x14ac:dyDescent="0.3">
      <c r="A132" s="6">
        <v>32720</v>
      </c>
      <c r="B132" s="7">
        <v>21.102699999999999</v>
      </c>
      <c r="C132" s="8">
        <f t="shared" si="1"/>
        <v>22.594242812226135</v>
      </c>
      <c r="D132" s="9">
        <f t="shared" si="0"/>
        <v>42.578775663075724</v>
      </c>
      <c r="E132" s="9"/>
      <c r="F132" s="9">
        <f ca="1">IFERROR(__xludf.DUMMYFUNCTION("""COMPUTED_VALUE"""),45175)</f>
        <v>45175</v>
      </c>
      <c r="G132" s="9" t="str">
        <f ca="1">IFERROR(__xludf.DUMMYFUNCTION("""COMPUTED_VALUE"""),"1 USD = 307.4888 PKR")</f>
        <v>1 USD = 307.4888 PKR</v>
      </c>
      <c r="H132" s="9" t="str">
        <f ca="1">IFERROR(__xludf.DUMMYFUNCTION("""COMPUTED_VALUE"""),"USD PKR rate for 06/09/2023")</f>
        <v>USD PKR rate for 06/09/2023</v>
      </c>
      <c r="I132" s="9"/>
    </row>
    <row r="133" spans="1:9" ht="14.25" customHeight="1" x14ac:dyDescent="0.3">
      <c r="A133" s="6">
        <v>32751</v>
      </c>
      <c r="B133" s="7">
        <v>21.102699999999999</v>
      </c>
      <c r="C133" s="8">
        <f t="shared" si="1"/>
        <v>22.719849690133898</v>
      </c>
      <c r="D133" s="9">
        <f t="shared" si="0"/>
        <v>42.663648479790957</v>
      </c>
      <c r="E133" s="9"/>
      <c r="F133" s="9">
        <f ca="1">IFERROR(__xludf.DUMMYFUNCTION("""COMPUTED_VALUE"""),45174)</f>
        <v>45174</v>
      </c>
      <c r="G133" s="9" t="str">
        <f ca="1">IFERROR(__xludf.DUMMYFUNCTION("""COMPUTED_VALUE"""),"1 USD = 308.0983 PKR")</f>
        <v>1 USD = 308.0983 PKR</v>
      </c>
      <c r="H133" s="9" t="str">
        <f ca="1">IFERROR(__xludf.DUMMYFUNCTION("""COMPUTED_VALUE"""),"USD PKR rate for 05/09/2023")</f>
        <v>USD PKR rate for 05/09/2023</v>
      </c>
      <c r="I133" s="9"/>
    </row>
    <row r="134" spans="1:9" ht="14.25" customHeight="1" x14ac:dyDescent="0.3">
      <c r="A134" s="6">
        <v>32781</v>
      </c>
      <c r="B134" s="7">
        <v>21.122699999999998</v>
      </c>
      <c r="C134" s="8">
        <f t="shared" si="1"/>
        <v>22.842069548304835</v>
      </c>
      <c r="D134" s="9">
        <f t="shared" si="0"/>
        <v>42.745783463708932</v>
      </c>
      <c r="E134" s="9"/>
      <c r="F134" s="9">
        <f ca="1">IFERROR(__xludf.DUMMYFUNCTION("""COMPUTED_VALUE"""),45173)</f>
        <v>45173</v>
      </c>
      <c r="G134" s="9" t="str">
        <f ca="1">IFERROR(__xludf.DUMMYFUNCTION("""COMPUTED_VALUE"""),"1 USD = 306.6505 PKR")</f>
        <v>1 USD = 306.6505 PKR</v>
      </c>
      <c r="H134" s="9" t="str">
        <f ca="1">IFERROR(__xludf.DUMMYFUNCTION("""COMPUTED_VALUE"""),"USD PKR rate for 04/09/2023")</f>
        <v>USD PKR rate for 04/09/2023</v>
      </c>
      <c r="I134" s="9"/>
    </row>
    <row r="135" spans="1:9" ht="14.25" customHeight="1" x14ac:dyDescent="0.3">
      <c r="A135" s="6">
        <v>32812</v>
      </c>
      <c r="B135" s="7">
        <v>21.243000000000002</v>
      </c>
      <c r="C135" s="8">
        <f t="shared" si="1"/>
        <v>22.96905415516947</v>
      </c>
      <c r="D135" s="9">
        <f t="shared" si="0"/>
        <v>42.830656280424165</v>
      </c>
      <c r="E135" s="9"/>
      <c r="F135" s="9">
        <f ca="1">IFERROR(__xludf.DUMMYFUNCTION("""COMPUTED_VALUE"""),45172)</f>
        <v>45172</v>
      </c>
      <c r="G135" s="9" t="str">
        <f ca="1">IFERROR(__xludf.DUMMYFUNCTION("""COMPUTED_VALUE"""),"1 USD = 307.6633 PKR")</f>
        <v>1 USD = 307.6633 PKR</v>
      </c>
      <c r="H135" s="9" t="str">
        <f ca="1">IFERROR(__xludf.DUMMYFUNCTION("""COMPUTED_VALUE"""),"USD PKR rate for 03/09/2023")</f>
        <v>USD PKR rate for 03/09/2023</v>
      </c>
      <c r="I135" s="9"/>
    </row>
    <row r="136" spans="1:9" ht="14.25" customHeight="1" x14ac:dyDescent="0.3">
      <c r="A136" s="6">
        <v>32842</v>
      </c>
      <c r="B136" s="7">
        <v>21.403400000000001</v>
      </c>
      <c r="C136" s="8">
        <f t="shared" si="1"/>
        <v>23.092614591503889</v>
      </c>
      <c r="D136" s="9">
        <f t="shared" si="0"/>
        <v>42.912791264342133</v>
      </c>
      <c r="E136" s="9"/>
      <c r="F136" s="9">
        <f ca="1">IFERROR(__xludf.DUMMYFUNCTION("""COMPUTED_VALUE"""),45171)</f>
        <v>45171</v>
      </c>
      <c r="G136" s="9" t="str">
        <f ca="1">IFERROR(__xludf.DUMMYFUNCTION("""COMPUTED_VALUE"""),"1 USD = 306.2542 PKR")</f>
        <v>1 USD = 306.2542 PKR</v>
      </c>
      <c r="H136" s="9" t="str">
        <f ca="1">IFERROR(__xludf.DUMMYFUNCTION("""COMPUTED_VALUE"""),"USD PKR rate for 02/09/2023")</f>
        <v>USD PKR rate for 02/09/2023</v>
      </c>
      <c r="I136" s="9"/>
    </row>
    <row r="137" spans="1:9" ht="14.25" customHeight="1" x14ac:dyDescent="0.3">
      <c r="A137" s="6">
        <v>32873</v>
      </c>
      <c r="B137" s="7">
        <v>21.473600000000001</v>
      </c>
      <c r="C137" s="8">
        <f t="shared" si="1"/>
        <v>23.220992039054234</v>
      </c>
      <c r="D137" s="9">
        <f t="shared" si="0"/>
        <v>42.997664081057373</v>
      </c>
      <c r="E137" s="9"/>
      <c r="F137" s="9">
        <f ca="1">IFERROR(__xludf.DUMMYFUNCTION("""COMPUTED_VALUE"""),45170)</f>
        <v>45170</v>
      </c>
      <c r="G137" s="9" t="str">
        <f ca="1">IFERROR(__xludf.DUMMYFUNCTION("""COMPUTED_VALUE"""),"1 USD = 306.2539 PKR")</f>
        <v>1 USD = 306.2539 PKR</v>
      </c>
      <c r="H137" s="9" t="str">
        <f ca="1">IFERROR(__xludf.DUMMYFUNCTION("""COMPUTED_VALUE"""),"USD PKR rate for 01/09/2023")</f>
        <v>USD PKR rate for 01/09/2023</v>
      </c>
      <c r="I137" s="9"/>
    </row>
    <row r="138" spans="1:9" ht="14.25" customHeight="1" x14ac:dyDescent="0.3">
      <c r="A138" s="6">
        <v>32904</v>
      </c>
      <c r="B138" s="7">
        <v>21.473600000000001</v>
      </c>
      <c r="C138" s="8">
        <f t="shared" si="1"/>
        <v>23.350083167984145</v>
      </c>
      <c r="D138" s="9">
        <f t="shared" si="0"/>
        <v>43.082536897772606</v>
      </c>
      <c r="E138" s="9"/>
      <c r="F138" s="9">
        <f ca="1">IFERROR(__xludf.DUMMYFUNCTION("""COMPUTED_VALUE"""),45169)</f>
        <v>45169</v>
      </c>
      <c r="G138" s="9" t="str">
        <f ca="1">IFERROR(__xludf.DUMMYFUNCTION("""COMPUTED_VALUE"""),"1 USD = 303.3159 PKR")</f>
        <v>1 USD = 303.3159 PKR</v>
      </c>
      <c r="H138" s="9" t="str">
        <f ca="1">IFERROR(__xludf.DUMMYFUNCTION("""COMPUTED_VALUE"""),"USD PKR rate for 31/08/2023")</f>
        <v>USD PKR rate for 31/08/2023</v>
      </c>
      <c r="I138" s="9"/>
    </row>
    <row r="139" spans="1:9" ht="14.25" customHeight="1" x14ac:dyDescent="0.3">
      <c r="A139" s="6">
        <v>32932</v>
      </c>
      <c r="B139" s="7">
        <v>21.473600000000001</v>
      </c>
      <c r="C139" s="8">
        <f t="shared" si="1"/>
        <v>23.467298331113508</v>
      </c>
      <c r="D139" s="9">
        <f t="shared" si="0"/>
        <v>43.159196216096042</v>
      </c>
      <c r="E139" s="9"/>
      <c r="F139" s="9">
        <f ca="1">IFERROR(__xludf.DUMMYFUNCTION("""COMPUTED_VALUE"""),45168)</f>
        <v>45168</v>
      </c>
      <c r="G139" s="9" t="str">
        <f ca="1">IFERROR(__xludf.DUMMYFUNCTION("""COMPUTED_VALUE"""),"1 USD = 304.697 PKR")</f>
        <v>1 USD = 304.697 PKR</v>
      </c>
      <c r="H139" s="9" t="str">
        <f ca="1">IFERROR(__xludf.DUMMYFUNCTION("""COMPUTED_VALUE"""),"USD PKR rate for 30/08/2023")</f>
        <v>USD PKR rate for 30/08/2023</v>
      </c>
      <c r="I139" s="9"/>
    </row>
    <row r="140" spans="1:9" ht="14.25" customHeight="1" x14ac:dyDescent="0.3">
      <c r="A140" s="6">
        <v>32963</v>
      </c>
      <c r="B140" s="7">
        <v>21.573799999999999</v>
      </c>
      <c r="C140" s="8">
        <f t="shared" si="1"/>
        <v>23.597758736483076</v>
      </c>
      <c r="D140" s="9">
        <f t="shared" si="0"/>
        <v>43.244069032811282</v>
      </c>
      <c r="E140" s="9"/>
      <c r="F140" s="9">
        <f ca="1">IFERROR(__xludf.DUMMYFUNCTION("""COMPUTED_VALUE"""),45167)</f>
        <v>45167</v>
      </c>
      <c r="G140" s="9" t="str">
        <f ca="1">IFERROR(__xludf.DUMMYFUNCTION("""COMPUTED_VALUE"""),"1 USD = 304.1898 PKR")</f>
        <v>1 USD = 304.1898 PKR</v>
      </c>
      <c r="H140" s="9" t="str">
        <f ca="1">IFERROR(__xludf.DUMMYFUNCTION("""COMPUTED_VALUE"""),"USD PKR rate for 29/08/2023")</f>
        <v>USD PKR rate for 29/08/2023</v>
      </c>
      <c r="I140" s="9"/>
    </row>
    <row r="141" spans="1:9" ht="14.25" customHeight="1" x14ac:dyDescent="0.3">
      <c r="A141" s="6">
        <v>32993</v>
      </c>
      <c r="B141" s="7">
        <v>21.9147</v>
      </c>
      <c r="C141" s="8">
        <f t="shared" si="1"/>
        <v>23.724701245577993</v>
      </c>
      <c r="D141" s="9">
        <f t="shared" si="0"/>
        <v>43.32620401672925</v>
      </c>
      <c r="E141" s="9"/>
      <c r="F141" s="9">
        <f ca="1">IFERROR(__xludf.DUMMYFUNCTION("""COMPUTED_VALUE"""),45166)</f>
        <v>45166</v>
      </c>
      <c r="G141" s="9" t="str">
        <f ca="1">IFERROR(__xludf.DUMMYFUNCTION("""COMPUTED_VALUE"""),"1 USD = 303.5361 PKR")</f>
        <v>1 USD = 303.5361 PKR</v>
      </c>
      <c r="H141" s="9" t="str">
        <f ca="1">IFERROR(__xludf.DUMMYFUNCTION("""COMPUTED_VALUE"""),"USD PKR rate for 28/08/2023")</f>
        <v>USD PKR rate for 28/08/2023</v>
      </c>
      <c r="I141" s="9"/>
    </row>
    <row r="142" spans="1:9" ht="14.25" customHeight="1" x14ac:dyDescent="0.3">
      <c r="A142" s="6">
        <v>33024</v>
      </c>
      <c r="B142" s="7">
        <v>21.954799999999999</v>
      </c>
      <c r="C142" s="8">
        <f t="shared" si="1"/>
        <v>23.856592616203578</v>
      </c>
      <c r="D142" s="9">
        <f t="shared" si="0"/>
        <v>43.41107683344449</v>
      </c>
      <c r="E142" s="9"/>
      <c r="F142" s="9">
        <f ca="1">IFERROR(__xludf.DUMMYFUNCTION("""COMPUTED_VALUE"""),45165)</f>
        <v>45165</v>
      </c>
      <c r="G142" s="9" t="str">
        <f ca="1">IFERROR(__xludf.DUMMYFUNCTION("""COMPUTED_VALUE"""),"1 USD = 303.1867 PKR")</f>
        <v>1 USD = 303.1867 PKR</v>
      </c>
      <c r="H142" s="9" t="str">
        <f ca="1">IFERROR(__xludf.DUMMYFUNCTION("""COMPUTED_VALUE"""),"USD PKR rate for 27/08/2023")</f>
        <v>USD PKR rate for 27/08/2023</v>
      </c>
      <c r="I142" s="9"/>
    </row>
    <row r="143" spans="1:9" ht="14.25" customHeight="1" x14ac:dyDescent="0.3">
      <c r="A143" s="6">
        <v>33054</v>
      </c>
      <c r="B143" s="7">
        <v>21.8445</v>
      </c>
      <c r="C143" s="8">
        <f t="shared" si="1"/>
        <v>23.984927504231475</v>
      </c>
      <c r="D143" s="9">
        <f t="shared" si="0"/>
        <v>43.493211817362457</v>
      </c>
      <c r="E143" s="9"/>
      <c r="F143" s="9">
        <f ca="1">IFERROR(__xludf.DUMMYFUNCTION("""COMPUTED_VALUE"""),45164)</f>
        <v>45164</v>
      </c>
      <c r="G143" s="9" t="str">
        <f ca="1">IFERROR(__xludf.DUMMYFUNCTION("""COMPUTED_VALUE"""),"1 USD = 302.0281 PKR")</f>
        <v>1 USD = 302.0281 PKR</v>
      </c>
      <c r="H143" s="9" t="str">
        <f ca="1">IFERROR(__xludf.DUMMYFUNCTION("""COMPUTED_VALUE"""),"USD PKR rate for 26/08/2023")</f>
        <v>USD PKR rate for 26/08/2023</v>
      </c>
      <c r="I143" s="9"/>
    </row>
    <row r="144" spans="1:9" ht="14.25" customHeight="1" x14ac:dyDescent="0.3">
      <c r="A144" s="6">
        <v>33085</v>
      </c>
      <c r="B144" s="7">
        <v>21.7743</v>
      </c>
      <c r="C144" s="8">
        <f t="shared" si="1"/>
        <v>24.118265535768447</v>
      </c>
      <c r="D144" s="9">
        <f t="shared" si="0"/>
        <v>43.57808463407769</v>
      </c>
      <c r="E144" s="9"/>
      <c r="F144" s="9">
        <f ca="1">IFERROR(__xludf.DUMMYFUNCTION("""COMPUTED_VALUE"""),45163)</f>
        <v>45163</v>
      </c>
      <c r="G144" s="9" t="str">
        <f ca="1">IFERROR(__xludf.DUMMYFUNCTION("""COMPUTED_VALUE"""),"1 USD = 302.8297 PKR")</f>
        <v>1 USD = 302.8297 PKR</v>
      </c>
      <c r="H144" s="9" t="str">
        <f ca="1">IFERROR(__xludf.DUMMYFUNCTION("""COMPUTED_VALUE"""),"USD PKR rate for 25/08/2023")</f>
        <v>USD PKR rate for 25/08/2023</v>
      </c>
      <c r="I144" s="9"/>
    </row>
    <row r="145" spans="1:9" ht="14.25" customHeight="1" x14ac:dyDescent="0.3">
      <c r="A145" s="6">
        <v>33116</v>
      </c>
      <c r="B145" s="7">
        <v>21.7944</v>
      </c>
      <c r="C145" s="8">
        <f t="shared" si="1"/>
        <v>24.252344825774998</v>
      </c>
      <c r="D145" s="9">
        <f t="shared" si="0"/>
        <v>43.662957450792931</v>
      </c>
      <c r="E145" s="9"/>
      <c r="F145" s="9">
        <f ca="1">IFERROR(__xludf.DUMMYFUNCTION("""COMPUTED_VALUE"""),45162)</f>
        <v>45162</v>
      </c>
      <c r="G145" s="9" t="str">
        <f ca="1">IFERROR(__xludf.DUMMYFUNCTION("""COMPUTED_VALUE"""),"1 USD = 299.9975 PKR")</f>
        <v>1 USD = 299.9975 PKR</v>
      </c>
      <c r="H145" s="9" t="str">
        <f ca="1">IFERROR(__xludf.DUMMYFUNCTION("""COMPUTED_VALUE"""),"USD PKR rate for 24/08/2023")</f>
        <v>USD PKR rate for 24/08/2023</v>
      </c>
      <c r="I145" s="9"/>
    </row>
    <row r="146" spans="1:9" ht="14.25" customHeight="1" x14ac:dyDescent="0.3">
      <c r="A146" s="6">
        <v>33146</v>
      </c>
      <c r="B146" s="7">
        <v>21.7944</v>
      </c>
      <c r="C146" s="8">
        <f t="shared" si="1"/>
        <v>24.382808635410402</v>
      </c>
      <c r="D146" s="9">
        <f t="shared" si="0"/>
        <v>43.745092434710898</v>
      </c>
      <c r="E146" s="9"/>
      <c r="F146" s="9">
        <f ca="1">IFERROR(__xludf.DUMMYFUNCTION("""COMPUTED_VALUE"""),45161)</f>
        <v>45161</v>
      </c>
      <c r="G146" s="9" t="str">
        <f ca="1">IFERROR(__xludf.DUMMYFUNCTION("""COMPUTED_VALUE"""),"1 USD = 298.9065 PKR")</f>
        <v>1 USD = 298.9065 PKR</v>
      </c>
      <c r="H146" s="9" t="str">
        <f ca="1">IFERROR(__xludf.DUMMYFUNCTION("""COMPUTED_VALUE"""),"USD PKR rate for 23/08/2023")</f>
        <v>USD PKR rate for 23/08/2023</v>
      </c>
      <c r="I146" s="9"/>
    </row>
    <row r="147" spans="1:9" ht="14.25" customHeight="1" x14ac:dyDescent="0.3">
      <c r="A147" s="6">
        <v>33177</v>
      </c>
      <c r="B147" s="7">
        <v>21.904699999999998</v>
      </c>
      <c r="C147" s="8">
        <f t="shared" si="1"/>
        <v>24.518358584694788</v>
      </c>
      <c r="D147" s="9">
        <f t="shared" si="0"/>
        <v>43.829965251426131</v>
      </c>
      <c r="E147" s="9"/>
      <c r="F147" s="9">
        <f ca="1">IFERROR(__xludf.DUMMYFUNCTION("""COMPUTED_VALUE"""),45160)</f>
        <v>45160</v>
      </c>
      <c r="G147" s="9" t="str">
        <f ca="1">IFERROR(__xludf.DUMMYFUNCTION("""COMPUTED_VALUE"""),"1 USD = 297.4918 PKR")</f>
        <v>1 USD = 297.4918 PKR</v>
      </c>
      <c r="H147" s="9" t="str">
        <f ca="1">IFERROR(__xludf.DUMMYFUNCTION("""COMPUTED_VALUE"""),"USD PKR rate for 22/08/2023")</f>
        <v>USD PKR rate for 22/08/2023</v>
      </c>
      <c r="I147" s="9"/>
    </row>
    <row r="148" spans="1:9" ht="14.25" customHeight="1" x14ac:dyDescent="0.3">
      <c r="A148" s="6">
        <v>33207</v>
      </c>
      <c r="B148" s="7">
        <v>21.904699999999998</v>
      </c>
      <c r="C148" s="8">
        <f t="shared" si="1"/>
        <v>24.650253396926189</v>
      </c>
      <c r="D148" s="9">
        <f t="shared" si="0"/>
        <v>43.912100235344106</v>
      </c>
      <c r="E148" s="9"/>
      <c r="F148" s="9">
        <f ca="1">IFERROR(__xludf.DUMMYFUNCTION("""COMPUTED_VALUE"""),45159)</f>
        <v>45159</v>
      </c>
      <c r="G148" s="9" t="str">
        <f ca="1">IFERROR(__xludf.DUMMYFUNCTION("""COMPUTED_VALUE"""),"1 USD = 296.7689 PKR")</f>
        <v>1 USD = 296.7689 PKR</v>
      </c>
      <c r="H148" s="9" t="str">
        <f ca="1">IFERROR(__xludf.DUMMYFUNCTION("""COMPUTED_VALUE"""),"USD PKR rate for 21/08/2023")</f>
        <v>USD PKR rate for 21/08/2023</v>
      </c>
      <c r="I148" s="9"/>
    </row>
    <row r="149" spans="1:9" ht="14.25" customHeight="1" x14ac:dyDescent="0.3">
      <c r="A149" s="6">
        <v>33238</v>
      </c>
      <c r="B149" s="7">
        <v>21.954799999999999</v>
      </c>
      <c r="C149" s="8">
        <f t="shared" si="1"/>
        <v>24.787290136530839</v>
      </c>
      <c r="D149" s="9">
        <f t="shared" si="0"/>
        <v>43.996973052059339</v>
      </c>
      <c r="E149" s="9"/>
      <c r="F149" s="9">
        <f ca="1">IFERROR(__xludf.DUMMYFUNCTION("""COMPUTED_VALUE"""),45158)</f>
        <v>45158</v>
      </c>
      <c r="G149" s="9" t="str">
        <f ca="1">IFERROR(__xludf.DUMMYFUNCTION("""COMPUTED_VALUE"""),"1 USD = 295.9998 PKR")</f>
        <v>1 USD = 295.9998 PKR</v>
      </c>
      <c r="H149" s="9" t="str">
        <f ca="1">IFERROR(__xludf.DUMMYFUNCTION("""COMPUTED_VALUE"""),"USD PKR rate for 20/08/2023")</f>
        <v>USD PKR rate for 20/08/2023</v>
      </c>
      <c r="I149" s="9"/>
    </row>
    <row r="150" spans="1:9" ht="14.25" customHeight="1" x14ac:dyDescent="0.3">
      <c r="A150" s="6">
        <v>33269</v>
      </c>
      <c r="B150" s="7">
        <v>22.205400000000001</v>
      </c>
      <c r="C150" s="8">
        <f t="shared" si="1"/>
        <v>24.925088696620627</v>
      </c>
      <c r="D150" s="9">
        <f t="shared" si="0"/>
        <v>44.081845868774579</v>
      </c>
      <c r="E150" s="9"/>
      <c r="F150" s="9">
        <f ca="1">IFERROR(__xludf.DUMMYFUNCTION("""COMPUTED_VALUE"""),45157)</f>
        <v>45157</v>
      </c>
      <c r="G150" s="9" t="str">
        <f ca="1">IFERROR(__xludf.DUMMYFUNCTION("""COMPUTED_VALUE"""),"1 USD = 296.2229 PKR")</f>
        <v>1 USD = 296.2229 PKR</v>
      </c>
      <c r="H150" s="9" t="str">
        <f ca="1">IFERROR(__xludf.DUMMYFUNCTION("""COMPUTED_VALUE"""),"USD PKR rate for 19/08/2023")</f>
        <v>USD PKR rate for 19/08/2023</v>
      </c>
      <c r="I150" s="9"/>
    </row>
    <row r="151" spans="1:9" ht="14.25" customHeight="1" x14ac:dyDescent="0.3">
      <c r="A151" s="6">
        <v>33297</v>
      </c>
      <c r="B151" s="7">
        <v>22.205400000000001</v>
      </c>
      <c r="C151" s="8">
        <f t="shared" si="1"/>
        <v>25.05021023544213</v>
      </c>
      <c r="D151" s="9">
        <f t="shared" si="0"/>
        <v>44.158505187098015</v>
      </c>
      <c r="E151" s="9"/>
      <c r="F151" s="9">
        <f ca="1">IFERROR(__xludf.DUMMYFUNCTION("""COMPUTED_VALUE"""),45156)</f>
        <v>45156</v>
      </c>
      <c r="G151" s="9" t="str">
        <f ca="1">IFERROR(__xludf.DUMMYFUNCTION("""COMPUTED_VALUE"""),"1 USD = 294.9999 PKR")</f>
        <v>1 USD = 294.9999 PKR</v>
      </c>
      <c r="H151" s="9" t="str">
        <f ca="1">IFERROR(__xludf.DUMMYFUNCTION("""COMPUTED_VALUE"""),"USD PKR rate for 18/08/2023")</f>
        <v>USD PKR rate for 18/08/2023</v>
      </c>
      <c r="I151" s="9"/>
    </row>
    <row r="152" spans="1:9" ht="14.25" customHeight="1" x14ac:dyDescent="0.3">
      <c r="A152" s="6">
        <v>33328</v>
      </c>
      <c r="B152" s="7">
        <v>23.007400000000001</v>
      </c>
      <c r="C152" s="8">
        <f t="shared" si="1"/>
        <v>25.189470432154913</v>
      </c>
      <c r="D152" s="9">
        <f t="shared" si="0"/>
        <v>44.243378003813248</v>
      </c>
      <c r="E152" s="9"/>
      <c r="F152" s="9">
        <f ca="1">IFERROR(__xludf.DUMMYFUNCTION("""COMPUTED_VALUE"""),45155)</f>
        <v>45155</v>
      </c>
      <c r="G152" s="9" t="str">
        <f ca="1">IFERROR(__xludf.DUMMYFUNCTION("""COMPUTED_VALUE"""),"1 USD = 295.8749 PKR")</f>
        <v>1 USD = 295.8749 PKR</v>
      </c>
      <c r="H152" s="9" t="str">
        <f ca="1">IFERROR(__xludf.DUMMYFUNCTION("""COMPUTED_VALUE"""),"USD PKR rate for 17/08/2023")</f>
        <v>USD PKR rate for 17/08/2023</v>
      </c>
      <c r="I152" s="9"/>
    </row>
    <row r="153" spans="1:9" ht="14.25" customHeight="1" x14ac:dyDescent="0.3">
      <c r="A153" s="6">
        <v>33358</v>
      </c>
      <c r="B153" s="7">
        <v>23.558800000000005</v>
      </c>
      <c r="C153" s="8">
        <f t="shared" si="1"/>
        <v>25.324975444098538</v>
      </c>
      <c r="D153" s="9">
        <f t="shared" si="0"/>
        <v>44.325512987731223</v>
      </c>
      <c r="E153" s="9"/>
      <c r="F153" s="9">
        <f ca="1">IFERROR(__xludf.DUMMYFUNCTION("""COMPUTED_VALUE"""),45154)</f>
        <v>45154</v>
      </c>
      <c r="G153" s="9" t="str">
        <f ca="1">IFERROR(__xludf.DUMMYFUNCTION("""COMPUTED_VALUE"""),"1 USD = 293.6501 PKR")</f>
        <v>1 USD = 293.6501 PKR</v>
      </c>
      <c r="H153" s="9" t="str">
        <f ca="1">IFERROR(__xludf.DUMMYFUNCTION("""COMPUTED_VALUE"""),"USD PKR rate for 16/08/2023")</f>
        <v>USD PKR rate for 16/08/2023</v>
      </c>
      <c r="I153" s="9"/>
    </row>
    <row r="154" spans="1:9" ht="14.25" customHeight="1" x14ac:dyDescent="0.3">
      <c r="A154" s="6">
        <v>33389</v>
      </c>
      <c r="B154" s="7">
        <v>23.859500000000001</v>
      </c>
      <c r="C154" s="8">
        <f t="shared" si="1"/>
        <v>25.465763127273433</v>
      </c>
      <c r="D154" s="9">
        <f t="shared" si="0"/>
        <v>44.410385804446456</v>
      </c>
      <c r="E154" s="9"/>
      <c r="F154" s="9">
        <f ca="1">IFERROR(__xludf.DUMMYFUNCTION("""COMPUTED_VALUE"""),45153)</f>
        <v>45153</v>
      </c>
      <c r="G154" s="9" t="str">
        <f ca="1">IFERROR(__xludf.DUMMYFUNCTION("""COMPUTED_VALUE"""),"1 USD = 291.142 PKR")</f>
        <v>1 USD = 291.142 PKR</v>
      </c>
      <c r="H154" s="9" t="str">
        <f ca="1">IFERROR(__xludf.DUMMYFUNCTION("""COMPUTED_VALUE"""),"USD PKR rate for 15/08/2023")</f>
        <v>USD PKR rate for 15/08/2023</v>
      </c>
      <c r="I154" s="9"/>
    </row>
    <row r="155" spans="1:9" ht="14.25" customHeight="1" x14ac:dyDescent="0.3">
      <c r="A155" s="6">
        <v>33419</v>
      </c>
      <c r="B155" s="7">
        <v>24.360800000000005</v>
      </c>
      <c r="C155" s="8">
        <f t="shared" si="1"/>
        <v>25.602754436638534</v>
      </c>
      <c r="D155" s="9">
        <f t="shared" si="0"/>
        <v>44.492520788364423</v>
      </c>
      <c r="E155" s="9"/>
      <c r="F155" s="9">
        <f ca="1">IFERROR(__xludf.DUMMYFUNCTION("""COMPUTED_VALUE"""),45152)</f>
        <v>45152</v>
      </c>
      <c r="G155" s="9" t="str">
        <f ca="1">IFERROR(__xludf.DUMMYFUNCTION("""COMPUTED_VALUE"""),"1 USD = 288.1205 PKR")</f>
        <v>1 USD = 288.1205 PKR</v>
      </c>
      <c r="H155" s="9" t="str">
        <f ca="1">IFERROR(__xludf.DUMMYFUNCTION("""COMPUTED_VALUE"""),"USD PKR rate for 14/08/2023")</f>
        <v>USD PKR rate for 14/08/2023</v>
      </c>
      <c r="I155" s="9"/>
    </row>
    <row r="156" spans="1:9" ht="14.25" customHeight="1" x14ac:dyDescent="0.3">
      <c r="A156" s="6">
        <v>33450</v>
      </c>
      <c r="B156" s="7">
        <v>24.7117</v>
      </c>
      <c r="C156" s="8">
        <f t="shared" si="1"/>
        <v>25.74508636063138</v>
      </c>
      <c r="D156" s="9">
        <f t="shared" si="0"/>
        <v>44.577393605079664</v>
      </c>
      <c r="E156" s="9"/>
      <c r="F156" s="9">
        <f ca="1">IFERROR(__xludf.DUMMYFUNCTION("""COMPUTED_VALUE"""),45151)</f>
        <v>45151</v>
      </c>
      <c r="G156" s="9" t="str">
        <f ca="1">IFERROR(__xludf.DUMMYFUNCTION("""COMPUTED_VALUE"""),"1 USD = 289.4839 PKR")</f>
        <v>1 USD = 289.4839 PKR</v>
      </c>
      <c r="H156" s="9" t="str">
        <f ca="1">IFERROR(__xludf.DUMMYFUNCTION("""COMPUTED_VALUE"""),"USD PKR rate for 13/08/2023")</f>
        <v>USD PKR rate for 13/08/2023</v>
      </c>
      <c r="I156" s="9"/>
    </row>
    <row r="157" spans="1:9" ht="14.25" customHeight="1" x14ac:dyDescent="0.3">
      <c r="A157" s="6">
        <v>33481</v>
      </c>
      <c r="B157" s="7">
        <v>24.761800000000001</v>
      </c>
      <c r="C157" s="8">
        <f t="shared" si="1"/>
        <v>25.888209542324148</v>
      </c>
      <c r="D157" s="9">
        <f t="shared" si="0"/>
        <v>44.662266421794897</v>
      </c>
      <c r="E157" s="9"/>
      <c r="F157" s="9">
        <f ca="1">IFERROR(__xludf.DUMMYFUNCTION("""COMPUTED_VALUE"""),45150)</f>
        <v>45150</v>
      </c>
      <c r="G157" s="9" t="str">
        <f ca="1">IFERROR(__xludf.DUMMYFUNCTION("""COMPUTED_VALUE"""),"1 USD = 289.1626 PKR")</f>
        <v>1 USD = 289.1626 PKR</v>
      </c>
      <c r="H157" s="9" t="str">
        <f ca="1">IFERROR(__xludf.DUMMYFUNCTION("""COMPUTED_VALUE"""),"USD PKR rate for 12/08/2023")</f>
        <v>USD PKR rate for 12/08/2023</v>
      </c>
      <c r="I157" s="9"/>
    </row>
    <row r="158" spans="1:9" ht="14.25" customHeight="1" x14ac:dyDescent="0.3">
      <c r="A158" s="6">
        <v>33511</v>
      </c>
      <c r="B158" s="7">
        <v>24.6615</v>
      </c>
      <c r="C158" s="8">
        <f t="shared" si="1"/>
        <v>26.027473372926718</v>
      </c>
      <c r="D158" s="9">
        <f t="shared" si="0"/>
        <v>44.744401405712871</v>
      </c>
      <c r="E158" s="9"/>
      <c r="F158" s="9">
        <f ca="1">IFERROR(__xludf.DUMMYFUNCTION("""COMPUTED_VALUE"""),45149)</f>
        <v>45149</v>
      </c>
      <c r="G158" s="9" t="str">
        <f ca="1">IFERROR(__xludf.DUMMYFUNCTION("""COMPUTED_VALUE"""),"1 USD = 288.3736 PKR")</f>
        <v>1 USD = 288.3736 PKR</v>
      </c>
      <c r="H158" s="9" t="str">
        <f ca="1">IFERROR(__xludf.DUMMYFUNCTION("""COMPUTED_VALUE"""),"USD PKR rate for 11/08/2023")</f>
        <v>USD PKR rate for 11/08/2023</v>
      </c>
      <c r="I158" s="9"/>
    </row>
    <row r="159" spans="1:9" ht="14.25" customHeight="1" x14ac:dyDescent="0.3">
      <c r="A159" s="6">
        <v>33542</v>
      </c>
      <c r="B159" s="7">
        <v>24.741700000000002</v>
      </c>
      <c r="C159" s="8">
        <f t="shared" si="1"/>
        <v>26.172166412537308</v>
      </c>
      <c r="D159" s="9">
        <f t="shared" si="0"/>
        <v>44.829274222428104</v>
      </c>
      <c r="E159" s="9"/>
      <c r="F159" s="9">
        <f ca="1">IFERROR(__xludf.DUMMYFUNCTION("""COMPUTED_VALUE"""),45148)</f>
        <v>45148</v>
      </c>
      <c r="G159" s="9" t="str">
        <f ca="1">IFERROR(__xludf.DUMMYFUNCTION("""COMPUTED_VALUE"""),"1 USD = 287.6441 PKR")</f>
        <v>1 USD = 287.6441 PKR</v>
      </c>
      <c r="H159" s="9" t="str">
        <f ca="1">IFERROR(__xludf.DUMMYFUNCTION("""COMPUTED_VALUE"""),"USD PKR rate for 10/08/2023")</f>
        <v>USD PKR rate for 10/08/2023</v>
      </c>
      <c r="I159" s="9"/>
    </row>
    <row r="160" spans="1:9" ht="14.25" customHeight="1" x14ac:dyDescent="0.3">
      <c r="A160" s="6">
        <v>33572</v>
      </c>
      <c r="B160" s="7">
        <v>24.7818</v>
      </c>
      <c r="C160" s="8">
        <f t="shared" si="1"/>
        <v>26.312957769460557</v>
      </c>
      <c r="D160" s="9">
        <f t="shared" si="0"/>
        <v>44.911409206346072</v>
      </c>
      <c r="E160" s="9"/>
      <c r="F160" s="9">
        <f ca="1">IFERROR(__xludf.DUMMYFUNCTION("""COMPUTED_VALUE"""),45147)</f>
        <v>45147</v>
      </c>
      <c r="G160" s="9" t="str">
        <f ca="1">IFERROR(__xludf.DUMMYFUNCTION("""COMPUTED_VALUE"""),"1 USD = 287.4796 PKR")</f>
        <v>1 USD = 287.4796 PKR</v>
      </c>
      <c r="H160" s="9" t="str">
        <f ca="1">IFERROR(__xludf.DUMMYFUNCTION("""COMPUTED_VALUE"""),"USD PKR rate for 09/08/2023")</f>
        <v>USD PKR rate for 09/08/2023</v>
      </c>
      <c r="I160" s="9"/>
    </row>
    <row r="161" spans="1:9" ht="14.25" customHeight="1" x14ac:dyDescent="0.3">
      <c r="A161" s="6">
        <v>33603</v>
      </c>
      <c r="B161" s="7">
        <v>24.7818</v>
      </c>
      <c r="C161" s="8">
        <f t="shared" si="1"/>
        <v>26.459237886099505</v>
      </c>
      <c r="D161" s="9">
        <f t="shared" si="0"/>
        <v>44.996282023061312</v>
      </c>
      <c r="E161" s="9"/>
      <c r="F161" s="9">
        <f ca="1">IFERROR(__xludf.DUMMYFUNCTION("""COMPUTED_VALUE"""),45146)</f>
        <v>45146</v>
      </c>
      <c r="G161" s="9" t="str">
        <f ca="1">IFERROR(__xludf.DUMMYFUNCTION("""COMPUTED_VALUE"""),"1 USD = 287.9492 PKR")</f>
        <v>1 USD = 287.9492 PKR</v>
      </c>
      <c r="H161" s="9" t="str">
        <f ca="1">IFERROR(__xludf.DUMMYFUNCTION("""COMPUTED_VALUE"""),"USD PKR rate for 08/08/2023")</f>
        <v>USD PKR rate for 08/08/2023</v>
      </c>
      <c r="I161" s="9"/>
    </row>
    <row r="162" spans="1:9" ht="14.25" customHeight="1" x14ac:dyDescent="0.3">
      <c r="A162" s="6">
        <v>33634</v>
      </c>
      <c r="B162" s="7">
        <v>24.7117</v>
      </c>
      <c r="C162" s="8">
        <f t="shared" si="1"/>
        <v>26.606331209399269</v>
      </c>
      <c r="D162" s="9">
        <f t="shared" si="0"/>
        <v>45.081154839776545</v>
      </c>
      <c r="E162" s="9"/>
      <c r="F162" s="9">
        <f ca="1">IFERROR(__xludf.DUMMYFUNCTION("""COMPUTED_VALUE"""),45145)</f>
        <v>45145</v>
      </c>
      <c r="G162" s="9" t="str">
        <f ca="1">IFERROR(__xludf.DUMMYFUNCTION("""COMPUTED_VALUE"""),"1 USD = 283.6071 PKR")</f>
        <v>1 USD = 283.6071 PKR</v>
      </c>
      <c r="H162" s="9" t="str">
        <f ca="1">IFERROR(__xludf.DUMMYFUNCTION("""COMPUTED_VALUE"""),"USD PKR rate for 07/08/2023")</f>
        <v>USD PKR rate for 07/08/2023</v>
      </c>
      <c r="I162" s="9"/>
    </row>
    <row r="163" spans="1:9" ht="14.25" customHeight="1" x14ac:dyDescent="0.3">
      <c r="A163" s="6">
        <v>33663</v>
      </c>
      <c r="B163" s="7">
        <v>24.741700000000002</v>
      </c>
      <c r="C163" s="8">
        <f t="shared" si="1"/>
        <v>26.744674846882301</v>
      </c>
      <c r="D163" s="9">
        <f t="shared" si="0"/>
        <v>45.160551990897254</v>
      </c>
      <c r="E163" s="9"/>
      <c r="F163" s="9">
        <f ca="1">IFERROR(__xludf.DUMMYFUNCTION("""COMPUTED_VALUE"""),45144)</f>
        <v>45144</v>
      </c>
      <c r="G163" s="9" t="str">
        <f ca="1">IFERROR(__xludf.DUMMYFUNCTION("""COMPUTED_VALUE"""),"1 USD = 287.8735 PKR")</f>
        <v>1 USD = 287.8735 PKR</v>
      </c>
      <c r="H163" s="9" t="str">
        <f ca="1">IFERROR(__xludf.DUMMYFUNCTION("""COMPUTED_VALUE"""),"USD PKR rate for 06/08/2023")</f>
        <v>USD PKR rate for 06/08/2023</v>
      </c>
      <c r="I163" s="9"/>
    </row>
    <row r="164" spans="1:9" ht="14.25" customHeight="1" x14ac:dyDescent="0.3">
      <c r="A164" s="6">
        <v>33694</v>
      </c>
      <c r="B164" s="7">
        <v>25.0425</v>
      </c>
      <c r="C164" s="8">
        <f t="shared" si="1"/>
        <v>26.893354983503542</v>
      </c>
      <c r="D164" s="9">
        <f t="shared" si="0"/>
        <v>45.245424807612487</v>
      </c>
      <c r="E164" s="9"/>
      <c r="F164" s="9">
        <f ca="1">IFERROR(__xludf.DUMMYFUNCTION("""COMPUTED_VALUE"""),45143)</f>
        <v>45143</v>
      </c>
      <c r="G164" s="9" t="str">
        <f ca="1">IFERROR(__xludf.DUMMYFUNCTION("""COMPUTED_VALUE"""),"1 USD = 283.5329 PKR")</f>
        <v>1 USD = 283.5329 PKR</v>
      </c>
      <c r="H164" s="9" t="str">
        <f ca="1">IFERROR(__xludf.DUMMYFUNCTION("""COMPUTED_VALUE"""),"USD PKR rate for 05/08/2023")</f>
        <v>USD PKR rate for 05/08/2023</v>
      </c>
      <c r="I164" s="9"/>
    </row>
    <row r="165" spans="1:9" ht="14.25" customHeight="1" x14ac:dyDescent="0.3">
      <c r="A165" s="6">
        <v>33724</v>
      </c>
      <c r="B165" s="7">
        <v>25.1127</v>
      </c>
      <c r="C165" s="8">
        <f t="shared" si="1"/>
        <v>27.038025924405577</v>
      </c>
      <c r="D165" s="9">
        <f t="shared" si="0"/>
        <v>45.327559791530454</v>
      </c>
      <c r="E165" s="9"/>
      <c r="F165" s="9">
        <f ca="1">IFERROR(__xludf.DUMMYFUNCTION("""COMPUTED_VALUE"""),45142)</f>
        <v>45142</v>
      </c>
      <c r="G165" s="9" t="str">
        <f ca="1">IFERROR(__xludf.DUMMYFUNCTION("""COMPUTED_VALUE"""),"1 USD = 283.5329 PKR")</f>
        <v>1 USD = 283.5329 PKR</v>
      </c>
      <c r="H165" s="9" t="str">
        <f ca="1">IFERROR(__xludf.DUMMYFUNCTION("""COMPUTED_VALUE"""),"USD PKR rate for 04/08/2023")</f>
        <v>USD PKR rate for 04/08/2023</v>
      </c>
      <c r="I165" s="9"/>
    </row>
    <row r="166" spans="1:9" ht="14.25" customHeight="1" x14ac:dyDescent="0.3">
      <c r="A166" s="6">
        <v>33755</v>
      </c>
      <c r="B166" s="7">
        <v>25.162700000000001</v>
      </c>
      <c r="C166" s="8">
        <f t="shared" si="1"/>
        <v>27.188336870843507</v>
      </c>
      <c r="D166" s="9">
        <f t="shared" si="0"/>
        <v>45.412432608245695</v>
      </c>
      <c r="E166" s="9"/>
      <c r="F166" s="9">
        <f ca="1">IFERROR(__xludf.DUMMYFUNCTION("""COMPUTED_VALUE"""),45141)</f>
        <v>45141</v>
      </c>
      <c r="G166" s="9" t="str">
        <f ca="1">IFERROR(__xludf.DUMMYFUNCTION("""COMPUTED_VALUE"""),"1 USD = 286.0053 PKR")</f>
        <v>1 USD = 286.0053 PKR</v>
      </c>
      <c r="H166" s="9" t="str">
        <f ca="1">IFERROR(__xludf.DUMMYFUNCTION("""COMPUTED_VALUE"""),"USD PKR rate for 03/08/2023")</f>
        <v>USD PKR rate for 03/08/2023</v>
      </c>
      <c r="I166" s="9"/>
    </row>
    <row r="167" spans="1:9" ht="14.25" customHeight="1" x14ac:dyDescent="0.3">
      <c r="A167" s="6">
        <v>33785</v>
      </c>
      <c r="B167" s="7">
        <v>25.192900000000002</v>
      </c>
      <c r="C167" s="8">
        <f t="shared" si="1"/>
        <v>27.334594646382435</v>
      </c>
      <c r="D167" s="9">
        <f t="shared" si="0"/>
        <v>45.494567592163662</v>
      </c>
      <c r="E167" s="9"/>
      <c r="F167" s="9">
        <f ca="1">IFERROR(__xludf.DUMMYFUNCTION("""COMPUTED_VALUE"""),45140)</f>
        <v>45140</v>
      </c>
      <c r="G167" s="9" t="str">
        <f ca="1">IFERROR(__xludf.DUMMYFUNCTION("""COMPUTED_VALUE"""),"1 USD = 285.3991 PKR")</f>
        <v>1 USD = 285.3991 PKR</v>
      </c>
      <c r="H167" s="9" t="str">
        <f ca="1">IFERROR(__xludf.DUMMYFUNCTION("""COMPUTED_VALUE"""),"USD PKR rate for 02/08/2023")</f>
        <v>USD PKR rate for 02/08/2023</v>
      </c>
      <c r="I167" s="9"/>
    </row>
    <row r="168" spans="1:9" ht="14.25" customHeight="1" x14ac:dyDescent="0.3">
      <c r="A168" s="6">
        <v>33816</v>
      </c>
      <c r="B168" s="7">
        <v>25.192900000000002</v>
      </c>
      <c r="C168" s="8">
        <f t="shared" si="1"/>
        <v>27.486554290303271</v>
      </c>
      <c r="D168" s="9">
        <f t="shared" si="0"/>
        <v>45.579440408878895</v>
      </c>
      <c r="E168" s="9"/>
      <c r="F168" s="9">
        <f ca="1">IFERROR(__xludf.DUMMYFUNCTION("""COMPUTED_VALUE"""),45139)</f>
        <v>45139</v>
      </c>
      <c r="G168" s="9" t="str">
        <f ca="1">IFERROR(__xludf.DUMMYFUNCTION("""COMPUTED_VALUE"""),"1 USD = 287.4539 PKR")</f>
        <v>1 USD = 287.4539 PKR</v>
      </c>
      <c r="H168" s="9" t="str">
        <f ca="1">IFERROR(__xludf.DUMMYFUNCTION("""COMPUTED_VALUE"""),"USD PKR rate for 01/08/2023")</f>
        <v>USD PKR rate for 01/08/2023</v>
      </c>
      <c r="I168" s="9"/>
    </row>
    <row r="169" spans="1:9" ht="14.25" customHeight="1" x14ac:dyDescent="0.3">
      <c r="A169" s="6">
        <v>33847</v>
      </c>
      <c r="B169" s="7">
        <v>25.142700000000001</v>
      </c>
      <c r="C169" s="8">
        <f t="shared" si="1"/>
        <v>27.639358714755122</v>
      </c>
      <c r="D169" s="9">
        <f t="shared" si="0"/>
        <v>45.664313225594135</v>
      </c>
      <c r="E169" s="9"/>
      <c r="F169" s="9">
        <f ca="1">IFERROR(__xludf.DUMMYFUNCTION("""COMPUTED_VALUE"""),45138)</f>
        <v>45138</v>
      </c>
      <c r="G169" s="9" t="str">
        <f ca="1">IFERROR(__xludf.DUMMYFUNCTION("""COMPUTED_VALUE"""),"1 USD = 286.6692 PKR")</f>
        <v>1 USD = 286.6692 PKR</v>
      </c>
      <c r="H169" s="9" t="str">
        <f ca="1">IFERROR(__xludf.DUMMYFUNCTION("""COMPUTED_VALUE"""),"USD PKR rate for 31/07/2023")</f>
        <v>USD PKR rate for 31/07/2023</v>
      </c>
      <c r="I169" s="9"/>
    </row>
    <row r="170" spans="1:9" ht="14.25" customHeight="1" x14ac:dyDescent="0.3">
      <c r="A170" s="6">
        <v>33877</v>
      </c>
      <c r="B170" s="7">
        <v>25.142700000000001</v>
      </c>
      <c r="C170" s="8">
        <f t="shared" si="1"/>
        <v>27.788042731072345</v>
      </c>
      <c r="D170" s="9">
        <f t="shared" si="0"/>
        <v>45.746448209512103</v>
      </c>
      <c r="E170" s="9"/>
      <c r="F170" s="9">
        <f ca="1">IFERROR(__xludf.DUMMYFUNCTION("""COMPUTED_VALUE"""),45137)</f>
        <v>45137</v>
      </c>
      <c r="G170" s="9" t="str">
        <f ca="1">IFERROR(__xludf.DUMMYFUNCTION("""COMPUTED_VALUE"""),"1 USD = 285.5341 PKR")</f>
        <v>1 USD = 285.5341 PKR</v>
      </c>
      <c r="H170" s="9" t="str">
        <f ca="1">IFERROR(__xludf.DUMMYFUNCTION("""COMPUTED_VALUE"""),"USD PKR rate for 30/07/2023")</f>
        <v>USD PKR rate for 30/07/2023</v>
      </c>
      <c r="I170" s="9"/>
    </row>
    <row r="171" spans="1:9" ht="14.25" customHeight="1" x14ac:dyDescent="0.3">
      <c r="A171" s="6">
        <v>33908</v>
      </c>
      <c r="B171" s="7">
        <v>25.313199999999998</v>
      </c>
      <c r="C171" s="8">
        <f t="shared" si="1"/>
        <v>27.942523202917556</v>
      </c>
      <c r="D171" s="9">
        <f t="shared" si="0"/>
        <v>45.831321026227343</v>
      </c>
      <c r="E171" s="9"/>
      <c r="F171" s="9">
        <f ca="1">IFERROR(__xludf.DUMMYFUNCTION("""COMPUTED_VALUE"""),45136)</f>
        <v>45136</v>
      </c>
      <c r="G171" s="9" t="str">
        <f ca="1">IFERROR(__xludf.DUMMYFUNCTION("""COMPUTED_VALUE"""),"1 USD = 285.3093 PKR")</f>
        <v>1 USD = 285.3093 PKR</v>
      </c>
      <c r="H171" s="9" t="str">
        <f ca="1">IFERROR(__xludf.DUMMYFUNCTION("""COMPUTED_VALUE"""),"USD PKR rate for 29/07/2023")</f>
        <v>USD PKR rate for 29/07/2023</v>
      </c>
      <c r="I171" s="9"/>
    </row>
    <row r="172" spans="1:9" ht="14.25" customHeight="1" x14ac:dyDescent="0.3">
      <c r="A172" s="6">
        <v>33938</v>
      </c>
      <c r="B172" s="7">
        <v>25.634</v>
      </c>
      <c r="C172" s="8">
        <f t="shared" si="1"/>
        <v>28.09283807160622</v>
      </c>
      <c r="D172" s="9">
        <f t="shared" si="0"/>
        <v>45.91345601014531</v>
      </c>
      <c r="E172" s="9"/>
      <c r="F172" s="9">
        <f ca="1">IFERROR(__xludf.DUMMYFUNCTION("""COMPUTED_VALUE"""),45135)</f>
        <v>45135</v>
      </c>
      <c r="G172" s="9" t="str">
        <f ca="1">IFERROR(__xludf.DUMMYFUNCTION("""COMPUTED_VALUE"""),"1 USD = 286.4039 PKR")</f>
        <v>1 USD = 286.4039 PKR</v>
      </c>
      <c r="H172" s="9" t="str">
        <f ca="1">IFERROR(__xludf.DUMMYFUNCTION("""COMPUTED_VALUE"""),"USD PKR rate for 28/07/2023")</f>
        <v>USD PKR rate for 28/07/2023</v>
      </c>
      <c r="I172" s="9"/>
    </row>
    <row r="173" spans="1:9" ht="14.25" customHeight="1" x14ac:dyDescent="0.3">
      <c r="A173" s="6">
        <v>33969</v>
      </c>
      <c r="B173" s="7">
        <v>25.764299999999999</v>
      </c>
      <c r="C173" s="8">
        <f t="shared" si="1"/>
        <v>28.249012974702925</v>
      </c>
      <c r="D173" s="9">
        <f t="shared" si="0"/>
        <v>45.998328826860543</v>
      </c>
      <c r="E173" s="9"/>
      <c r="F173" s="9">
        <f ca="1">IFERROR(__xludf.DUMMYFUNCTION("""COMPUTED_VALUE"""),45134)</f>
        <v>45134</v>
      </c>
      <c r="G173" s="9" t="str">
        <f ca="1">IFERROR(__xludf.DUMMYFUNCTION("""COMPUTED_VALUE"""),"1 USD = 286.8486 PKR")</f>
        <v>1 USD = 286.8486 PKR</v>
      </c>
      <c r="H173" s="9" t="str">
        <f ca="1">IFERROR(__xludf.DUMMYFUNCTION("""COMPUTED_VALUE"""),"USD PKR rate for 27/07/2023")</f>
        <v>USD PKR rate for 27/07/2023</v>
      </c>
      <c r="I173" s="9"/>
    </row>
    <row r="174" spans="1:9" ht="14.25" customHeight="1" x14ac:dyDescent="0.3">
      <c r="A174" s="6">
        <v>34000</v>
      </c>
      <c r="B174" s="7">
        <v>26.065000000000001</v>
      </c>
      <c r="C174" s="8">
        <f t="shared" si="1"/>
        <v>28.406056091979185</v>
      </c>
      <c r="D174" s="9">
        <f t="shared" si="0"/>
        <v>46.083201643575784</v>
      </c>
      <c r="E174" s="9"/>
      <c r="F174" s="9">
        <f ca="1">IFERROR(__xludf.DUMMYFUNCTION("""COMPUTED_VALUE"""),45133)</f>
        <v>45133</v>
      </c>
      <c r="G174" s="9" t="str">
        <f ca="1">IFERROR(__xludf.DUMMYFUNCTION("""COMPUTED_VALUE"""),"1 USD = 287.0836 PKR")</f>
        <v>1 USD = 287.0836 PKR</v>
      </c>
      <c r="H174" s="9" t="str">
        <f ca="1">IFERROR(__xludf.DUMMYFUNCTION("""COMPUTED_VALUE"""),"USD PKR rate for 26/07/2023")</f>
        <v>USD PKR rate for 26/07/2023</v>
      </c>
      <c r="I174" s="9"/>
    </row>
    <row r="175" spans="1:9" ht="14.25" customHeight="1" x14ac:dyDescent="0.3">
      <c r="A175" s="6">
        <v>34028</v>
      </c>
      <c r="B175" s="7">
        <v>26.3157</v>
      </c>
      <c r="C175" s="8">
        <f t="shared" si="1"/>
        <v>28.548651751049405</v>
      </c>
      <c r="D175" s="9">
        <f t="shared" si="0"/>
        <v>46.15986096189922</v>
      </c>
      <c r="E175" s="9"/>
      <c r="F175" s="9">
        <f ca="1">IFERROR(__xludf.DUMMYFUNCTION("""COMPUTED_VALUE"""),45132)</f>
        <v>45132</v>
      </c>
      <c r="G175" s="9" t="str">
        <f ca="1">IFERROR(__xludf.DUMMYFUNCTION("""COMPUTED_VALUE"""),"1 USD = 286.3542 PKR")</f>
        <v>1 USD = 286.3542 PKR</v>
      </c>
      <c r="H175" s="9" t="str">
        <f ca="1">IFERROR(__xludf.DUMMYFUNCTION("""COMPUTED_VALUE"""),"USD PKR rate for 25/07/2023")</f>
        <v>USD PKR rate for 25/07/2023</v>
      </c>
      <c r="I175" s="9"/>
    </row>
    <row r="176" spans="1:9" ht="14.25" customHeight="1" x14ac:dyDescent="0.3">
      <c r="A176" s="6">
        <v>34059</v>
      </c>
      <c r="B176" s="7">
        <v>26.716700000000003</v>
      </c>
      <c r="C176" s="8">
        <f t="shared" si="1"/>
        <v>28.707360632985708</v>
      </c>
      <c r="D176" s="9">
        <f t="shared" si="0"/>
        <v>46.24473377861446</v>
      </c>
      <c r="E176" s="9"/>
      <c r="F176" s="9">
        <f ca="1">IFERROR(__xludf.DUMMYFUNCTION("""COMPUTED_VALUE"""),45131)</f>
        <v>45131</v>
      </c>
      <c r="G176" s="9" t="str">
        <f ca="1">IFERROR(__xludf.DUMMYFUNCTION("""COMPUTED_VALUE"""),"1 USD = 287.7026 PKR")</f>
        <v>1 USD = 287.7026 PKR</v>
      </c>
      <c r="H176" s="9" t="str">
        <f ca="1">IFERROR(__xludf.DUMMYFUNCTION("""COMPUTED_VALUE"""),"USD PKR rate for 24/07/2023")</f>
        <v>USD PKR rate for 24/07/2023</v>
      </c>
      <c r="I176" s="9"/>
    </row>
    <row r="177" spans="1:9" ht="14.25" customHeight="1" x14ac:dyDescent="0.3">
      <c r="A177" s="6">
        <v>34089</v>
      </c>
      <c r="B177" s="7">
        <v>26.7668</v>
      </c>
      <c r="C177" s="8">
        <f t="shared" si="1"/>
        <v>28.861789891668213</v>
      </c>
      <c r="D177" s="9">
        <f t="shared" si="0"/>
        <v>46.326868762532428</v>
      </c>
      <c r="E177" s="9"/>
      <c r="F177" s="9">
        <f ca="1">IFERROR(__xludf.DUMMYFUNCTION("""COMPUTED_VALUE"""),45130)</f>
        <v>45130</v>
      </c>
      <c r="G177" s="9" t="str">
        <f ca="1">IFERROR(__xludf.DUMMYFUNCTION("""COMPUTED_VALUE"""),"1 USD = 286.5736 PKR")</f>
        <v>1 USD = 286.5736 PKR</v>
      </c>
      <c r="H177" s="9" t="str">
        <f ca="1">IFERROR(__xludf.DUMMYFUNCTION("""COMPUTED_VALUE"""),"USD PKR rate for 23/07/2023")</f>
        <v>USD PKR rate for 23/07/2023</v>
      </c>
      <c r="I177" s="9"/>
    </row>
    <row r="178" spans="1:9" ht="14.25" customHeight="1" x14ac:dyDescent="0.3">
      <c r="A178" s="6">
        <v>34120</v>
      </c>
      <c r="B178" s="7">
        <v>27.007400000000001</v>
      </c>
      <c r="C178" s="8">
        <f t="shared" si="1"/>
        <v>29.022239584505929</v>
      </c>
      <c r="D178" s="9">
        <f t="shared" si="0"/>
        <v>46.411741579247661</v>
      </c>
      <c r="E178" s="9"/>
      <c r="F178" s="9">
        <f ca="1">IFERROR(__xludf.DUMMYFUNCTION("""COMPUTED_VALUE"""),45129)</f>
        <v>45129</v>
      </c>
      <c r="G178" s="9" t="str">
        <f ca="1">IFERROR(__xludf.DUMMYFUNCTION("""COMPUTED_VALUE"""),"1 USD = 286.5697 PKR")</f>
        <v>1 USD = 286.5697 PKR</v>
      </c>
      <c r="H178" s="9" t="str">
        <f ca="1">IFERROR(__xludf.DUMMYFUNCTION("""COMPUTED_VALUE"""),"USD PKR rate for 22/07/2023")</f>
        <v>USD PKR rate for 22/07/2023</v>
      </c>
      <c r="I178" s="9"/>
    </row>
    <row r="179" spans="1:9" ht="14.25" customHeight="1" x14ac:dyDescent="0.3">
      <c r="A179" s="6">
        <v>34150</v>
      </c>
      <c r="B179" s="7">
        <v>27.227900000000002</v>
      </c>
      <c r="C179" s="8">
        <f t="shared" si="1"/>
        <v>29.178362712704335</v>
      </c>
      <c r="D179" s="9">
        <f t="shared" si="0"/>
        <v>46.493876563165635</v>
      </c>
      <c r="E179" s="9"/>
      <c r="F179" s="9">
        <f ca="1">IFERROR(__xludf.DUMMYFUNCTION("""COMPUTED_VALUE"""),45128)</f>
        <v>45128</v>
      </c>
      <c r="G179" s="9" t="str">
        <f ca="1">IFERROR(__xludf.DUMMYFUNCTION("""COMPUTED_VALUE"""),"1 USD = 286.0499 PKR")</f>
        <v>1 USD = 286.0499 PKR</v>
      </c>
      <c r="H179" s="9" t="str">
        <f ca="1">IFERROR(__xludf.DUMMYFUNCTION("""COMPUTED_VALUE"""),"USD PKR rate for 21/07/2023")</f>
        <v>USD PKR rate for 21/07/2023</v>
      </c>
      <c r="I179" s="9"/>
    </row>
    <row r="180" spans="1:9" ht="14.25" customHeight="1" x14ac:dyDescent="0.3">
      <c r="A180" s="6">
        <v>34181</v>
      </c>
      <c r="B180" s="7">
        <v>29.924700000000001</v>
      </c>
      <c r="C180" s="8">
        <f t="shared" si="1"/>
        <v>29.340572310665276</v>
      </c>
      <c r="D180" s="9">
        <f t="shared" si="0"/>
        <v>46.578749379880868</v>
      </c>
      <c r="E180" s="9"/>
      <c r="F180" s="9">
        <f ca="1">IFERROR(__xludf.DUMMYFUNCTION("""COMPUTED_VALUE"""),45127)</f>
        <v>45127</v>
      </c>
      <c r="G180" s="9" t="str">
        <f ca="1">IFERROR(__xludf.DUMMYFUNCTION("""COMPUTED_VALUE"""),"1 USD = 284.7256 PKR")</f>
        <v>1 USD = 284.7256 PKR</v>
      </c>
      <c r="H180" s="9" t="str">
        <f ca="1">IFERROR(__xludf.DUMMYFUNCTION("""COMPUTED_VALUE"""),"USD PKR rate for 20/07/2023")</f>
        <v>USD PKR rate for 20/07/2023</v>
      </c>
      <c r="I180" s="9"/>
    </row>
    <row r="181" spans="1:9" ht="14.25" customHeight="1" x14ac:dyDescent="0.3">
      <c r="A181" s="6">
        <v>34212</v>
      </c>
      <c r="B181" s="7">
        <v>29.924700000000001</v>
      </c>
      <c r="C181" s="8">
        <f t="shared" si="1"/>
        <v>29.503683671138727</v>
      </c>
      <c r="D181" s="9">
        <f t="shared" si="0"/>
        <v>46.663622196596101</v>
      </c>
      <c r="E181" s="9"/>
      <c r="F181" s="9">
        <f ca="1">IFERROR(__xludf.DUMMYFUNCTION("""COMPUTED_VALUE"""),45126)</f>
        <v>45126</v>
      </c>
      <c r="G181" s="9" t="str">
        <f ca="1">IFERROR(__xludf.DUMMYFUNCTION("""COMPUTED_VALUE"""),"1 USD = 283.9153 PKR")</f>
        <v>1 USD = 283.9153 PKR</v>
      </c>
      <c r="H181" s="9" t="str">
        <f ca="1">IFERROR(__xludf.DUMMYFUNCTION("""COMPUTED_VALUE"""),"USD PKR rate for 19/07/2023")</f>
        <v>USD PKR rate for 19/07/2023</v>
      </c>
      <c r="I181" s="9"/>
    </row>
    <row r="182" spans="1:9" ht="14.25" customHeight="1" x14ac:dyDescent="0.3">
      <c r="A182" s="6">
        <v>34242</v>
      </c>
      <c r="B182" s="7">
        <v>29.924700000000001</v>
      </c>
      <c r="C182" s="8">
        <f t="shared" si="1"/>
        <v>29.662396694463567</v>
      </c>
      <c r="D182" s="9">
        <f t="shared" si="0"/>
        <v>46.745757180514076</v>
      </c>
      <c r="E182" s="9"/>
      <c r="F182" s="9">
        <f ca="1">IFERROR(__xludf.DUMMYFUNCTION("""COMPUTED_VALUE"""),45125)</f>
        <v>45125</v>
      </c>
      <c r="G182" s="9" t="str">
        <f ca="1">IFERROR(__xludf.DUMMYFUNCTION("""COMPUTED_VALUE"""),"1 USD = 282.1013 PKR")</f>
        <v>1 USD = 282.1013 PKR</v>
      </c>
      <c r="H182" s="9" t="str">
        <f ca="1">IFERROR(__xludf.DUMMYFUNCTION("""COMPUTED_VALUE"""),"USD PKR rate for 18/07/2023")</f>
        <v>USD PKR rate for 18/07/2023</v>
      </c>
      <c r="I182" s="9"/>
    </row>
    <row r="183" spans="1:9" ht="14.25" customHeight="1" x14ac:dyDescent="0.3">
      <c r="A183" s="6">
        <v>34273</v>
      </c>
      <c r="B183" s="7">
        <v>30.125200000000003</v>
      </c>
      <c r="C183" s="8">
        <f t="shared" si="1"/>
        <v>29.827297154771852</v>
      </c>
      <c r="D183" s="9">
        <f t="shared" si="0"/>
        <v>46.830629997229309</v>
      </c>
      <c r="E183" s="9"/>
      <c r="F183" s="9">
        <f ca="1">IFERROR(__xludf.DUMMYFUNCTION("""COMPUTED_VALUE"""),45124)</f>
        <v>45124</v>
      </c>
      <c r="G183" s="9" t="str">
        <f ca="1">IFERROR(__xludf.DUMMYFUNCTION("""COMPUTED_VALUE"""),"1 USD = 275.9012 PKR")</f>
        <v>1 USD = 275.9012 PKR</v>
      </c>
      <c r="H183" s="9" t="str">
        <f ca="1">IFERROR(__xludf.DUMMYFUNCTION("""COMPUTED_VALUE"""),"USD PKR rate for 17/07/2023")</f>
        <v>USD PKR rate for 17/07/2023</v>
      </c>
      <c r="I183" s="9"/>
    </row>
    <row r="184" spans="1:9" ht="14.25" customHeight="1" x14ac:dyDescent="0.3">
      <c r="A184" s="6">
        <v>34303</v>
      </c>
      <c r="B184" s="7">
        <v>30.125200000000003</v>
      </c>
      <c r="C184" s="8">
        <f t="shared" si="1"/>
        <v>29.987751034423248</v>
      </c>
      <c r="D184" s="9">
        <f t="shared" si="0"/>
        <v>46.912764981147284</v>
      </c>
      <c r="E184" s="9"/>
      <c r="F184" s="9">
        <f ca="1">IFERROR(__xludf.DUMMYFUNCTION("""COMPUTED_VALUE"""),45123)</f>
        <v>45123</v>
      </c>
      <c r="G184" s="9" t="str">
        <f ca="1">IFERROR(__xludf.DUMMYFUNCTION("""COMPUTED_VALUE"""),"1 USD = 274.112 PKR")</f>
        <v>1 USD = 274.112 PKR</v>
      </c>
      <c r="H184" s="9" t="str">
        <f ca="1">IFERROR(__xludf.DUMMYFUNCTION("""COMPUTED_VALUE"""),"USD PKR rate for 16/07/2023")</f>
        <v>USD PKR rate for 16/07/2023</v>
      </c>
      <c r="I184" s="9"/>
    </row>
    <row r="185" spans="1:9" ht="14.25" customHeight="1" x14ac:dyDescent="0.3">
      <c r="A185" s="6">
        <v>34334</v>
      </c>
      <c r="B185" s="7">
        <v>30.1953</v>
      </c>
      <c r="C185" s="8">
        <f t="shared" si="1"/>
        <v>30.154460218449163</v>
      </c>
      <c r="D185" s="9">
        <f t="shared" si="0"/>
        <v>46.997637797862517</v>
      </c>
      <c r="E185" s="9"/>
      <c r="F185" s="9">
        <f ca="1">IFERROR(__xludf.DUMMYFUNCTION("""COMPUTED_VALUE"""),45122)</f>
        <v>45122</v>
      </c>
      <c r="G185" s="9" t="str">
        <f ca="1">IFERROR(__xludf.DUMMYFUNCTION("""COMPUTED_VALUE"""),"1 USD = 273.3179 PKR")</f>
        <v>1 USD = 273.3179 PKR</v>
      </c>
      <c r="H185" s="9" t="str">
        <f ca="1">IFERROR(__xludf.DUMMYFUNCTION("""COMPUTED_VALUE"""),"USD PKR rate for 15/07/2023")</f>
        <v>USD PKR rate for 15/07/2023</v>
      </c>
      <c r="I185" s="9"/>
    </row>
    <row r="186" spans="1:9" ht="14.25" customHeight="1" x14ac:dyDescent="0.3">
      <c r="A186" s="6">
        <v>34365</v>
      </c>
      <c r="B186" s="7">
        <v>30.335000000000001</v>
      </c>
      <c r="C186" s="8">
        <f t="shared" si="1"/>
        <v>30.322096179278258</v>
      </c>
      <c r="D186" s="9">
        <f t="shared" si="0"/>
        <v>47.08251061457775</v>
      </c>
      <c r="E186" s="9"/>
      <c r="F186" s="9">
        <f ca="1">IFERROR(__xludf.DUMMYFUNCTION("""COMPUTED_VALUE"""),45121)</f>
        <v>45121</v>
      </c>
      <c r="G186" s="9" t="str">
        <f ca="1">IFERROR(__xludf.DUMMYFUNCTION("""COMPUTED_VALUE"""),"1 USD = 277.4999 PKR")</f>
        <v>1 USD = 277.4999 PKR</v>
      </c>
      <c r="H186" s="9" t="str">
        <f ca="1">IFERROR(__xludf.DUMMYFUNCTION("""COMPUTED_VALUE"""),"USD PKR rate for 14/07/2023")</f>
        <v>USD PKR rate for 14/07/2023</v>
      </c>
      <c r="I186" s="9"/>
    </row>
    <row r="187" spans="1:9" ht="14.25" customHeight="1" x14ac:dyDescent="0.3">
      <c r="A187" s="6">
        <v>34393</v>
      </c>
      <c r="B187" s="7">
        <v>30.546199999999999</v>
      </c>
      <c r="C187" s="8">
        <f t="shared" si="1"/>
        <v>30.474310174599349</v>
      </c>
      <c r="D187" s="9">
        <f t="shared" si="0"/>
        <v>47.159169932901193</v>
      </c>
      <c r="E187" s="9"/>
      <c r="F187" s="9">
        <f ca="1">IFERROR(__xludf.DUMMYFUNCTION("""COMPUTED_VALUE"""),45120)</f>
        <v>45120</v>
      </c>
      <c r="G187" s="9" t="str">
        <f ca="1">IFERROR(__xludf.DUMMYFUNCTION("""COMPUTED_VALUE"""),"1 USD = 273.588 PKR")</f>
        <v>1 USD = 273.588 PKR</v>
      </c>
      <c r="H187" s="9" t="str">
        <f ca="1">IFERROR(__xludf.DUMMYFUNCTION("""COMPUTED_VALUE"""),"USD PKR rate for 13/07/2023")</f>
        <v>USD PKR rate for 13/07/2023</v>
      </c>
      <c r="I187" s="9"/>
    </row>
    <row r="188" spans="1:9" ht="14.25" customHeight="1" x14ac:dyDescent="0.3">
      <c r="A188" s="6">
        <v>34424</v>
      </c>
      <c r="B188" s="7">
        <v>30.578299999999999</v>
      </c>
      <c r="C188" s="8">
        <f t="shared" si="1"/>
        <v>30.643724258940914</v>
      </c>
      <c r="D188" s="9">
        <f t="shared" si="0"/>
        <v>47.244042749616426</v>
      </c>
      <c r="E188" s="9"/>
      <c r="F188" s="9">
        <f ca="1">IFERROR(__xludf.DUMMYFUNCTION("""COMPUTED_VALUE"""),45119)</f>
        <v>45119</v>
      </c>
      <c r="G188" s="9" t="str">
        <f ca="1">IFERROR(__xludf.DUMMYFUNCTION("""COMPUTED_VALUE"""),"1 USD = 277.7133 PKR")</f>
        <v>1 USD = 277.7133 PKR</v>
      </c>
      <c r="H188" s="9" t="str">
        <f ca="1">IFERROR(__xludf.DUMMYFUNCTION("""COMPUTED_VALUE"""),"USD PKR rate for 12/07/2023")</f>
        <v>USD PKR rate for 12/07/2023</v>
      </c>
      <c r="I188" s="9"/>
    </row>
    <row r="189" spans="1:9" ht="14.25" customHeight="1" x14ac:dyDescent="0.3">
      <c r="A189" s="6">
        <v>34454</v>
      </c>
      <c r="B189" s="7">
        <v>30.6265</v>
      </c>
      <c r="C189" s="8">
        <f t="shared" si="1"/>
        <v>30.80857005166564</v>
      </c>
      <c r="D189" s="9">
        <f t="shared" si="0"/>
        <v>47.326177733534394</v>
      </c>
      <c r="E189" s="9"/>
      <c r="F189" s="9">
        <f ca="1">IFERROR(__xludf.DUMMYFUNCTION("""COMPUTED_VALUE"""),45118)</f>
        <v>45118</v>
      </c>
      <c r="G189" s="9" t="str">
        <f ca="1">IFERROR(__xludf.DUMMYFUNCTION("""COMPUTED_VALUE"""),"1 USD = 276.7103 PKR")</f>
        <v>1 USD = 276.7103 PKR</v>
      </c>
      <c r="H189" s="9" t="str">
        <f ca="1">IFERROR(__xludf.DUMMYFUNCTION("""COMPUTED_VALUE"""),"USD PKR rate for 11/07/2023")</f>
        <v>USD PKR rate for 11/07/2023</v>
      </c>
      <c r="I189" s="9"/>
    </row>
    <row r="190" spans="1:9" ht="14.25" customHeight="1" x14ac:dyDescent="0.3">
      <c r="A190" s="6">
        <v>34485</v>
      </c>
      <c r="B190" s="7">
        <v>30.726700000000001</v>
      </c>
      <c r="C190" s="8">
        <f t="shared" si="1"/>
        <v>30.979842367766395</v>
      </c>
      <c r="D190" s="9">
        <f t="shared" si="0"/>
        <v>47.411050550249634</v>
      </c>
      <c r="E190" s="9"/>
      <c r="F190" s="9">
        <f ca="1">IFERROR(__xludf.DUMMYFUNCTION("""COMPUTED_VALUE"""),45117)</f>
        <v>45117</v>
      </c>
      <c r="G190" s="9" t="str">
        <f ca="1">IFERROR(__xludf.DUMMYFUNCTION("""COMPUTED_VALUE"""),"1 USD = 277.5913 PKR")</f>
        <v>1 USD = 277.5913 PKR</v>
      </c>
      <c r="H190" s="9" t="str">
        <f ca="1">IFERROR(__xludf.DUMMYFUNCTION("""COMPUTED_VALUE"""),"USD PKR rate for 10/07/2023")</f>
        <v>USD PKR rate for 10/07/2023</v>
      </c>
      <c r="I190" s="9"/>
    </row>
    <row r="191" spans="1:9" ht="14.25" customHeight="1" x14ac:dyDescent="0.3">
      <c r="A191" s="6">
        <v>34515</v>
      </c>
      <c r="B191" s="7">
        <v>30.686599999999999</v>
      </c>
      <c r="C191" s="8">
        <f t="shared" si="1"/>
        <v>31.146496284583044</v>
      </c>
      <c r="D191" s="9">
        <f t="shared" si="0"/>
        <v>47.493185534167601</v>
      </c>
      <c r="E191" s="9"/>
      <c r="F191" s="9">
        <f ca="1">IFERROR(__xludf.DUMMYFUNCTION("""COMPUTED_VALUE"""),45116)</f>
        <v>45116</v>
      </c>
      <c r="G191" s="9" t="str">
        <f ca="1">IFERROR(__xludf.DUMMYFUNCTION("""COMPUTED_VALUE"""),"1 USD = 273.515 PKR")</f>
        <v>1 USD = 273.515 PKR</v>
      </c>
      <c r="H191" s="9" t="str">
        <f ca="1">IFERROR(__xludf.DUMMYFUNCTION("""COMPUTED_VALUE"""),"USD PKR rate for 09/07/2023")</f>
        <v>USD PKR rate for 09/07/2023</v>
      </c>
      <c r="I191" s="9"/>
    </row>
    <row r="192" spans="1:9" ht="14.25" customHeight="1" x14ac:dyDescent="0.3">
      <c r="A192" s="6">
        <v>34546</v>
      </c>
      <c r="B192" s="7">
        <v>30.666499999999999</v>
      </c>
      <c r="C192" s="8">
        <f t="shared" si="1"/>
        <v>31.319647214604728</v>
      </c>
      <c r="D192" s="9">
        <f t="shared" si="0"/>
        <v>47.578058350882841</v>
      </c>
      <c r="E192" s="9"/>
      <c r="F192" s="9">
        <f ca="1">IFERROR(__xludf.DUMMYFUNCTION("""COMPUTED_VALUE"""),45115)</f>
        <v>45115</v>
      </c>
      <c r="G192" s="9" t="str">
        <f ca="1">IFERROR(__xludf.DUMMYFUNCTION("""COMPUTED_VALUE"""),"1 USD = 272.364 PKR")</f>
        <v>1 USD = 272.364 PKR</v>
      </c>
      <c r="H192" s="9" t="str">
        <f ca="1">IFERROR(__xludf.DUMMYFUNCTION("""COMPUTED_VALUE"""),"USD PKR rate for 08/07/2023")</f>
        <v>USD PKR rate for 08/07/2023</v>
      </c>
      <c r="I192" s="9"/>
    </row>
    <row r="193" spans="1:9" ht="14.25" customHeight="1" x14ac:dyDescent="0.3">
      <c r="A193" s="6">
        <v>34577</v>
      </c>
      <c r="B193" s="7">
        <v>30.666499999999999</v>
      </c>
      <c r="C193" s="8">
        <f t="shared" si="1"/>
        <v>31.493760732658554</v>
      </c>
      <c r="D193" s="9">
        <f t="shared" si="0"/>
        <v>47.662931167598074</v>
      </c>
      <c r="E193" s="9"/>
      <c r="F193" s="9">
        <f ca="1">IFERROR(__xludf.DUMMYFUNCTION("""COMPUTED_VALUE"""),45114)</f>
        <v>45114</v>
      </c>
      <c r="G193" s="9" t="str">
        <f ca="1">IFERROR(__xludf.DUMMYFUNCTION("""COMPUTED_VALUE"""),"1 USD = 277.9443 PKR")</f>
        <v>1 USD = 277.9443 PKR</v>
      </c>
      <c r="H193" s="9" t="str">
        <f ca="1">IFERROR(__xludf.DUMMYFUNCTION("""COMPUTED_VALUE"""),"USD PKR rate for 07/07/2023")</f>
        <v>USD PKR rate for 07/07/2023</v>
      </c>
      <c r="I193" s="9"/>
    </row>
    <row r="194" spans="1:9" ht="14.25" customHeight="1" x14ac:dyDescent="0.3">
      <c r="A194" s="6">
        <v>34607</v>
      </c>
      <c r="B194" s="7">
        <v>30.726700000000001</v>
      </c>
      <c r="C194" s="8">
        <f t="shared" si="1"/>
        <v>31.663179237732841</v>
      </c>
      <c r="D194" s="9">
        <f t="shared" si="0"/>
        <v>47.745066151516042</v>
      </c>
      <c r="E194" s="9"/>
      <c r="F194" s="9">
        <f ca="1">IFERROR(__xludf.DUMMYFUNCTION("""COMPUTED_VALUE"""),45113)</f>
        <v>45113</v>
      </c>
      <c r="G194" s="9" t="str">
        <f ca="1">IFERROR(__xludf.DUMMYFUNCTION("""COMPUTED_VALUE"""),"1 USD = 277.0323 PKR")</f>
        <v>1 USD = 277.0323 PKR</v>
      </c>
      <c r="H194" s="9" t="str">
        <f ca="1">IFERROR(__xludf.DUMMYFUNCTION("""COMPUTED_VALUE"""),"USD PKR rate for 06/07/2023")</f>
        <v>USD PKR rate for 06/07/2023</v>
      </c>
      <c r="I194" s="9"/>
    </row>
    <row r="195" spans="1:9" ht="14.25" customHeight="1" x14ac:dyDescent="0.3">
      <c r="A195" s="6">
        <v>34638</v>
      </c>
      <c r="B195" s="7">
        <v>30.7287</v>
      </c>
      <c r="C195" s="8">
        <f t="shared" si="1"/>
        <v>31.839202533655548</v>
      </c>
      <c r="D195" s="9">
        <f t="shared" si="0"/>
        <v>47.829938968231282</v>
      </c>
      <c r="E195" s="9"/>
      <c r="F195" s="9">
        <f ca="1">IFERROR(__xludf.DUMMYFUNCTION("""COMPUTED_VALUE"""),45112)</f>
        <v>45112</v>
      </c>
      <c r="G195" s="9" t="str">
        <f ca="1">IFERROR(__xludf.DUMMYFUNCTION("""COMPUTED_VALUE"""),"1 USD = 277.0863 PKR")</f>
        <v>1 USD = 277.0863 PKR</v>
      </c>
      <c r="H195" s="9" t="str">
        <f ca="1">IFERROR(__xludf.DUMMYFUNCTION("""COMPUTED_VALUE"""),"USD PKR rate for 05/07/2023")</f>
        <v>USD PKR rate for 05/07/2023</v>
      </c>
      <c r="I195" s="9"/>
    </row>
    <row r="196" spans="1:9" ht="14.25" customHeight="1" x14ac:dyDescent="0.3">
      <c r="A196" s="6">
        <v>34668</v>
      </c>
      <c r="B196" s="7">
        <v>30.776800000000005</v>
      </c>
      <c r="C196" s="8">
        <f t="shared" si="1"/>
        <v>32.010479318978149</v>
      </c>
      <c r="D196" s="9">
        <f t="shared" si="0"/>
        <v>47.91207395214925</v>
      </c>
      <c r="E196" s="9"/>
      <c r="F196" s="9">
        <f ca="1">IFERROR(__xludf.DUMMYFUNCTION("""COMPUTED_VALUE"""),45111)</f>
        <v>45111</v>
      </c>
      <c r="G196" s="9" t="str">
        <f ca="1">IFERROR(__xludf.DUMMYFUNCTION("""COMPUTED_VALUE"""),"1 USD = 286.0352 PKR")</f>
        <v>1 USD = 286.0352 PKR</v>
      </c>
      <c r="H196" s="9" t="str">
        <f ca="1">IFERROR(__xludf.DUMMYFUNCTION("""COMPUTED_VALUE"""),"USD PKR rate for 04/07/2023")</f>
        <v>USD PKR rate for 04/07/2023</v>
      </c>
      <c r="I196" s="9"/>
    </row>
    <row r="197" spans="1:9" ht="14.25" customHeight="1" x14ac:dyDescent="0.3">
      <c r="A197" s="6">
        <v>34699</v>
      </c>
      <c r="B197" s="7">
        <v>30.876999999999999</v>
      </c>
      <c r="C197" s="8">
        <f t="shared" si="1"/>
        <v>32.188433340319044</v>
      </c>
      <c r="D197" s="9">
        <f t="shared" si="0"/>
        <v>47.99694676886449</v>
      </c>
      <c r="E197" s="9"/>
      <c r="F197" s="9">
        <f ca="1">IFERROR(__xludf.DUMMYFUNCTION("""COMPUTED_VALUE"""),45110)</f>
        <v>45110</v>
      </c>
      <c r="G197" s="9" t="str">
        <f ca="1">IFERROR(__xludf.DUMMYFUNCTION("""COMPUTED_VALUE"""),"1 USD = 286.3719 PKR")</f>
        <v>1 USD = 286.3719 PKR</v>
      </c>
      <c r="H197" s="9" t="str">
        <f ca="1">IFERROR(__xludf.DUMMYFUNCTION("""COMPUTED_VALUE"""),"USD PKR rate for 03/07/2023")</f>
        <v>USD PKR rate for 03/07/2023</v>
      </c>
      <c r="I197" s="9"/>
    </row>
    <row r="198" spans="1:9" ht="14.25" customHeight="1" x14ac:dyDescent="0.3">
      <c r="A198" s="6">
        <v>34730</v>
      </c>
      <c r="B198" s="7">
        <v>30.937200000000001</v>
      </c>
      <c r="C198" s="8">
        <f t="shared" si="1"/>
        <v>32.367376651242139</v>
      </c>
      <c r="D198" s="9">
        <f t="shared" si="0"/>
        <v>48.081819585579723</v>
      </c>
      <c r="E198" s="9"/>
      <c r="F198" s="9">
        <f ca="1">IFERROR(__xludf.DUMMYFUNCTION("""COMPUTED_VALUE"""),45109)</f>
        <v>45109</v>
      </c>
      <c r="G198" s="9" t="str">
        <f ca="1">IFERROR(__xludf.DUMMYFUNCTION("""COMPUTED_VALUE"""),"1 USD = 284.7174 PKR")</f>
        <v>1 USD = 284.7174 PKR</v>
      </c>
      <c r="H198" s="9" t="str">
        <f ca="1">IFERROR(__xludf.DUMMYFUNCTION("""COMPUTED_VALUE"""),"USD PKR rate for 02/07/2023")</f>
        <v>USD PKR rate for 02/07/2023</v>
      </c>
      <c r="I198" s="9"/>
    </row>
    <row r="199" spans="1:9" ht="14.25" customHeight="1" x14ac:dyDescent="0.3">
      <c r="A199" s="6">
        <v>34758</v>
      </c>
      <c r="B199" s="7">
        <v>30.9572</v>
      </c>
      <c r="C199" s="8">
        <f t="shared" si="1"/>
        <v>32.52985775706734</v>
      </c>
      <c r="D199" s="9">
        <f t="shared" si="0"/>
        <v>48.158478903903159</v>
      </c>
      <c r="E199" s="9"/>
      <c r="F199" s="9">
        <f ca="1">IFERROR(__xludf.DUMMYFUNCTION("""COMPUTED_VALUE"""),45108)</f>
        <v>45108</v>
      </c>
      <c r="G199" s="9" t="str">
        <f ca="1">IFERROR(__xludf.DUMMYFUNCTION("""COMPUTED_VALUE"""),"1 USD = 286.5112 PKR")</f>
        <v>1 USD = 286.5112 PKR</v>
      </c>
      <c r="H199" s="9" t="str">
        <f ca="1">IFERROR(__xludf.DUMMYFUNCTION("""COMPUTED_VALUE"""),"USD PKR rate for 01/07/2023")</f>
        <v>USD PKR rate for 01/07/2023</v>
      </c>
      <c r="I199" s="9"/>
    </row>
    <row r="200" spans="1:9" ht="14.25" customHeight="1" x14ac:dyDescent="0.3">
      <c r="A200" s="6">
        <v>34789</v>
      </c>
      <c r="B200" s="7">
        <v>30.9572</v>
      </c>
      <c r="C200" s="8">
        <f t="shared" si="1"/>
        <v>32.71069912916407</v>
      </c>
      <c r="D200" s="9">
        <f t="shared" si="0"/>
        <v>48.243351720618399</v>
      </c>
      <c r="E200" s="9"/>
      <c r="F200" s="9">
        <f ca="1">IFERROR(__xludf.DUMMYFUNCTION("""COMPUTED_VALUE"""),45107)</f>
        <v>45107</v>
      </c>
      <c r="G200" s="9" t="str">
        <f ca="1">IFERROR(__xludf.DUMMYFUNCTION("""COMPUTED_VALUE"""),"1 USD = 286.5149 PKR")</f>
        <v>1 USD = 286.5149 PKR</v>
      </c>
      <c r="H200" s="9" t="str">
        <f ca="1">IFERROR(__xludf.DUMMYFUNCTION("""COMPUTED_VALUE"""),"USD PKR rate for 30/06/2023")</f>
        <v>USD PKR rate for 30/06/2023</v>
      </c>
      <c r="I200" s="9"/>
    </row>
    <row r="201" spans="1:9" ht="14.25" customHeight="1" x14ac:dyDescent="0.3">
      <c r="A201" s="6">
        <v>34819</v>
      </c>
      <c r="B201" s="7">
        <v>30.937200000000001</v>
      </c>
      <c r="C201" s="8">
        <f t="shared" si="1"/>
        <v>32.886664070075383</v>
      </c>
      <c r="D201" s="9">
        <f t="shared" si="0"/>
        <v>48.325486704536367</v>
      </c>
      <c r="E201" s="9"/>
      <c r="F201" s="9">
        <f ca="1">IFERROR(__xludf.DUMMYFUNCTION("""COMPUTED_VALUE"""),45106)</f>
        <v>45106</v>
      </c>
      <c r="G201" s="9" t="str">
        <f ca="1">IFERROR(__xludf.DUMMYFUNCTION("""COMPUTED_VALUE"""),"1 USD = 286.4334 PKR")</f>
        <v>1 USD = 286.4334 PKR</v>
      </c>
      <c r="H201" s="9" t="str">
        <f ca="1">IFERROR(__xludf.DUMMYFUNCTION("""COMPUTED_VALUE"""),"USD PKR rate for 29/06/2023")</f>
        <v>USD PKR rate for 29/06/2023</v>
      </c>
      <c r="I201" s="9"/>
    </row>
    <row r="202" spans="1:9" ht="14.25" customHeight="1" x14ac:dyDescent="0.3">
      <c r="A202" s="6">
        <v>34850</v>
      </c>
      <c r="B202" s="7">
        <v>31.047499999999999</v>
      </c>
      <c r="C202" s="8">
        <f t="shared" si="1"/>
        <v>33.069489015039167</v>
      </c>
      <c r="D202" s="9">
        <f t="shared" si="0"/>
        <v>48.4103595212516</v>
      </c>
      <c r="E202" s="9"/>
      <c r="F202" s="9">
        <f ca="1">IFERROR(__xludf.DUMMYFUNCTION("""COMPUTED_VALUE"""),45105)</f>
        <v>45105</v>
      </c>
      <c r="G202" s="9" t="str">
        <f ca="1">IFERROR(__xludf.DUMMYFUNCTION("""COMPUTED_VALUE"""),"1 USD = 286.6526 PKR")</f>
        <v>1 USD = 286.6526 PKR</v>
      </c>
      <c r="H202" s="9" t="str">
        <f ca="1">IFERROR(__xludf.DUMMYFUNCTION("""COMPUTED_VALUE"""),"USD PKR rate for 28/06/2023")</f>
        <v>USD PKR rate for 28/06/2023</v>
      </c>
      <c r="I202" s="9"/>
    </row>
    <row r="203" spans="1:9" ht="14.25" customHeight="1" x14ac:dyDescent="0.3">
      <c r="A203" s="6">
        <v>34880</v>
      </c>
      <c r="B203" s="7">
        <v>31.087599999999998</v>
      </c>
      <c r="C203" s="8">
        <f t="shared" si="1"/>
        <v>33.247384041297153</v>
      </c>
      <c r="D203" s="9">
        <f t="shared" si="0"/>
        <v>48.492494505169574</v>
      </c>
      <c r="E203" s="9"/>
      <c r="F203" s="9">
        <f ca="1">IFERROR(__xludf.DUMMYFUNCTION("""COMPUTED_VALUE"""),45104)</f>
        <v>45104</v>
      </c>
      <c r="G203" s="9" t="str">
        <f ca="1">IFERROR(__xludf.DUMMYFUNCTION("""COMPUTED_VALUE"""),"1 USD = 285.5235 PKR")</f>
        <v>1 USD = 285.5235 PKR</v>
      </c>
      <c r="H203" s="9" t="str">
        <f ca="1">IFERROR(__xludf.DUMMYFUNCTION("""COMPUTED_VALUE"""),"USD PKR rate for 27/06/2023")</f>
        <v>USD PKR rate for 27/06/2023</v>
      </c>
      <c r="I203" s="9"/>
    </row>
    <row r="204" spans="1:9" ht="14.25" customHeight="1" x14ac:dyDescent="0.3">
      <c r="A204" s="6">
        <v>34911</v>
      </c>
      <c r="B204" s="7">
        <v>31.268000000000001</v>
      </c>
      <c r="C204" s="8">
        <f t="shared" si="1"/>
        <v>33.432214316103618</v>
      </c>
      <c r="D204" s="9">
        <f t="shared" si="0"/>
        <v>48.577367321884807</v>
      </c>
      <c r="E204" s="9"/>
      <c r="F204" s="9">
        <f ca="1">IFERROR(__xludf.DUMMYFUNCTION("""COMPUTED_VALUE"""),45103)</f>
        <v>45103</v>
      </c>
      <c r="G204" s="9" t="str">
        <f ca="1">IFERROR(__xludf.DUMMYFUNCTION("""COMPUTED_VALUE"""),"1 USD = 286.3797 PKR")</f>
        <v>1 USD = 286.3797 PKR</v>
      </c>
      <c r="H204" s="9" t="str">
        <f ca="1">IFERROR(__xludf.DUMMYFUNCTION("""COMPUTED_VALUE"""),"USD PKR rate for 26/06/2023")</f>
        <v>USD PKR rate for 26/06/2023</v>
      </c>
      <c r="I204" s="9"/>
    </row>
    <row r="205" spans="1:9" ht="14.25" customHeight="1" x14ac:dyDescent="0.3">
      <c r="A205" s="6">
        <v>34942</v>
      </c>
      <c r="B205" s="7">
        <v>31.398299999999999</v>
      </c>
      <c r="C205" s="8">
        <f t="shared" si="1"/>
        <v>33.618072107253717</v>
      </c>
      <c r="D205" s="9">
        <f t="shared" si="0"/>
        <v>48.662240138600048</v>
      </c>
      <c r="E205" s="9"/>
      <c r="F205" s="9">
        <f ca="1">IFERROR(__xludf.DUMMYFUNCTION("""COMPUTED_VALUE"""),45102)</f>
        <v>45102</v>
      </c>
      <c r="G205" s="9" t="str">
        <f ca="1">IFERROR(__xludf.DUMMYFUNCTION("""COMPUTED_VALUE"""),"1 USD = 285.0354 PKR")</f>
        <v>1 USD = 285.0354 PKR</v>
      </c>
      <c r="H205" s="9" t="str">
        <f ca="1">IFERROR(__xludf.DUMMYFUNCTION("""COMPUTED_VALUE"""),"USD PKR rate for 25/06/2023")</f>
        <v>USD PKR rate for 25/06/2023</v>
      </c>
      <c r="I205" s="9"/>
    </row>
    <row r="206" spans="1:9" ht="14.25" customHeight="1" x14ac:dyDescent="0.3">
      <c r="A206" s="6">
        <v>34972</v>
      </c>
      <c r="B206" s="7">
        <v>31.629000000000001</v>
      </c>
      <c r="C206" s="8">
        <f t="shared" si="1"/>
        <v>33.798918198269575</v>
      </c>
      <c r="D206" s="9">
        <f t="shared" si="0"/>
        <v>48.744375122518015</v>
      </c>
      <c r="E206" s="9"/>
      <c r="F206" s="9">
        <f ca="1">IFERROR(__xludf.DUMMYFUNCTION("""COMPUTED_VALUE"""),45101)</f>
        <v>45101</v>
      </c>
      <c r="G206" s="9" t="str">
        <f ca="1">IFERROR(__xludf.DUMMYFUNCTION("""COMPUTED_VALUE"""),"1 USD = 286.4998 PKR")</f>
        <v>1 USD = 286.4998 PKR</v>
      </c>
      <c r="H206" s="9" t="str">
        <f ca="1">IFERROR(__xludf.DUMMYFUNCTION("""COMPUTED_VALUE"""),"USD PKR rate for 24/06/2023")</f>
        <v>USD PKR rate for 24/06/2023</v>
      </c>
      <c r="I206" s="9"/>
    </row>
    <row r="207" spans="1:9" ht="14.25" customHeight="1" x14ac:dyDescent="0.3">
      <c r="A207" s="6">
        <v>35003</v>
      </c>
      <c r="B207" s="7">
        <v>34.335700000000003</v>
      </c>
      <c r="C207" s="8">
        <f t="shared" si="1"/>
        <v>33.986814585275184</v>
      </c>
      <c r="D207" s="9">
        <f t="shared" si="0"/>
        <v>48.829247939233248</v>
      </c>
      <c r="E207" s="9"/>
      <c r="F207" s="9">
        <f ca="1">IFERROR(__xludf.DUMMYFUNCTION("""COMPUTED_VALUE"""),45100)</f>
        <v>45100</v>
      </c>
      <c r="G207" s="9" t="str">
        <f ca="1">IFERROR(__xludf.DUMMYFUNCTION("""COMPUTED_VALUE"""),"1 USD = 286.5487 PKR")</f>
        <v>1 USD = 286.5487 PKR</v>
      </c>
      <c r="H207" s="9" t="str">
        <f ca="1">IFERROR(__xludf.DUMMYFUNCTION("""COMPUTED_VALUE"""),"USD PKR rate for 23/06/2023")</f>
        <v>USD PKR rate for 23/06/2023</v>
      </c>
      <c r="I207" s="9"/>
    </row>
    <row r="208" spans="1:9" ht="14.25" customHeight="1" x14ac:dyDescent="0.3">
      <c r="A208" s="6">
        <v>35033</v>
      </c>
      <c r="B208" s="7">
        <v>34.335700000000003</v>
      </c>
      <c r="C208" s="8">
        <f t="shared" si="1"/>
        <v>34.169644300917994</v>
      </c>
      <c r="D208" s="9">
        <f t="shared" si="0"/>
        <v>48.911382923151223</v>
      </c>
      <c r="E208" s="9"/>
      <c r="F208" s="9">
        <f ca="1">IFERROR(__xludf.DUMMYFUNCTION("""COMPUTED_VALUE"""),45099)</f>
        <v>45099</v>
      </c>
      <c r="G208" s="9" t="str">
        <f ca="1">IFERROR(__xludf.DUMMYFUNCTION("""COMPUTED_VALUE"""),"1 USD = 286.6406 PKR")</f>
        <v>1 USD = 286.6406 PKR</v>
      </c>
      <c r="H208" s="9" t="str">
        <f ca="1">IFERROR(__xludf.DUMMYFUNCTION("""COMPUTED_VALUE"""),"USD PKR rate for 22/06/2023")</f>
        <v>USD PKR rate for 22/06/2023</v>
      </c>
      <c r="I208" s="9"/>
    </row>
    <row r="209" spans="1:9" ht="14.25" customHeight="1" x14ac:dyDescent="0.3">
      <c r="A209" s="6">
        <v>35064</v>
      </c>
      <c r="B209" s="7">
        <v>34.335700000000003</v>
      </c>
      <c r="C209" s="8">
        <f t="shared" si="1"/>
        <v>34.359601644278698</v>
      </c>
      <c r="D209" s="9">
        <f t="shared" si="0"/>
        <v>48.996255739866456</v>
      </c>
      <c r="E209" s="9"/>
      <c r="F209" s="9">
        <f ca="1">IFERROR(__xludf.DUMMYFUNCTION("""COMPUTED_VALUE"""),45098)</f>
        <v>45098</v>
      </c>
      <c r="G209" s="9" t="str">
        <f ca="1">IFERROR(__xludf.DUMMYFUNCTION("""COMPUTED_VALUE"""),"1 USD = 286.8521 PKR")</f>
        <v>1 USD = 286.8521 PKR</v>
      </c>
      <c r="H209" s="9" t="str">
        <f ca="1">IFERROR(__xludf.DUMMYFUNCTION("""COMPUTED_VALUE"""),"USD PKR rate for 21/06/2023")</f>
        <v>USD PKR rate for 21/06/2023</v>
      </c>
      <c r="I209" s="9"/>
    </row>
    <row r="210" spans="1:9" ht="14.25" customHeight="1" x14ac:dyDescent="0.3">
      <c r="A210" s="6">
        <v>35095</v>
      </c>
      <c r="B210" s="7">
        <v>34.335700000000003</v>
      </c>
      <c r="C210" s="8">
        <f t="shared" si="1"/>
        <v>34.55061500660112</v>
      </c>
      <c r="D210" s="9">
        <f t="shared" si="0"/>
        <v>49.081128556581689</v>
      </c>
      <c r="E210" s="9"/>
      <c r="F210" s="9">
        <f ca="1">IFERROR(__xludf.DUMMYFUNCTION("""COMPUTED_VALUE"""),45097)</f>
        <v>45097</v>
      </c>
      <c r="G210" s="9" t="str">
        <f ca="1">IFERROR(__xludf.DUMMYFUNCTION("""COMPUTED_VALUE"""),"1 USD = 287.2228 PKR")</f>
        <v>1 USD = 287.2228 PKR</v>
      </c>
      <c r="H210" s="9" t="str">
        <f ca="1">IFERROR(__xludf.DUMMYFUNCTION("""COMPUTED_VALUE"""),"USD PKR rate for 20/06/2023")</f>
        <v>USD PKR rate for 20/06/2023</v>
      </c>
      <c r="I210" s="9"/>
    </row>
    <row r="211" spans="1:9" ht="14.25" customHeight="1" x14ac:dyDescent="0.3">
      <c r="A211" s="6">
        <v>35124</v>
      </c>
      <c r="B211" s="7">
        <v>34.435927777777792</v>
      </c>
      <c r="C211" s="8">
        <f t="shared" si="1"/>
        <v>34.730266147514556</v>
      </c>
      <c r="D211" s="9">
        <f t="shared" si="0"/>
        <v>49.160525707702398</v>
      </c>
      <c r="E211" s="9"/>
      <c r="F211" s="9">
        <f ca="1">IFERROR(__xludf.DUMMYFUNCTION("""COMPUTED_VALUE"""),45096)</f>
        <v>45096</v>
      </c>
      <c r="G211" s="9" t="str">
        <f ca="1">IFERROR(__xludf.DUMMYFUNCTION("""COMPUTED_VALUE"""),"1 USD = 287.2666 PKR")</f>
        <v>1 USD = 287.2666 PKR</v>
      </c>
      <c r="H211" s="9" t="str">
        <f ca="1">IFERROR(__xludf.DUMMYFUNCTION("""COMPUTED_VALUE"""),"USD PKR rate for 19/06/2023")</f>
        <v>USD PKR rate for 19/06/2023</v>
      </c>
      <c r="I211" s="9"/>
    </row>
    <row r="212" spans="1:9" ht="14.25" customHeight="1" x14ac:dyDescent="0.3">
      <c r="A212" s="6">
        <v>35155</v>
      </c>
      <c r="B212" s="7">
        <v>34.606299999999997</v>
      </c>
      <c r="C212" s="8">
        <f t="shared" si="1"/>
        <v>34.923340123746001</v>
      </c>
      <c r="D212" s="9">
        <f t="shared" si="0"/>
        <v>49.245398524417631</v>
      </c>
      <c r="E212" s="9"/>
      <c r="F212" s="9">
        <f ca="1">IFERROR(__xludf.DUMMYFUNCTION("""COMPUTED_VALUE"""),45095)</f>
        <v>45095</v>
      </c>
      <c r="G212" s="9" t="str">
        <f ca="1">IFERROR(__xludf.DUMMYFUNCTION("""COMPUTED_VALUE"""),"1 USD = 286.7531 PKR")</f>
        <v>1 USD = 286.7531 PKR</v>
      </c>
      <c r="H212" s="9" t="str">
        <f ca="1">IFERROR(__xludf.DUMMYFUNCTION("""COMPUTED_VALUE"""),"USD PKR rate for 18/06/2023")</f>
        <v>USD PKR rate for 18/06/2023</v>
      </c>
      <c r="I212" s="9"/>
    </row>
    <row r="213" spans="1:9" ht="14.25" customHeight="1" x14ac:dyDescent="0.3">
      <c r="A213" s="6">
        <v>35185</v>
      </c>
      <c r="B213" s="7">
        <v>34.837000000000003</v>
      </c>
      <c r="C213" s="8">
        <f t="shared" si="1"/>
        <v>35.111207813673239</v>
      </c>
      <c r="D213" s="9">
        <f t="shared" si="0"/>
        <v>49.327533508335605</v>
      </c>
      <c r="E213" s="9"/>
      <c r="F213" s="9">
        <f ca="1">IFERROR(__xludf.DUMMYFUNCTION("""COMPUTED_VALUE"""),45094)</f>
        <v>45094</v>
      </c>
      <c r="G213" s="9" t="str">
        <f ca="1">IFERROR(__xludf.DUMMYFUNCTION("""COMPUTED_VALUE"""),"1 USD = 287.425 PKR")</f>
        <v>1 USD = 287.425 PKR</v>
      </c>
      <c r="H213" s="9" t="str">
        <f ca="1">IFERROR(__xludf.DUMMYFUNCTION("""COMPUTED_VALUE"""),"USD PKR rate for 17/06/2023")</f>
        <v>USD PKR rate for 17/06/2023</v>
      </c>
      <c r="I213" s="9"/>
    </row>
    <row r="214" spans="1:9" ht="14.25" customHeight="1" x14ac:dyDescent="0.3">
      <c r="A214" s="6">
        <v>35216</v>
      </c>
      <c r="B214" s="7">
        <v>34.917099999999998</v>
      </c>
      <c r="C214" s="8">
        <f t="shared" si="1"/>
        <v>35.306399537055981</v>
      </c>
      <c r="D214" s="9">
        <f t="shared" si="0"/>
        <v>49.412406325050839</v>
      </c>
      <c r="E214" s="9"/>
      <c r="F214" s="9">
        <f ca="1">IFERROR(__xludf.DUMMYFUNCTION("""COMPUTED_VALUE"""),45093)</f>
        <v>45093</v>
      </c>
      <c r="G214" s="9" t="str">
        <f ca="1">IFERROR(__xludf.DUMMYFUNCTION("""COMPUTED_VALUE"""),"1 USD = 287.425 PKR")</f>
        <v>1 USD = 287.425 PKR</v>
      </c>
      <c r="H214" s="9" t="str">
        <f ca="1">IFERROR(__xludf.DUMMYFUNCTION("""COMPUTED_VALUE"""),"USD PKR rate for 16/06/2023")</f>
        <v>USD PKR rate for 16/06/2023</v>
      </c>
      <c r="I214" s="9"/>
    </row>
    <row r="215" spans="1:9" ht="14.25" customHeight="1" x14ac:dyDescent="0.3">
      <c r="A215" s="6">
        <v>35246</v>
      </c>
      <c r="B215" s="7">
        <v>35.187800000000003</v>
      </c>
      <c r="C215" s="8">
        <f t="shared" si="1"/>
        <v>35.496327868572138</v>
      </c>
      <c r="D215" s="9">
        <f t="shared" si="0"/>
        <v>49.494541308968806</v>
      </c>
      <c r="E215" s="9"/>
      <c r="F215" s="9">
        <f ca="1">IFERROR(__xludf.DUMMYFUNCTION("""COMPUTED_VALUE"""),45092)</f>
        <v>45092</v>
      </c>
      <c r="G215" s="9" t="str">
        <f ca="1">IFERROR(__xludf.DUMMYFUNCTION("""COMPUTED_VALUE"""),"1 USD = 287.4108 PKR")</f>
        <v>1 USD = 287.4108 PKR</v>
      </c>
      <c r="H215" s="9" t="str">
        <f ca="1">IFERROR(__xludf.DUMMYFUNCTION("""COMPUTED_VALUE"""),"USD PKR rate for 15/06/2023")</f>
        <v>USD PKR rate for 15/06/2023</v>
      </c>
      <c r="I215" s="9"/>
    </row>
    <row r="216" spans="1:9" ht="14.25" customHeight="1" x14ac:dyDescent="0.3">
      <c r="A216" s="6">
        <v>35277</v>
      </c>
      <c r="B216" s="7">
        <v>35.408299999999997</v>
      </c>
      <c r="C216" s="8">
        <f t="shared" si="1"/>
        <v>35.693660567783006</v>
      </c>
      <c r="D216" s="9">
        <f t="shared" si="0"/>
        <v>49.579414125684046</v>
      </c>
      <c r="E216" s="9"/>
      <c r="F216" s="9">
        <f ca="1">IFERROR(__xludf.DUMMYFUNCTION("""COMPUTED_VALUE"""),45091)</f>
        <v>45091</v>
      </c>
      <c r="G216" s="9" t="str">
        <f ca="1">IFERROR(__xludf.DUMMYFUNCTION("""COMPUTED_VALUE"""),"1 USD = 285.1185 PKR")</f>
        <v>1 USD = 285.1185 PKR</v>
      </c>
      <c r="H216" s="9" t="str">
        <f ca="1">IFERROR(__xludf.DUMMYFUNCTION("""COMPUTED_VALUE"""),"USD PKR rate for 14/06/2023")</f>
        <v>USD PKR rate for 14/06/2023</v>
      </c>
      <c r="I216" s="9"/>
    </row>
    <row r="217" spans="1:9" ht="14.25" customHeight="1" x14ac:dyDescent="0.3">
      <c r="A217" s="6">
        <v>35308</v>
      </c>
      <c r="B217" s="7">
        <v>35.709099999999999</v>
      </c>
      <c r="C217" s="8">
        <f t="shared" si="1"/>
        <v>35.892090287348232</v>
      </c>
      <c r="D217" s="9">
        <f t="shared" si="0"/>
        <v>49.664286942399279</v>
      </c>
      <c r="E217" s="9"/>
      <c r="F217" s="9">
        <f ca="1">IFERROR(__xludf.DUMMYFUNCTION("""COMPUTED_VALUE"""),45090)</f>
        <v>45090</v>
      </c>
      <c r="G217" s="9" t="str">
        <f ca="1">IFERROR(__xludf.DUMMYFUNCTION("""COMPUTED_VALUE"""),"1 USD = 287.4973 PKR")</f>
        <v>1 USD = 287.4973 PKR</v>
      </c>
      <c r="H217" s="9" t="str">
        <f ca="1">IFERROR(__xludf.DUMMYFUNCTION("""COMPUTED_VALUE"""),"USD PKR rate for 13/06/2023")</f>
        <v>USD PKR rate for 13/06/2023</v>
      </c>
      <c r="I217" s="9"/>
    </row>
    <row r="218" spans="1:9" ht="14.25" customHeight="1" x14ac:dyDescent="0.3">
      <c r="A218" s="6">
        <v>35338</v>
      </c>
      <c r="B218" s="7">
        <v>37.0625</v>
      </c>
      <c r="C218" s="8">
        <f t="shared" si="1"/>
        <v>36.085169301699437</v>
      </c>
      <c r="D218" s="9">
        <f t="shared" si="0"/>
        <v>49.746421926317254</v>
      </c>
      <c r="E218" s="9"/>
      <c r="F218" s="9">
        <f ca="1">IFERROR(__xludf.DUMMYFUNCTION("""COMPUTED_VALUE"""),45089)</f>
        <v>45089</v>
      </c>
      <c r="G218" s="9" t="str">
        <f ca="1">IFERROR(__xludf.DUMMYFUNCTION("""COMPUTED_VALUE"""),"1 USD = 287.5207 PKR")</f>
        <v>1 USD = 287.5207 PKR</v>
      </c>
      <c r="H218" s="9" t="str">
        <f ca="1">IFERROR(__xludf.DUMMYFUNCTION("""COMPUTED_VALUE"""),"USD PKR rate for 12/06/2023")</f>
        <v>USD PKR rate for 12/06/2023</v>
      </c>
      <c r="I218" s="9"/>
    </row>
    <row r="219" spans="1:9" ht="14.25" customHeight="1" x14ac:dyDescent="0.3">
      <c r="A219" s="6">
        <v>35369</v>
      </c>
      <c r="B219" s="7">
        <v>40.220300000000002</v>
      </c>
      <c r="C219" s="8">
        <f t="shared" si="1"/>
        <v>36.285775513309545</v>
      </c>
      <c r="D219" s="9">
        <f t="shared" si="0"/>
        <v>49.831294743032487</v>
      </c>
      <c r="E219" s="9"/>
      <c r="F219" s="9">
        <f ca="1">IFERROR(__xludf.DUMMYFUNCTION("""COMPUTED_VALUE"""),45088)</f>
        <v>45088</v>
      </c>
      <c r="G219" s="9" t="str">
        <f ca="1">IFERROR(__xludf.DUMMYFUNCTION("""COMPUTED_VALUE"""),"1 USD = 286.888 PKR")</f>
        <v>1 USD = 286.888 PKR</v>
      </c>
      <c r="H219" s="9" t="str">
        <f ca="1">IFERROR(__xludf.DUMMYFUNCTION("""COMPUTED_VALUE"""),"USD PKR rate for 11/06/2023")</f>
        <v>USD PKR rate for 11/06/2023</v>
      </c>
      <c r="I219" s="9"/>
    </row>
    <row r="220" spans="1:9" ht="14.25" customHeight="1" x14ac:dyDescent="0.3">
      <c r="A220" s="6">
        <v>35399</v>
      </c>
      <c r="B220" s="7">
        <v>40.220300000000002</v>
      </c>
      <c r="C220" s="8">
        <f t="shared" si="1"/>
        <v>36.480972330073023</v>
      </c>
      <c r="D220" s="9">
        <f t="shared" si="0"/>
        <v>49.913429726950454</v>
      </c>
      <c r="E220" s="9"/>
      <c r="F220" s="9">
        <f ca="1">IFERROR(__xludf.DUMMYFUNCTION("""COMPUTED_VALUE"""),45087)</f>
        <v>45087</v>
      </c>
      <c r="G220" s="9" t="str">
        <f ca="1">IFERROR(__xludf.DUMMYFUNCTION("""COMPUTED_VALUE"""),"1 USD = 286.8754 PKR")</f>
        <v>1 USD = 286.8754 PKR</v>
      </c>
      <c r="H220" s="9" t="str">
        <f ca="1">IFERROR(__xludf.DUMMYFUNCTION("""COMPUTED_VALUE"""),"USD PKR rate for 10/06/2023")</f>
        <v>USD PKR rate for 10/06/2023</v>
      </c>
      <c r="I220" s="9"/>
    </row>
    <row r="221" spans="1:9" ht="14.25" customHeight="1" x14ac:dyDescent="0.3">
      <c r="A221" s="6">
        <v>35430</v>
      </c>
      <c r="B221" s="7">
        <v>40.220300000000002</v>
      </c>
      <c r="C221" s="8">
        <f t="shared" si="1"/>
        <v>36.683778906752863</v>
      </c>
      <c r="D221" s="9">
        <f t="shared" si="0"/>
        <v>49.998302543665694</v>
      </c>
      <c r="E221" s="9"/>
      <c r="F221" s="9">
        <f ca="1">IFERROR(__xludf.DUMMYFUNCTION("""COMPUTED_VALUE"""),45086)</f>
        <v>45086</v>
      </c>
      <c r="G221" s="9" t="str">
        <f ca="1">IFERROR(__xludf.DUMMYFUNCTION("""COMPUTED_VALUE"""),"1 USD = 286.9499 PKR")</f>
        <v>1 USD = 286.9499 PKR</v>
      </c>
      <c r="H221" s="9" t="str">
        <f ca="1">IFERROR(__xludf.DUMMYFUNCTION("""COMPUTED_VALUE"""),"USD PKR rate for 09/06/2023")</f>
        <v>USD PKR rate for 09/06/2023</v>
      </c>
      <c r="I221" s="9"/>
    </row>
    <row r="222" spans="1:9" ht="14.25" customHeight="1" x14ac:dyDescent="0.3">
      <c r="A222" s="6">
        <v>35461</v>
      </c>
      <c r="B222" s="7">
        <v>40.220300000000002</v>
      </c>
      <c r="C222" s="8">
        <f t="shared" si="1"/>
        <v>36.887712934400064</v>
      </c>
      <c r="D222" s="9">
        <f t="shared" si="0"/>
        <v>50.083175360380928</v>
      </c>
      <c r="E222" s="9"/>
      <c r="F222" s="9">
        <f ca="1">IFERROR(__xludf.DUMMYFUNCTION("""COMPUTED_VALUE"""),45085)</f>
        <v>45085</v>
      </c>
      <c r="G222" s="9" t="str">
        <f ca="1">IFERROR(__xludf.DUMMYFUNCTION("""COMPUTED_VALUE"""),"1 USD = 287.1134 PKR")</f>
        <v>1 USD = 287.1134 PKR</v>
      </c>
      <c r="H222" s="9" t="str">
        <f ca="1">IFERROR(__xludf.DUMMYFUNCTION("""COMPUTED_VALUE"""),"USD PKR rate for 08/06/2023")</f>
        <v>USD PKR rate for 08/06/2023</v>
      </c>
      <c r="I222" s="9"/>
    </row>
    <row r="223" spans="1:9" ht="14.25" customHeight="1" x14ac:dyDescent="0.3">
      <c r="A223" s="6">
        <v>35489</v>
      </c>
      <c r="B223" s="7">
        <v>40.220300000000002</v>
      </c>
      <c r="C223" s="8">
        <f t="shared" si="1"/>
        <v>37.0728856919431</v>
      </c>
      <c r="D223" s="9">
        <f t="shared" si="0"/>
        <v>50.159834678704364</v>
      </c>
      <c r="E223" s="9"/>
      <c r="F223" s="9">
        <f ca="1">IFERROR(__xludf.DUMMYFUNCTION("""COMPUTED_VALUE"""),45084)</f>
        <v>45084</v>
      </c>
      <c r="G223" s="9" t="str">
        <f ca="1">IFERROR(__xludf.DUMMYFUNCTION("""COMPUTED_VALUE"""),"1 USD = 286.7672 PKR")</f>
        <v>1 USD = 286.7672 PKR</v>
      </c>
      <c r="H223" s="9" t="str">
        <f ca="1">IFERROR(__xludf.DUMMYFUNCTION("""COMPUTED_VALUE"""),"USD PKR rate for 07/06/2023")</f>
        <v>USD PKR rate for 07/06/2023</v>
      </c>
      <c r="I223" s="9"/>
    </row>
    <row r="224" spans="1:9" ht="14.25" customHeight="1" x14ac:dyDescent="0.3">
      <c r="A224" s="6">
        <v>35520</v>
      </c>
      <c r="B224" s="7">
        <v>40.220300000000002</v>
      </c>
      <c r="C224" s="8">
        <f t="shared" si="1"/>
        <v>37.278982858619429</v>
      </c>
      <c r="D224" s="9">
        <f t="shared" si="0"/>
        <v>50.244707495419604</v>
      </c>
      <c r="E224" s="9"/>
      <c r="F224" s="9">
        <f ca="1">IFERROR(__xludf.DUMMYFUNCTION("""COMPUTED_VALUE"""),45083)</f>
        <v>45083</v>
      </c>
      <c r="G224" s="9" t="str">
        <f ca="1">IFERROR(__xludf.DUMMYFUNCTION("""COMPUTED_VALUE"""),"1 USD = 286.4869 PKR")</f>
        <v>1 USD = 286.4869 PKR</v>
      </c>
      <c r="H224" s="9" t="str">
        <f ca="1">IFERROR(__xludf.DUMMYFUNCTION("""COMPUTED_VALUE"""),"USD PKR rate for 06/06/2023")</f>
        <v>USD PKR rate for 06/06/2023</v>
      </c>
      <c r="I224" s="9"/>
    </row>
    <row r="225" spans="1:9" ht="14.25" customHeight="1" x14ac:dyDescent="0.3">
      <c r="A225" s="6">
        <v>35550</v>
      </c>
      <c r="B225" s="7">
        <v>40.340600000000002</v>
      </c>
      <c r="C225" s="8">
        <f t="shared" si="1"/>
        <v>37.479522565522309</v>
      </c>
      <c r="D225" s="9">
        <f t="shared" si="0"/>
        <v>50.326842479337571</v>
      </c>
      <c r="E225" s="9"/>
      <c r="F225" s="9">
        <f ca="1">IFERROR(__xludf.DUMMYFUNCTION("""COMPUTED_VALUE"""),45082)</f>
        <v>45082</v>
      </c>
      <c r="G225" s="9" t="str">
        <f ca="1">IFERROR(__xludf.DUMMYFUNCTION("""COMPUTED_VALUE"""),"1 USD = 285.5723 PKR")</f>
        <v>1 USD = 285.5723 PKR</v>
      </c>
      <c r="H225" s="9" t="str">
        <f ca="1">IFERROR(__xludf.DUMMYFUNCTION("""COMPUTED_VALUE"""),"USD PKR rate for 05/06/2023")</f>
        <v>USD PKR rate for 05/06/2023</v>
      </c>
      <c r="I225" s="9"/>
    </row>
    <row r="226" spans="1:9" ht="14.25" customHeight="1" x14ac:dyDescent="0.3">
      <c r="A226" s="6">
        <v>35581</v>
      </c>
      <c r="B226" s="7">
        <v>40.491</v>
      </c>
      <c r="C226" s="8">
        <f t="shared" si="1"/>
        <v>37.687880325242489</v>
      </c>
      <c r="D226" s="9">
        <f t="shared" si="0"/>
        <v>50.411715296052812</v>
      </c>
      <c r="E226" s="9"/>
      <c r="F226" s="9">
        <f ca="1">IFERROR(__xludf.DUMMYFUNCTION("""COMPUTED_VALUE"""),45081)</f>
        <v>45081</v>
      </c>
      <c r="G226" s="9" t="str">
        <f ca="1">IFERROR(__xludf.DUMMYFUNCTION("""COMPUTED_VALUE"""),"1 USD = 286.4813 PKR")</f>
        <v>1 USD = 286.4813 PKR</v>
      </c>
      <c r="H226" s="9" t="str">
        <f ca="1">IFERROR(__xludf.DUMMYFUNCTION("""COMPUTED_VALUE"""),"USD PKR rate for 04/06/2023")</f>
        <v>USD PKR rate for 04/06/2023</v>
      </c>
      <c r="I226" s="9"/>
    </row>
    <row r="227" spans="1:9" ht="14.25" customHeight="1" x14ac:dyDescent="0.3">
      <c r="A227" s="6">
        <v>35611</v>
      </c>
      <c r="B227" s="7">
        <v>40.561199999999999</v>
      </c>
      <c r="C227" s="8">
        <f t="shared" si="1"/>
        <v>37.890619667752951</v>
      </c>
      <c r="D227" s="9">
        <f t="shared" si="0"/>
        <v>50.493850279970779</v>
      </c>
      <c r="E227" s="9"/>
      <c r="F227" s="9">
        <f ca="1">IFERROR(__xludf.DUMMYFUNCTION("""COMPUTED_VALUE"""),45080)</f>
        <v>45080</v>
      </c>
      <c r="G227" s="9" t="str">
        <f ca="1">IFERROR(__xludf.DUMMYFUNCTION("""COMPUTED_VALUE"""),"1 USD = 286.6965 PKR")</f>
        <v>1 USD = 286.6965 PKR</v>
      </c>
      <c r="H227" s="9" t="str">
        <f ca="1">IFERROR(__xludf.DUMMYFUNCTION("""COMPUTED_VALUE"""),"USD PKR rate for 03/06/2023")</f>
        <v>USD PKR rate for 03/06/2023</v>
      </c>
      <c r="I227" s="9"/>
    </row>
    <row r="228" spans="1:9" ht="14.25" customHeight="1" x14ac:dyDescent="0.3">
      <c r="A228" s="6">
        <v>35642</v>
      </c>
      <c r="B228" s="7">
        <v>40.621299999999998</v>
      </c>
      <c r="C228" s="8">
        <f t="shared" si="1"/>
        <v>38.101262816010248</v>
      </c>
      <c r="D228" s="9">
        <f t="shared" si="0"/>
        <v>50.578723096686012</v>
      </c>
      <c r="E228" s="9"/>
      <c r="F228" s="9">
        <f ca="1">IFERROR(__xludf.DUMMYFUNCTION("""COMPUTED_VALUE"""),45079)</f>
        <v>45079</v>
      </c>
      <c r="G228" s="9" t="str">
        <f ca="1">IFERROR(__xludf.DUMMYFUNCTION("""COMPUTED_VALUE"""),"1 USD = 285.6251 PKR")</f>
        <v>1 USD = 285.6251 PKR</v>
      </c>
      <c r="H228" s="9" t="str">
        <f ca="1">IFERROR(__xludf.DUMMYFUNCTION("""COMPUTED_VALUE"""),"USD PKR rate for 02/06/2023")</f>
        <v>USD PKR rate for 02/06/2023</v>
      </c>
      <c r="I228" s="9"/>
    </row>
    <row r="229" spans="1:9" ht="14.25" customHeight="1" x14ac:dyDescent="0.3">
      <c r="A229" s="6">
        <v>35673</v>
      </c>
      <c r="B229" s="7">
        <v>40.621299999999998</v>
      </c>
      <c r="C229" s="8">
        <f t="shared" si="1"/>
        <v>38.31307698063776</v>
      </c>
      <c r="D229" s="9">
        <f t="shared" si="0"/>
        <v>50.663595913401252</v>
      </c>
      <c r="E229" s="9"/>
      <c r="F229" s="9">
        <f ca="1">IFERROR(__xludf.DUMMYFUNCTION("""COMPUTED_VALUE"""),45078)</f>
        <v>45078</v>
      </c>
      <c r="G229" s="9" t="str">
        <f ca="1">IFERROR(__xludf.DUMMYFUNCTION("""COMPUTED_VALUE"""),"1 USD = 285.1967 PKR")</f>
        <v>1 USD = 285.1967 PKR</v>
      </c>
      <c r="H229" s="9" t="str">
        <f ca="1">IFERROR(__xludf.DUMMYFUNCTION("""COMPUTED_VALUE"""),"USD PKR rate for 01/06/2023")</f>
        <v>USD PKR rate for 01/06/2023</v>
      </c>
      <c r="I229" s="9"/>
    </row>
    <row r="230" spans="1:9" ht="14.25" customHeight="1" x14ac:dyDescent="0.3">
      <c r="A230" s="6">
        <v>35703</v>
      </c>
      <c r="B230" s="7">
        <v>40.621299999999998</v>
      </c>
      <c r="C230" s="8">
        <f t="shared" si="1"/>
        <v>38.519179525264128</v>
      </c>
      <c r="D230" s="9">
        <f t="shared" si="0"/>
        <v>50.74573089731922</v>
      </c>
      <c r="E230" s="9"/>
      <c r="F230" s="9">
        <f ca="1">IFERROR(__xludf.DUMMYFUNCTION("""COMPUTED_VALUE"""),45077)</f>
        <v>45077</v>
      </c>
      <c r="G230" s="9" t="str">
        <f ca="1">IFERROR(__xludf.DUMMYFUNCTION("""COMPUTED_VALUE"""),"1 USD = 285.4188 PKR")</f>
        <v>1 USD = 285.4188 PKR</v>
      </c>
      <c r="H230" s="9" t="str">
        <f ca="1">IFERROR(__xludf.DUMMYFUNCTION("""COMPUTED_VALUE"""),"USD PKR rate for 31/05/2023")</f>
        <v>USD PKR rate for 31/05/2023</v>
      </c>
      <c r="I230" s="9"/>
    </row>
    <row r="231" spans="1:9" ht="14.25" customHeight="1" x14ac:dyDescent="0.3">
      <c r="A231" s="6">
        <v>35734</v>
      </c>
      <c r="B231" s="7">
        <v>44.160200000000003</v>
      </c>
      <c r="C231" s="8">
        <f t="shared" si="1"/>
        <v>38.733316990278873</v>
      </c>
      <c r="D231" s="9">
        <f t="shared" si="0"/>
        <v>50.830603714034453</v>
      </c>
      <c r="E231" s="9"/>
      <c r="F231" s="9">
        <f ca="1">IFERROR(__xludf.DUMMYFUNCTION("""COMPUTED_VALUE"""),45076)</f>
        <v>45076</v>
      </c>
      <c r="G231" s="9" t="str">
        <f ca="1">IFERROR(__xludf.DUMMYFUNCTION("""COMPUTED_VALUE"""),"1 USD = 285.8213 PKR")</f>
        <v>1 USD = 285.8213 PKR</v>
      </c>
      <c r="H231" s="9" t="str">
        <f ca="1">IFERROR(__xludf.DUMMYFUNCTION("""COMPUTED_VALUE"""),"USD PKR rate for 30/05/2023")</f>
        <v>USD PKR rate for 30/05/2023</v>
      </c>
      <c r="I231" s="9"/>
    </row>
    <row r="232" spans="1:9" ht="14.25" customHeight="1" x14ac:dyDescent="0.3">
      <c r="A232" s="6">
        <v>35764</v>
      </c>
      <c r="B232" s="7">
        <v>44.160200000000003</v>
      </c>
      <c r="C232" s="8">
        <f t="shared" si="1"/>
        <v>38.941680186937582</v>
      </c>
      <c r="D232" s="9">
        <f t="shared" si="0"/>
        <v>50.912738697952427</v>
      </c>
      <c r="E232" s="9"/>
      <c r="F232" s="9">
        <f ca="1">IFERROR(__xludf.DUMMYFUNCTION("""COMPUTED_VALUE"""),45075)</f>
        <v>45075</v>
      </c>
      <c r="G232" s="9" t="str">
        <f ca="1">IFERROR(__xludf.DUMMYFUNCTION("""COMPUTED_VALUE"""),"1 USD = 285.2638 PKR")</f>
        <v>1 USD = 285.2638 PKR</v>
      </c>
      <c r="H232" s="9" t="str">
        <f ca="1">IFERROR(__xludf.DUMMYFUNCTION("""COMPUTED_VALUE"""),"USD PKR rate for 29/05/2023")</f>
        <v>USD PKR rate for 29/05/2023</v>
      </c>
      <c r="I232" s="9"/>
    </row>
    <row r="233" spans="1:9" ht="14.25" customHeight="1" x14ac:dyDescent="0.3">
      <c r="A233" s="6">
        <v>35795</v>
      </c>
      <c r="B233" s="7">
        <v>44.160200000000003</v>
      </c>
      <c r="C233" s="8">
        <f t="shared" si="1"/>
        <v>39.15816643564326</v>
      </c>
      <c r="D233" s="9">
        <f t="shared" si="0"/>
        <v>50.997611514667661</v>
      </c>
      <c r="E233" s="9"/>
      <c r="F233" s="9">
        <f ca="1">IFERROR(__xludf.DUMMYFUNCTION("""COMPUTED_VALUE"""),45074)</f>
        <v>45074</v>
      </c>
      <c r="G233" s="9" t="str">
        <f ca="1">IFERROR(__xludf.DUMMYFUNCTION("""COMPUTED_VALUE"""),"1 USD = 285.6345 PKR")</f>
        <v>1 USD = 285.6345 PKR</v>
      </c>
      <c r="H233" s="9" t="str">
        <f ca="1">IFERROR(__xludf.DUMMYFUNCTION("""COMPUTED_VALUE"""),"USD PKR rate for 28/05/2023")</f>
        <v>USD PKR rate for 28/05/2023</v>
      </c>
      <c r="I233" s="9"/>
    </row>
    <row r="234" spans="1:9" ht="14.25" customHeight="1" x14ac:dyDescent="0.3">
      <c r="A234" s="6">
        <v>35826</v>
      </c>
      <c r="B234" s="7">
        <v>44.160200000000003</v>
      </c>
      <c r="C234" s="8">
        <f t="shared" si="1"/>
        <v>39.375856183932264</v>
      </c>
      <c r="D234" s="9">
        <f t="shared" si="0"/>
        <v>51.082484331382901</v>
      </c>
      <c r="E234" s="9"/>
      <c r="F234" s="9">
        <f ca="1">IFERROR(__xludf.DUMMYFUNCTION("""COMPUTED_VALUE"""),45073)</f>
        <v>45073</v>
      </c>
      <c r="G234" s="9" t="str">
        <f ca="1">IFERROR(__xludf.DUMMYFUNCTION("""COMPUTED_VALUE"""),"1 USD = 285.4 PKR")</f>
        <v>1 USD = 285.4 PKR</v>
      </c>
      <c r="H234" s="9" t="str">
        <f ca="1">IFERROR(__xludf.DUMMYFUNCTION("""COMPUTED_VALUE"""),"USD PKR rate for 27/05/2023")</f>
        <v>USD PKR rate for 27/05/2023</v>
      </c>
      <c r="I234" s="9"/>
    </row>
    <row r="235" spans="1:9" ht="14.25" customHeight="1" x14ac:dyDescent="0.3">
      <c r="A235" s="6">
        <v>35854</v>
      </c>
      <c r="B235" s="7">
        <v>44.160200000000003</v>
      </c>
      <c r="C235" s="8">
        <f t="shared" si="1"/>
        <v>39.573519180365885</v>
      </c>
      <c r="D235" s="9">
        <f t="shared" si="0"/>
        <v>51.159143649706337</v>
      </c>
      <c r="E235" s="9"/>
      <c r="F235" s="9">
        <f ca="1">IFERROR(__xludf.DUMMYFUNCTION("""COMPUTED_VALUE"""),45072)</f>
        <v>45072</v>
      </c>
      <c r="G235" s="9" t="str">
        <f ca="1">IFERROR(__xludf.DUMMYFUNCTION("""COMPUTED_VALUE"""),"1 USD = 285.4 PKR")</f>
        <v>1 USD = 285.4 PKR</v>
      </c>
      <c r="H235" s="9" t="str">
        <f ca="1">IFERROR(__xludf.DUMMYFUNCTION("""COMPUTED_VALUE"""),"USD PKR rate for 26/05/2023")</f>
        <v>USD PKR rate for 26/05/2023</v>
      </c>
      <c r="I235" s="9"/>
    </row>
    <row r="236" spans="1:9" ht="14.25" customHeight="1" x14ac:dyDescent="0.3">
      <c r="A236" s="6">
        <v>35885</v>
      </c>
      <c r="B236" s="7">
        <v>44.263599999999997</v>
      </c>
      <c r="C236" s="8">
        <f t="shared" si="1"/>
        <v>39.793517975341175</v>
      </c>
      <c r="D236" s="9">
        <f t="shared" si="0"/>
        <v>51.24401646642157</v>
      </c>
      <c r="E236" s="9"/>
      <c r="F236" s="9">
        <f ca="1">IFERROR(__xludf.DUMMYFUNCTION("""COMPUTED_VALUE"""),45071)</f>
        <v>45071</v>
      </c>
      <c r="G236" s="9" t="str">
        <f ca="1">IFERROR(__xludf.DUMMYFUNCTION("""COMPUTED_VALUE"""),"1 USD = 285.6841 PKR")</f>
        <v>1 USD = 285.6841 PKR</v>
      </c>
      <c r="H236" s="9" t="str">
        <f ca="1">IFERROR(__xludf.DUMMYFUNCTION("""COMPUTED_VALUE"""),"USD PKR rate for 25/05/2023")</f>
        <v>USD PKR rate for 25/05/2023</v>
      </c>
      <c r="I236" s="9"/>
    </row>
    <row r="237" spans="1:9" ht="14.25" customHeight="1" x14ac:dyDescent="0.3">
      <c r="A237" s="6">
        <v>35915</v>
      </c>
      <c r="B237" s="7">
        <v>44.148200000000003</v>
      </c>
      <c r="C237" s="8">
        <f t="shared" si="1"/>
        <v>40.007584449785377</v>
      </c>
      <c r="D237" s="9">
        <f t="shared" si="0"/>
        <v>51.326151450339545</v>
      </c>
      <c r="E237" s="9"/>
      <c r="F237" s="9">
        <f ca="1">IFERROR(__xludf.DUMMYFUNCTION("""COMPUTED_VALUE"""),45070)</f>
        <v>45070</v>
      </c>
      <c r="G237" s="9" t="str">
        <f ca="1">IFERROR(__xludf.DUMMYFUNCTION("""COMPUTED_VALUE"""),"1 USD = 286.6744 PKR")</f>
        <v>1 USD = 286.6744 PKR</v>
      </c>
      <c r="H237" s="9" t="str">
        <f ca="1">IFERROR(__xludf.DUMMYFUNCTION("""COMPUTED_VALUE"""),"USD PKR rate for 24/05/2023")</f>
        <v>USD PKR rate for 24/05/2023</v>
      </c>
      <c r="I237" s="9"/>
    </row>
    <row r="238" spans="1:9" ht="14.25" customHeight="1" x14ac:dyDescent="0.3">
      <c r="A238" s="6">
        <v>35946</v>
      </c>
      <c r="B238" s="7">
        <v>44.339700000000001</v>
      </c>
      <c r="C238" s="8">
        <f t="shared" si="1"/>
        <v>40.229996318912036</v>
      </c>
      <c r="D238" s="9">
        <f t="shared" si="0"/>
        <v>51.411024267054778</v>
      </c>
      <c r="E238" s="9"/>
      <c r="F238" s="9">
        <f ca="1">IFERROR(__xludf.DUMMYFUNCTION("""COMPUTED_VALUE"""),45069)</f>
        <v>45069</v>
      </c>
      <c r="G238" s="9" t="str">
        <f ca="1">IFERROR(__xludf.DUMMYFUNCTION("""COMPUTED_VALUE"""),"1 USD = 287.0126 PKR")</f>
        <v>1 USD = 287.0126 PKR</v>
      </c>
      <c r="H238" s="9" t="str">
        <f ca="1">IFERROR(__xludf.DUMMYFUNCTION("""COMPUTED_VALUE"""),"USD PKR rate for 23/05/2023")</f>
        <v>USD PKR rate for 23/05/2023</v>
      </c>
      <c r="I238" s="9"/>
    </row>
    <row r="239" spans="1:9" ht="14.25" customHeight="1" x14ac:dyDescent="0.3">
      <c r="A239" s="6">
        <v>35976</v>
      </c>
      <c r="B239" s="7">
        <v>46.237608000000002</v>
      </c>
      <c r="C239" s="8">
        <f t="shared" si="1"/>
        <v>40.4464107983815</v>
      </c>
      <c r="D239" s="9">
        <f t="shared" si="0"/>
        <v>51.493159250972752</v>
      </c>
      <c r="E239" s="9"/>
      <c r="F239" s="9">
        <f ca="1">IFERROR(__xludf.DUMMYFUNCTION("""COMPUTED_VALUE"""),45068)</f>
        <v>45068</v>
      </c>
      <c r="G239" s="9" t="str">
        <f ca="1">IFERROR(__xludf.DUMMYFUNCTION("""COMPUTED_VALUE"""),"1 USD = 286.6617 PKR")</f>
        <v>1 USD = 286.6617 PKR</v>
      </c>
      <c r="H239" s="9" t="str">
        <f ca="1">IFERROR(__xludf.DUMMYFUNCTION("""COMPUTED_VALUE"""),"USD PKR rate for 22/05/2023")</f>
        <v>USD PKR rate for 22/05/2023</v>
      </c>
      <c r="I239" s="9"/>
    </row>
    <row r="240" spans="1:9" ht="14.25" customHeight="1" x14ac:dyDescent="0.3">
      <c r="A240" s="6">
        <v>36007</v>
      </c>
      <c r="B240" s="7">
        <v>46.115000000000002</v>
      </c>
      <c r="C240" s="8">
        <f t="shared" si="1"/>
        <v>40.671262209653889</v>
      </c>
      <c r="D240" s="9">
        <f t="shared" si="0"/>
        <v>51.578032067687985</v>
      </c>
      <c r="E240" s="9"/>
      <c r="F240" s="9">
        <f ca="1">IFERROR(__xludf.DUMMYFUNCTION("""COMPUTED_VALUE"""),45067)</f>
        <v>45067</v>
      </c>
      <c r="G240" s="9" t="str">
        <f ca="1">IFERROR(__xludf.DUMMYFUNCTION("""COMPUTED_VALUE"""),"1 USD = 285.1002 PKR")</f>
        <v>1 USD = 285.1002 PKR</v>
      </c>
      <c r="H240" s="9" t="str">
        <f ca="1">IFERROR(__xludf.DUMMYFUNCTION("""COMPUTED_VALUE"""),"USD PKR rate for 21/05/2023")</f>
        <v>USD PKR rate for 21/05/2023</v>
      </c>
      <c r="I240" s="9"/>
    </row>
    <row r="241" spans="1:9" ht="14.25" customHeight="1" x14ac:dyDescent="0.3">
      <c r="A241" s="6">
        <v>36038</v>
      </c>
      <c r="B241" s="7">
        <v>46.115000000000002</v>
      </c>
      <c r="C241" s="8">
        <f t="shared" si="1"/>
        <v>40.897363624477954</v>
      </c>
      <c r="D241" s="9">
        <f t="shared" si="0"/>
        <v>51.662904884403218</v>
      </c>
      <c r="E241" s="9"/>
      <c r="F241" s="9">
        <f ca="1">IFERROR(__xludf.DUMMYFUNCTION("""COMPUTED_VALUE"""),45066)</f>
        <v>45066</v>
      </c>
      <c r="G241" s="9" t="str">
        <f ca="1">IFERROR(__xludf.DUMMYFUNCTION("""COMPUTED_VALUE"""),"1 USD = 284.9957 PKR")</f>
        <v>1 USD = 284.9957 PKR</v>
      </c>
      <c r="H241" s="9" t="str">
        <f ca="1">IFERROR(__xludf.DUMMYFUNCTION("""COMPUTED_VALUE"""),"USD PKR rate for 20/05/2023")</f>
        <v>USD PKR rate for 20/05/2023</v>
      </c>
      <c r="I241" s="9"/>
    </row>
    <row r="242" spans="1:9" ht="14.25" customHeight="1" x14ac:dyDescent="0.3">
      <c r="A242" s="6">
        <v>36068</v>
      </c>
      <c r="B242" s="7">
        <v>46.115000000000002</v>
      </c>
      <c r="C242" s="8">
        <f t="shared" si="1"/>
        <v>41.117368160155827</v>
      </c>
      <c r="D242" s="9">
        <f t="shared" si="0"/>
        <v>51.745039868321193</v>
      </c>
      <c r="E242" s="9"/>
      <c r="F242" s="9">
        <f ca="1">IFERROR(__xludf.DUMMYFUNCTION("""COMPUTED_VALUE"""),45065)</f>
        <v>45065</v>
      </c>
      <c r="G242" s="9" t="str">
        <f ca="1">IFERROR(__xludf.DUMMYFUNCTION("""COMPUTED_VALUE"""),"1 USD = 285.7618 PKR")</f>
        <v>1 USD = 285.7618 PKR</v>
      </c>
      <c r="H242" s="9" t="str">
        <f ca="1">IFERROR(__xludf.DUMMYFUNCTION("""COMPUTED_VALUE"""),"USD PKR rate for 19/05/2023")</f>
        <v>USD PKR rate for 19/05/2023</v>
      </c>
      <c r="I242" s="9"/>
    </row>
    <row r="243" spans="1:9" ht="14.25" customHeight="1" x14ac:dyDescent="0.3">
      <c r="A243" s="6">
        <v>36099</v>
      </c>
      <c r="B243" s="7">
        <v>46.115000000000002</v>
      </c>
      <c r="C243" s="8">
        <f t="shared" si="1"/>
        <v>41.34594958619887</v>
      </c>
      <c r="D243" s="9">
        <f t="shared" si="0"/>
        <v>51.829912685036426</v>
      </c>
      <c r="E243" s="9"/>
      <c r="F243" s="9">
        <f ca="1">IFERROR(__xludf.DUMMYFUNCTION("""COMPUTED_VALUE"""),45064)</f>
        <v>45064</v>
      </c>
      <c r="G243" s="9" t="str">
        <f ca="1">IFERROR(__xludf.DUMMYFUNCTION("""COMPUTED_VALUE"""),"1 USD = 285.5702 PKR")</f>
        <v>1 USD = 285.5702 PKR</v>
      </c>
      <c r="H243" s="9" t="str">
        <f ca="1">IFERROR(__xludf.DUMMYFUNCTION("""COMPUTED_VALUE"""),"USD PKR rate for 18/05/2023")</f>
        <v>USD PKR rate for 18/05/2023</v>
      </c>
      <c r="I243" s="9"/>
    </row>
    <row r="244" spans="1:9" ht="14.25" customHeight="1" x14ac:dyDescent="0.3">
      <c r="A244" s="6">
        <v>36129</v>
      </c>
      <c r="B244" s="7">
        <v>46.115000000000002</v>
      </c>
      <c r="C244" s="8">
        <f t="shared" si="1"/>
        <v>41.568367258995458</v>
      </c>
      <c r="D244" s="9">
        <f t="shared" si="0"/>
        <v>51.912047668954393</v>
      </c>
      <c r="E244" s="9"/>
      <c r="F244" s="9">
        <f ca="1">IFERROR(__xludf.DUMMYFUNCTION("""COMPUTED_VALUE"""),45063)</f>
        <v>45063</v>
      </c>
      <c r="G244" s="9" t="str">
        <f ca="1">IFERROR(__xludf.DUMMYFUNCTION("""COMPUTED_VALUE"""),"1 USD = 285.1 PKR")</f>
        <v>1 USD = 285.1 PKR</v>
      </c>
      <c r="H244" s="9" t="str">
        <f ca="1">IFERROR(__xludf.DUMMYFUNCTION("""COMPUTED_VALUE"""),"USD PKR rate for 17/05/2023")</f>
        <v>USD PKR rate for 17/05/2023</v>
      </c>
      <c r="I244" s="9"/>
    </row>
    <row r="245" spans="1:9" ht="14.25" customHeight="1" x14ac:dyDescent="0.3">
      <c r="A245" s="6">
        <v>36160</v>
      </c>
      <c r="B245" s="7">
        <v>46.115000000000002</v>
      </c>
      <c r="C245" s="8">
        <f t="shared" si="1"/>
        <v>41.799455898456337</v>
      </c>
      <c r="D245" s="9">
        <f t="shared" si="0"/>
        <v>51.996920485669634</v>
      </c>
      <c r="E245" s="9"/>
      <c r="F245" s="9">
        <f ca="1">IFERROR(__xludf.DUMMYFUNCTION("""COMPUTED_VALUE"""),45062)</f>
        <v>45062</v>
      </c>
      <c r="G245" s="9" t="str">
        <f ca="1">IFERROR(__xludf.DUMMYFUNCTION("""COMPUTED_VALUE"""),"1 USD = 285.3955 PKR")</f>
        <v>1 USD = 285.3955 PKR</v>
      </c>
      <c r="H245" s="9" t="str">
        <f ca="1">IFERROR(__xludf.DUMMYFUNCTION("""COMPUTED_VALUE"""),"USD PKR rate for 16/05/2023")</f>
        <v>USD PKR rate for 16/05/2023</v>
      </c>
      <c r="I245" s="9"/>
    </row>
    <row r="246" spans="1:9" ht="14.25" customHeight="1" x14ac:dyDescent="0.3">
      <c r="A246" s="6">
        <v>36191</v>
      </c>
      <c r="B246" s="7">
        <v>46.115000000000002</v>
      </c>
      <c r="C246" s="8">
        <f t="shared" si="1"/>
        <v>42.031829215733765</v>
      </c>
      <c r="D246" s="9">
        <f t="shared" si="0"/>
        <v>52.081793302384867</v>
      </c>
      <c r="E246" s="9"/>
      <c r="F246" s="9">
        <f ca="1">IFERROR(__xludf.DUMMYFUNCTION("""COMPUTED_VALUE"""),45061)</f>
        <v>45061</v>
      </c>
      <c r="G246" s="9" t="str">
        <f ca="1">IFERROR(__xludf.DUMMYFUNCTION("""COMPUTED_VALUE"""),"1 USD = 284.9326 PKR")</f>
        <v>1 USD = 284.9326 PKR</v>
      </c>
      <c r="H246" s="9" t="str">
        <f ca="1">IFERROR(__xludf.DUMMYFUNCTION("""COMPUTED_VALUE"""),"USD PKR rate for 15/05/2023")</f>
        <v>USD PKR rate for 15/05/2023</v>
      </c>
      <c r="I246" s="9"/>
    </row>
    <row r="247" spans="1:9" ht="14.25" customHeight="1" x14ac:dyDescent="0.3">
      <c r="A247" s="6">
        <v>36219</v>
      </c>
      <c r="B247" s="7">
        <v>46.115000000000002</v>
      </c>
      <c r="C247" s="8">
        <f t="shared" si="1"/>
        <v>42.242824940361565</v>
      </c>
      <c r="D247" s="9">
        <f t="shared" si="0"/>
        <v>52.15845262070831</v>
      </c>
      <c r="E247" s="9"/>
      <c r="F247" s="9">
        <f ca="1">IFERROR(__xludf.DUMMYFUNCTION("""COMPUTED_VALUE"""),45060)</f>
        <v>45060</v>
      </c>
      <c r="G247" s="9" t="str">
        <f ca="1">IFERROR(__xludf.DUMMYFUNCTION("""COMPUTED_VALUE"""),"1 USD = 286.6346 PKR")</f>
        <v>1 USD = 286.6346 PKR</v>
      </c>
      <c r="H247" s="9" t="str">
        <f ca="1">IFERROR(__xludf.DUMMYFUNCTION("""COMPUTED_VALUE"""),"USD PKR rate for 14/05/2023")</f>
        <v>USD PKR rate for 14/05/2023</v>
      </c>
      <c r="I247" s="9"/>
    </row>
    <row r="248" spans="1:9" ht="14.25" customHeight="1" x14ac:dyDescent="0.3">
      <c r="A248" s="6">
        <v>36250</v>
      </c>
      <c r="B248" s="7">
        <v>46.115000000000002</v>
      </c>
      <c r="C248" s="8">
        <f t="shared" si="1"/>
        <v>42.477663053719006</v>
      </c>
      <c r="D248" s="9">
        <f t="shared" si="0"/>
        <v>52.243325437423543</v>
      </c>
      <c r="E248" s="9"/>
      <c r="F248" s="9">
        <f ca="1">IFERROR(__xludf.DUMMYFUNCTION("""COMPUTED_VALUE"""),45059)</f>
        <v>45059</v>
      </c>
      <c r="G248" s="9" t="str">
        <f ca="1">IFERROR(__xludf.DUMMYFUNCTION("""COMPUTED_VALUE"""),"1 USD = 284.3522 PKR")</f>
        <v>1 USD = 284.3522 PKR</v>
      </c>
      <c r="H248" s="9" t="str">
        <f ca="1">IFERROR(__xludf.DUMMYFUNCTION("""COMPUTED_VALUE"""),"USD PKR rate for 13/05/2023")</f>
        <v>USD PKR rate for 13/05/2023</v>
      </c>
      <c r="I248" s="9"/>
    </row>
    <row r="249" spans="1:9" ht="14.25" customHeight="1" x14ac:dyDescent="0.3">
      <c r="A249" s="6">
        <v>36280</v>
      </c>
      <c r="B249" s="7">
        <v>46.115000000000002</v>
      </c>
      <c r="C249" s="8">
        <f t="shared" si="1"/>
        <v>42.706168700748563</v>
      </c>
      <c r="D249" s="9">
        <f t="shared" si="0"/>
        <v>52.325460421341511</v>
      </c>
      <c r="E249" s="9"/>
      <c r="F249" s="9">
        <f ca="1">IFERROR(__xludf.DUMMYFUNCTION("""COMPUTED_VALUE"""),45058)</f>
        <v>45058</v>
      </c>
      <c r="G249" s="9" t="str">
        <f ca="1">IFERROR(__xludf.DUMMYFUNCTION("""COMPUTED_VALUE"""),"1 USD = 295.65 PKR")</f>
        <v>1 USD = 295.65 PKR</v>
      </c>
      <c r="H249" s="9" t="str">
        <f ca="1">IFERROR(__xludf.DUMMYFUNCTION("""COMPUTED_VALUE"""),"USD PKR rate for 12/05/2023")</f>
        <v>USD PKR rate for 12/05/2023</v>
      </c>
      <c r="I249" s="9"/>
    </row>
    <row r="250" spans="1:9" ht="14.25" customHeight="1" x14ac:dyDescent="0.3">
      <c r="A250" s="6">
        <v>36311</v>
      </c>
      <c r="B250" s="7">
        <v>51.897711999999999</v>
      </c>
      <c r="C250" s="8">
        <f t="shared" si="1"/>
        <v>42.943582654492616</v>
      </c>
      <c r="D250" s="9">
        <f t="shared" si="0"/>
        <v>52.410333238056751</v>
      </c>
      <c r="E250" s="9"/>
      <c r="F250" s="9">
        <f ca="1">IFERROR(__xludf.DUMMYFUNCTION("""COMPUTED_VALUE"""),45057)</f>
        <v>45057</v>
      </c>
      <c r="G250" s="9" t="str">
        <f ca="1">IFERROR(__xludf.DUMMYFUNCTION("""COMPUTED_VALUE"""),"1 USD = 295.6259 PKR")</f>
        <v>1 USD = 295.6259 PKR</v>
      </c>
      <c r="H250" s="9" t="str">
        <f ca="1">IFERROR(__xludf.DUMMYFUNCTION("""COMPUTED_VALUE"""),"USD PKR rate for 11/05/2023")</f>
        <v>USD PKR rate for 11/05/2023</v>
      </c>
      <c r="I250" s="9"/>
    </row>
    <row r="251" spans="1:9" ht="14.25" customHeight="1" x14ac:dyDescent="0.3">
      <c r="A251" s="6">
        <v>36341</v>
      </c>
      <c r="B251" s="7">
        <v>51.560600000000001</v>
      </c>
      <c r="C251" s="8">
        <f t="shared" si="1"/>
        <v>43.174594683751891</v>
      </c>
      <c r="D251" s="9">
        <f t="shared" si="0"/>
        <v>52.492468221974718</v>
      </c>
      <c r="E251" s="9"/>
      <c r="F251" s="9">
        <f ca="1">IFERROR(__xludf.DUMMYFUNCTION("""COMPUTED_VALUE"""),45056)</f>
        <v>45056</v>
      </c>
      <c r="G251" s="9" t="str">
        <f ca="1">IFERROR(__xludf.DUMMYFUNCTION("""COMPUTED_VALUE"""),"1 USD = 284.4751 PKR")</f>
        <v>1 USD = 284.4751 PKR</v>
      </c>
      <c r="H251" s="9" t="str">
        <f ca="1">IFERROR(__xludf.DUMMYFUNCTION("""COMPUTED_VALUE"""),"USD PKR rate for 10/05/2023")</f>
        <v>USD PKR rate for 10/05/2023</v>
      </c>
      <c r="I251" s="9"/>
    </row>
    <row r="252" spans="1:9" ht="14.25" customHeight="1" x14ac:dyDescent="0.3">
      <c r="A252" s="6">
        <v>36372</v>
      </c>
      <c r="B252" s="7">
        <v>51.371434999999998</v>
      </c>
      <c r="C252" s="8">
        <f t="shared" si="1"/>
        <v>43.41461273119117</v>
      </c>
      <c r="D252" s="9">
        <f t="shared" si="0"/>
        <v>52.577341038689951</v>
      </c>
      <c r="E252" s="9"/>
      <c r="F252" s="9">
        <f ca="1">IFERROR(__xludf.DUMMYFUNCTION("""COMPUTED_VALUE"""),45055)</f>
        <v>45055</v>
      </c>
      <c r="G252" s="9" t="str">
        <f ca="1">IFERROR(__xludf.DUMMYFUNCTION("""COMPUTED_VALUE"""),"1 USD = 284.9292 PKR")</f>
        <v>1 USD = 284.9292 PKR</v>
      </c>
      <c r="H252" s="9" t="str">
        <f ca="1">IFERROR(__xludf.DUMMYFUNCTION("""COMPUTED_VALUE"""),"USD PKR rate for 09/05/2023")</f>
        <v>USD PKR rate for 09/05/2023</v>
      </c>
      <c r="I252" s="9"/>
    </row>
    <row r="253" spans="1:9" ht="14.25" customHeight="1" x14ac:dyDescent="0.3">
      <c r="A253" s="6">
        <v>36403</v>
      </c>
      <c r="B253" s="7">
        <v>51.748896000000002</v>
      </c>
      <c r="C253" s="8">
        <f t="shared" si="1"/>
        <v>43.655965097192528</v>
      </c>
      <c r="D253" s="9">
        <f t="shared" si="0"/>
        <v>52.662213855405192</v>
      </c>
      <c r="E253" s="9"/>
      <c r="F253" s="9">
        <f ca="1">IFERROR(__xludf.DUMMYFUNCTION("""COMPUTED_VALUE"""),45054)</f>
        <v>45054</v>
      </c>
      <c r="G253" s="9" t="str">
        <f ca="1">IFERROR(__xludf.DUMMYFUNCTION("""COMPUTED_VALUE"""),"1 USD = 283.727 PKR")</f>
        <v>1 USD = 283.727 PKR</v>
      </c>
      <c r="H253" s="9" t="str">
        <f ca="1">IFERROR(__xludf.DUMMYFUNCTION("""COMPUTED_VALUE"""),"USD PKR rate for 08/05/2023")</f>
        <v>USD PKR rate for 08/05/2023</v>
      </c>
      <c r="I253" s="9"/>
    </row>
    <row r="254" spans="1:9" ht="14.25" customHeight="1" x14ac:dyDescent="0.3">
      <c r="A254" s="6">
        <v>36433</v>
      </c>
      <c r="B254" s="7">
        <v>51.742913000000001</v>
      </c>
      <c r="C254" s="8">
        <f t="shared" si="1"/>
        <v>43.890809338473368</v>
      </c>
      <c r="D254" s="9">
        <f t="shared" si="0"/>
        <v>52.744348839323159</v>
      </c>
      <c r="E254" s="9"/>
      <c r="F254" s="9">
        <f ca="1">IFERROR(__xludf.DUMMYFUNCTION("""COMPUTED_VALUE"""),45053)</f>
        <v>45053</v>
      </c>
      <c r="G254" s="9" t="str">
        <f ca="1">IFERROR(__xludf.DUMMYFUNCTION("""COMPUTED_VALUE"""),"1 USD = 283.5113 PKR")</f>
        <v>1 USD = 283.5113 PKR</v>
      </c>
      <c r="H254" s="9" t="str">
        <f ca="1">IFERROR(__xludf.DUMMYFUNCTION("""COMPUTED_VALUE"""),"USD PKR rate for 07/05/2023")</f>
        <v>USD PKR rate for 07/05/2023</v>
      </c>
      <c r="I254" s="9"/>
    </row>
    <row r="255" spans="1:9" ht="14.25" customHeight="1" x14ac:dyDescent="0.3">
      <c r="A255" s="6">
        <v>36464</v>
      </c>
      <c r="B255" s="7">
        <v>51.752586999999998</v>
      </c>
      <c r="C255" s="8">
        <f t="shared" si="1"/>
        <v>44.134808996955748</v>
      </c>
      <c r="D255" s="9">
        <f t="shared" si="0"/>
        <v>52.829221656038399</v>
      </c>
      <c r="E255" s="9"/>
      <c r="F255" s="9">
        <f ca="1">IFERROR(__xludf.DUMMYFUNCTION("""COMPUTED_VALUE"""),45052)</f>
        <v>45052</v>
      </c>
      <c r="G255" s="9" t="str">
        <f ca="1">IFERROR(__xludf.DUMMYFUNCTION("""COMPUTED_VALUE"""),"1 USD = 283.8499 PKR")</f>
        <v>1 USD = 283.8499 PKR</v>
      </c>
      <c r="H255" s="9" t="str">
        <f ca="1">IFERROR(__xludf.DUMMYFUNCTION("""COMPUTED_VALUE"""),"USD PKR rate for 06/05/2023")</f>
        <v>USD PKR rate for 06/05/2023</v>
      </c>
      <c r="I255" s="9"/>
    </row>
    <row r="256" spans="1:9" ht="14.25" customHeight="1" x14ac:dyDescent="0.3">
      <c r="A256" s="6">
        <v>36494</v>
      </c>
      <c r="B256" s="7">
        <v>51.775109000000008</v>
      </c>
      <c r="C256" s="8">
        <f t="shared" si="1"/>
        <v>44.372229145837778</v>
      </c>
      <c r="D256" s="9">
        <f t="shared" si="0"/>
        <v>52.911356639956367</v>
      </c>
      <c r="E256" s="9"/>
      <c r="F256" s="9">
        <f ca="1">IFERROR(__xludf.DUMMYFUNCTION("""COMPUTED_VALUE"""),45051)</f>
        <v>45051</v>
      </c>
      <c r="G256" s="9" t="str">
        <f ca="1">IFERROR(__xludf.DUMMYFUNCTION("""COMPUTED_VALUE"""),"1 USD = 283.5037 PKR")</f>
        <v>1 USD = 283.5037 PKR</v>
      </c>
      <c r="H256" s="9" t="str">
        <f ca="1">IFERROR(__xludf.DUMMYFUNCTION("""COMPUTED_VALUE"""),"USD PKR rate for 05/05/2023")</f>
        <v>USD PKR rate for 05/05/2023</v>
      </c>
      <c r="I256" s="9"/>
    </row>
    <row r="257" spans="1:9" ht="14.25" customHeight="1" x14ac:dyDescent="0.3">
      <c r="A257" s="6">
        <v>36525</v>
      </c>
      <c r="B257" s="7">
        <v>51.759839999999997</v>
      </c>
      <c r="C257" s="8">
        <f t="shared" si="1"/>
        <v>44.61890513383775</v>
      </c>
      <c r="D257" s="9">
        <f t="shared" si="0"/>
        <v>52.9962294566716</v>
      </c>
      <c r="E257" s="9"/>
      <c r="F257" s="9">
        <f ca="1">IFERROR(__xludf.DUMMYFUNCTION("""COMPUTED_VALUE"""),45050)</f>
        <v>45050</v>
      </c>
      <c r="G257" s="9" t="str">
        <f ca="1">IFERROR(__xludf.DUMMYFUNCTION("""COMPUTED_VALUE"""),"1 USD = 283.7876 PKR")</f>
        <v>1 USD = 283.7876 PKR</v>
      </c>
      <c r="H257" s="9" t="str">
        <f ca="1">IFERROR(__xludf.DUMMYFUNCTION("""COMPUTED_VALUE"""),"USD PKR rate for 04/05/2023")</f>
        <v>USD PKR rate for 04/05/2023</v>
      </c>
      <c r="I257" s="9"/>
    </row>
    <row r="258" spans="1:9" ht="14.25" customHeight="1" x14ac:dyDescent="0.3">
      <c r="A258" s="6">
        <v>36556</v>
      </c>
      <c r="B258" s="7">
        <v>51.768883000000002</v>
      </c>
      <c r="C258" s="8">
        <f t="shared" si="1"/>
        <v>44.866952453506812</v>
      </c>
      <c r="D258" s="9">
        <f t="shared" ref="D258:D512" si="2">(A258-$A$3)/365.2524</f>
        <v>53.08110227338684</v>
      </c>
      <c r="E258" s="9"/>
      <c r="F258" s="9">
        <f ca="1">IFERROR(__xludf.DUMMYFUNCTION("""COMPUTED_VALUE"""),45049)</f>
        <v>45049</v>
      </c>
      <c r="G258" s="9" t="str">
        <f ca="1">IFERROR(__xludf.DUMMYFUNCTION("""COMPUTED_VALUE"""),"1 USD = 283.7326 PKR")</f>
        <v>1 USD = 283.7326 PKR</v>
      </c>
      <c r="H258" s="9" t="str">
        <f ca="1">IFERROR(__xludf.DUMMYFUNCTION("""COMPUTED_VALUE"""),"USD PKR rate for 03/05/2023")</f>
        <v>USD PKR rate for 03/05/2023</v>
      </c>
      <c r="I258" s="9"/>
    </row>
    <row r="259" spans="1:9" ht="14.25" customHeight="1" x14ac:dyDescent="0.3">
      <c r="A259" s="6">
        <v>36585</v>
      </c>
      <c r="B259" s="7">
        <v>51.797567999999998</v>
      </c>
      <c r="C259" s="8">
        <f t="shared" ref="C259:C513" si="3">(1+$C$1)^D259*$C$3</f>
        <v>45.100244949054009</v>
      </c>
      <c r="D259" s="9">
        <f t="shared" si="2"/>
        <v>53.160499424507542</v>
      </c>
      <c r="E259" s="9"/>
      <c r="F259" s="9">
        <f ca="1">IFERROR(__xludf.DUMMYFUNCTION("""COMPUTED_VALUE"""),45048)</f>
        <v>45048</v>
      </c>
      <c r="G259" s="9" t="str">
        <f ca="1">IFERROR(__xludf.DUMMYFUNCTION("""COMPUTED_VALUE"""),"1 USD = 283.5789 PKR")</f>
        <v>1 USD = 283.5789 PKR</v>
      </c>
      <c r="H259" s="9" t="str">
        <f ca="1">IFERROR(__xludf.DUMMYFUNCTION("""COMPUTED_VALUE"""),"USD PKR rate for 02/05/2023")</f>
        <v>USD PKR rate for 02/05/2023</v>
      </c>
      <c r="I259" s="9"/>
    </row>
    <row r="260" spans="1:9" ht="14.25" customHeight="1" x14ac:dyDescent="0.3">
      <c r="A260" s="6">
        <v>36616</v>
      </c>
      <c r="B260" s="7">
        <v>51.790658999999998</v>
      </c>
      <c r="C260" s="8">
        <f t="shared" si="3"/>
        <v>45.350968153544919</v>
      </c>
      <c r="D260" s="9">
        <f t="shared" si="2"/>
        <v>53.245372241222782</v>
      </c>
      <c r="E260" s="9"/>
      <c r="F260" s="9">
        <f ca="1">IFERROR(__xludf.DUMMYFUNCTION("""COMPUTED_VALUE"""),45047)</f>
        <v>45047</v>
      </c>
      <c r="G260" s="9" t="str">
        <f ca="1">IFERROR(__xludf.DUMMYFUNCTION("""COMPUTED_VALUE"""),"1 USD = 283.3876 PKR")</f>
        <v>1 USD = 283.3876 PKR</v>
      </c>
      <c r="H260" s="9" t="str">
        <f ca="1">IFERROR(__xludf.DUMMYFUNCTION("""COMPUTED_VALUE"""),"USD PKR rate for 01/05/2023")</f>
        <v>USD PKR rate for 01/05/2023</v>
      </c>
      <c r="I260" s="9"/>
    </row>
    <row r="261" spans="1:9" ht="14.25" customHeight="1" x14ac:dyDescent="0.3">
      <c r="A261" s="6">
        <v>36646</v>
      </c>
      <c r="B261" s="7">
        <v>51.791113000000003</v>
      </c>
      <c r="C261" s="8">
        <f t="shared" si="3"/>
        <v>45.59493054639681</v>
      </c>
      <c r="D261" s="9">
        <f t="shared" si="2"/>
        <v>53.327507225140749</v>
      </c>
      <c r="E261" s="9"/>
      <c r="F261" s="9">
        <f ca="1">IFERROR(__xludf.DUMMYFUNCTION("""COMPUTED_VALUE"""),45046)</f>
        <v>45046</v>
      </c>
      <c r="G261" s="9" t="str">
        <f ca="1">IFERROR(__xludf.DUMMYFUNCTION("""COMPUTED_VALUE"""),"1 USD = 280.788 PKR")</f>
        <v>1 USD = 280.788 PKR</v>
      </c>
      <c r="H261" s="9" t="str">
        <f ca="1">IFERROR(__xludf.DUMMYFUNCTION("""COMPUTED_VALUE"""),"USD PKR rate for 30/04/2023")</f>
        <v>USD PKR rate for 30/04/2023</v>
      </c>
      <c r="I261" s="9"/>
    </row>
    <row r="262" spans="1:9" ht="14.25" customHeight="1" x14ac:dyDescent="0.3">
      <c r="A262" s="6">
        <v>36677</v>
      </c>
      <c r="B262" s="7">
        <v>51.798594000000008</v>
      </c>
      <c r="C262" s="8">
        <f t="shared" si="3"/>
        <v>45.848403828150495</v>
      </c>
      <c r="D262" s="9">
        <f t="shared" si="2"/>
        <v>53.412380041855982</v>
      </c>
      <c r="E262" s="9"/>
      <c r="F262" s="9">
        <f ca="1">IFERROR(__xludf.DUMMYFUNCTION("""COMPUTED_VALUE"""),45045)</f>
        <v>45045</v>
      </c>
      <c r="G262" s="9" t="str">
        <f ca="1">IFERROR(__xludf.DUMMYFUNCTION("""COMPUTED_VALUE"""),"1 USD = 283.6888 PKR")</f>
        <v>1 USD = 283.6888 PKR</v>
      </c>
      <c r="H262" s="9" t="str">
        <f ca="1">IFERROR(__xludf.DUMMYFUNCTION("""COMPUTED_VALUE"""),"USD PKR rate for 29/04/2023")</f>
        <v>USD PKR rate for 29/04/2023</v>
      </c>
      <c r="I262" s="9"/>
    </row>
    <row r="263" spans="1:9" ht="14.25" customHeight="1" x14ac:dyDescent="0.3">
      <c r="A263" s="6">
        <v>36707</v>
      </c>
      <c r="B263" s="7">
        <v>52.159379999999999</v>
      </c>
      <c r="C263" s="8">
        <f t="shared" si="3"/>
        <v>46.095042141768999</v>
      </c>
      <c r="D263" s="9">
        <f t="shared" si="2"/>
        <v>53.494515025773957</v>
      </c>
      <c r="E263" s="9"/>
      <c r="F263" s="9">
        <f ca="1">IFERROR(__xludf.DUMMYFUNCTION("""COMPUTED_VALUE"""),45044)</f>
        <v>45044</v>
      </c>
      <c r="G263" s="9" t="str">
        <f ca="1">IFERROR(__xludf.DUMMYFUNCTION("""COMPUTED_VALUE"""),"1 USD = 283.7001 PKR")</f>
        <v>1 USD = 283.7001 PKR</v>
      </c>
      <c r="H263" s="9" t="str">
        <f ca="1">IFERROR(__xludf.DUMMYFUNCTION("""COMPUTED_VALUE"""),"USD PKR rate for 28/04/2023")</f>
        <v>USD PKR rate for 28/04/2023</v>
      </c>
      <c r="I263" s="9"/>
    </row>
    <row r="264" spans="1:9" ht="14.25" customHeight="1" x14ac:dyDescent="0.3">
      <c r="A264" s="6">
        <v>36738</v>
      </c>
      <c r="B264" s="7">
        <v>53.367103999999998</v>
      </c>
      <c r="C264" s="8">
        <f t="shared" si="3"/>
        <v>46.351295665225059</v>
      </c>
      <c r="D264" s="9">
        <f t="shared" si="2"/>
        <v>53.57938784248919</v>
      </c>
      <c r="E264" s="9"/>
      <c r="F264" s="9">
        <f ca="1">IFERROR(__xludf.DUMMYFUNCTION("""COMPUTED_VALUE"""),45043)</f>
        <v>45043</v>
      </c>
      <c r="G264" s="9" t="str">
        <f ca="1">IFERROR(__xludf.DUMMYFUNCTION("""COMPUTED_VALUE"""),"1 USD = 283.8041 PKR")</f>
        <v>1 USD = 283.8041 PKR</v>
      </c>
      <c r="H264" s="9" t="str">
        <f ca="1">IFERROR(__xludf.DUMMYFUNCTION("""COMPUTED_VALUE"""),"USD PKR rate for 27/04/2023")</f>
        <v>USD PKR rate for 27/04/2023</v>
      </c>
      <c r="I264" s="9"/>
    </row>
    <row r="265" spans="1:9" ht="14.25" customHeight="1" x14ac:dyDescent="0.3">
      <c r="A265" s="6">
        <v>36769</v>
      </c>
      <c r="B265" s="7">
        <v>54.832791</v>
      </c>
      <c r="C265" s="8">
        <f t="shared" si="3"/>
        <v>46.608973764193621</v>
      </c>
      <c r="D265" s="9">
        <f t="shared" si="2"/>
        <v>53.664260659204423</v>
      </c>
      <c r="E265" s="9"/>
      <c r="F265" s="9">
        <f ca="1">IFERROR(__xludf.DUMMYFUNCTION("""COMPUTED_VALUE"""),45042)</f>
        <v>45042</v>
      </c>
      <c r="G265" s="9" t="str">
        <f ca="1">IFERROR(__xludf.DUMMYFUNCTION("""COMPUTED_VALUE"""),"1 USD = 281.4876 PKR")</f>
        <v>1 USD = 281.4876 PKR</v>
      </c>
      <c r="H265" s="9" t="str">
        <f ca="1">IFERROR(__xludf.DUMMYFUNCTION("""COMPUTED_VALUE"""),"USD PKR rate for 26/04/2023")</f>
        <v>USD PKR rate for 26/04/2023</v>
      </c>
      <c r="I265" s="9"/>
    </row>
    <row r="266" spans="1:9" ht="14.25" customHeight="1" x14ac:dyDescent="0.3">
      <c r="A266" s="6">
        <v>36799</v>
      </c>
      <c r="B266" s="7">
        <v>58.384255000000003</v>
      </c>
      <c r="C266" s="8">
        <f t="shared" si="3"/>
        <v>46.859703511117367</v>
      </c>
      <c r="D266" s="9">
        <f t="shared" si="2"/>
        <v>53.746395643122398</v>
      </c>
      <c r="E266" s="9"/>
      <c r="F266" s="9">
        <f ca="1">IFERROR(__xludf.DUMMYFUNCTION("""COMPUTED_VALUE"""),45041)</f>
        <v>45041</v>
      </c>
      <c r="G266" s="9" t="str">
        <f ca="1">IFERROR(__xludf.DUMMYFUNCTION("""COMPUTED_VALUE"""),"1 USD = 283.4636 PKR")</f>
        <v>1 USD = 283.4636 PKR</v>
      </c>
      <c r="H266" s="9" t="str">
        <f ca="1">IFERROR(__xludf.DUMMYFUNCTION("""COMPUTED_VALUE"""),"USD PKR rate for 25/04/2023")</f>
        <v>USD PKR rate for 25/04/2023</v>
      </c>
      <c r="I266" s="9"/>
    </row>
    <row r="267" spans="1:9" ht="14.25" customHeight="1" x14ac:dyDescent="0.3">
      <c r="A267" s="6">
        <v>36830</v>
      </c>
      <c r="B267" s="7">
        <v>57.436069000000003</v>
      </c>
      <c r="C267" s="8">
        <f t="shared" si="3"/>
        <v>47.120207972657923</v>
      </c>
      <c r="D267" s="9">
        <f t="shared" si="2"/>
        <v>53.831268459837631</v>
      </c>
      <c r="E267" s="9"/>
      <c r="F267" s="9">
        <f ca="1">IFERROR(__xludf.DUMMYFUNCTION("""COMPUTED_VALUE"""),45040)</f>
        <v>45040</v>
      </c>
      <c r="G267" s="9" t="str">
        <f ca="1">IFERROR(__xludf.DUMMYFUNCTION("""COMPUTED_VALUE"""),"1 USD = 279.0781 PKR")</f>
        <v>1 USD = 279.0781 PKR</v>
      </c>
      <c r="H267" s="9" t="str">
        <f ca="1">IFERROR(__xludf.DUMMYFUNCTION("""COMPUTED_VALUE"""),"USD PKR rate for 24/04/2023")</f>
        <v>USD PKR rate for 24/04/2023</v>
      </c>
      <c r="I267" s="9"/>
    </row>
    <row r="268" spans="1:9" ht="14.25" customHeight="1" x14ac:dyDescent="0.3">
      <c r="A268" s="6">
        <v>36860</v>
      </c>
      <c r="B268" s="7">
        <v>57.981777000000001</v>
      </c>
      <c r="C268" s="8">
        <f t="shared" si="3"/>
        <v>47.37368786860565</v>
      </c>
      <c r="D268" s="9">
        <f t="shared" si="2"/>
        <v>53.913403443755605</v>
      </c>
      <c r="E268" s="9"/>
      <c r="F268" s="9">
        <f ca="1">IFERROR(__xludf.DUMMYFUNCTION("""COMPUTED_VALUE"""),45039)</f>
        <v>45039</v>
      </c>
      <c r="G268" s="9" t="str">
        <f ca="1">IFERROR(__xludf.DUMMYFUNCTION("""COMPUTED_VALUE"""),"1 USD = 283.3914 PKR")</f>
        <v>1 USD = 283.3914 PKR</v>
      </c>
      <c r="H268" s="9" t="str">
        <f ca="1">IFERROR(__xludf.DUMMYFUNCTION("""COMPUTED_VALUE"""),"USD PKR rate for 23/04/2023")</f>
        <v>USD PKR rate for 23/04/2023</v>
      </c>
      <c r="I268" s="9"/>
    </row>
    <row r="269" spans="1:9" ht="14.25" customHeight="1" x14ac:dyDescent="0.3">
      <c r="A269" s="6">
        <v>36891</v>
      </c>
      <c r="B269" s="7">
        <v>57.986277000000001</v>
      </c>
      <c r="C269" s="8">
        <f t="shared" si="3"/>
        <v>47.637049693899165</v>
      </c>
      <c r="D269" s="9">
        <f t="shared" si="2"/>
        <v>53.998276260470838</v>
      </c>
      <c r="E269" s="9"/>
      <c r="F269" s="9">
        <f ca="1">IFERROR(__xludf.DUMMYFUNCTION("""COMPUTED_VALUE"""),45038)</f>
        <v>45038</v>
      </c>
      <c r="G269" s="9" t="str">
        <f ca="1">IFERROR(__xludf.DUMMYFUNCTION("""COMPUTED_VALUE"""),"1 USD = 283.4999 PKR")</f>
        <v>1 USD = 283.4999 PKR</v>
      </c>
      <c r="H269" s="9" t="str">
        <f ca="1">IFERROR(__xludf.DUMMYFUNCTION("""COMPUTED_VALUE"""),"USD PKR rate for 22/04/2023")</f>
        <v>USD PKR rate for 22/04/2023</v>
      </c>
      <c r="I269" s="9"/>
    </row>
    <row r="270" spans="1:9" ht="14.25" customHeight="1" x14ac:dyDescent="0.3">
      <c r="A270" s="6">
        <v>36922</v>
      </c>
      <c r="B270" s="7">
        <v>59.273958999999998</v>
      </c>
      <c r="C270" s="8">
        <f t="shared" si="3"/>
        <v>47.901875611479817</v>
      </c>
      <c r="D270" s="9">
        <f t="shared" si="2"/>
        <v>54.083149077186071</v>
      </c>
      <c r="E270" s="9"/>
      <c r="F270" s="9">
        <f ca="1">IFERROR(__xludf.DUMMYFUNCTION("""COMPUTED_VALUE"""),45037)</f>
        <v>45037</v>
      </c>
      <c r="G270" s="9" t="str">
        <f ca="1">IFERROR(__xludf.DUMMYFUNCTION("""COMPUTED_VALUE"""),"1 USD = 283.4999 PKR")</f>
        <v>1 USD = 283.4999 PKR</v>
      </c>
      <c r="H270" s="9" t="str">
        <f ca="1">IFERROR(__xludf.DUMMYFUNCTION("""COMPUTED_VALUE"""),"USD PKR rate for 21/04/2023")</f>
        <v>USD PKR rate for 21/04/2023</v>
      </c>
      <c r="I270" s="9"/>
    </row>
    <row r="271" spans="1:9" ht="14.25" customHeight="1" x14ac:dyDescent="0.3">
      <c r="A271" s="6">
        <v>36950</v>
      </c>
      <c r="B271" s="7">
        <v>60.350445000000001</v>
      </c>
      <c r="C271" s="8">
        <f t="shared" si="3"/>
        <v>48.142338402280544</v>
      </c>
      <c r="D271" s="9">
        <f t="shared" si="2"/>
        <v>54.159808395509515</v>
      </c>
      <c r="E271" s="9"/>
      <c r="F271" s="9">
        <f ca="1">IFERROR(__xludf.DUMMYFUNCTION("""COMPUTED_VALUE"""),45036)</f>
        <v>45036</v>
      </c>
      <c r="G271" s="9" t="str">
        <f ca="1">IFERROR(__xludf.DUMMYFUNCTION("""COMPUTED_VALUE"""),"1 USD = 283.4814 PKR")</f>
        <v>1 USD = 283.4814 PKR</v>
      </c>
      <c r="H271" s="9" t="str">
        <f ca="1">IFERROR(__xludf.DUMMYFUNCTION("""COMPUTED_VALUE"""),"USD PKR rate for 20/04/2023")</f>
        <v>USD PKR rate for 20/04/2023</v>
      </c>
      <c r="I271" s="9"/>
    </row>
    <row r="272" spans="1:9" ht="14.25" customHeight="1" x14ac:dyDescent="0.3">
      <c r="A272" s="6">
        <v>36981</v>
      </c>
      <c r="B272" s="7">
        <v>60.815047</v>
      </c>
      <c r="C272" s="8">
        <f t="shared" si="3"/>
        <v>48.409973342390927</v>
      </c>
      <c r="D272" s="9">
        <f t="shared" si="2"/>
        <v>54.244681212224748</v>
      </c>
      <c r="E272" s="9"/>
      <c r="F272" s="9">
        <f ca="1">IFERROR(__xludf.DUMMYFUNCTION("""COMPUTED_VALUE"""),45035)</f>
        <v>45035</v>
      </c>
      <c r="G272" s="9" t="str">
        <f ca="1">IFERROR(__xludf.DUMMYFUNCTION("""COMPUTED_VALUE"""),"1 USD = 280.6499 PKR")</f>
        <v>1 USD = 280.6499 PKR</v>
      </c>
      <c r="H272" s="9" t="str">
        <f ca="1">IFERROR(__xludf.DUMMYFUNCTION("""COMPUTED_VALUE"""),"USD PKR rate for 19/04/2023")</f>
        <v>USD PKR rate for 19/04/2023</v>
      </c>
      <c r="I272" s="9"/>
    </row>
    <row r="273" spans="1:9" ht="14.25" customHeight="1" x14ac:dyDescent="0.3">
      <c r="A273" s="6">
        <v>37011</v>
      </c>
      <c r="B273" s="7">
        <v>61.240913999999997</v>
      </c>
      <c r="C273" s="8">
        <f t="shared" si="3"/>
        <v>48.670391441835264</v>
      </c>
      <c r="D273" s="9">
        <f t="shared" si="2"/>
        <v>54.326816196142715</v>
      </c>
      <c r="E273" s="9"/>
      <c r="F273" s="9">
        <f ca="1">IFERROR(__xludf.DUMMYFUNCTION("""COMPUTED_VALUE"""),45034)</f>
        <v>45034</v>
      </c>
      <c r="G273" s="9" t="str">
        <f ca="1">IFERROR(__xludf.DUMMYFUNCTION("""COMPUTED_VALUE"""),"1 USD = 283.9485 PKR")</f>
        <v>1 USD = 283.9485 PKR</v>
      </c>
      <c r="H273" s="9" t="str">
        <f ca="1">IFERROR(__xludf.DUMMYFUNCTION("""COMPUTED_VALUE"""),"USD PKR rate for 18/04/2023")</f>
        <v>USD PKR rate for 18/04/2023</v>
      </c>
      <c r="I273" s="9"/>
    </row>
    <row r="274" spans="1:9" ht="14.25" customHeight="1" x14ac:dyDescent="0.3">
      <c r="A274" s="6">
        <v>37042</v>
      </c>
      <c r="B274" s="7">
        <v>63.237712000000002</v>
      </c>
      <c r="C274" s="8">
        <f t="shared" si="3"/>
        <v>48.940961956915785</v>
      </c>
      <c r="D274" s="9">
        <f t="shared" si="2"/>
        <v>54.411689012857956</v>
      </c>
      <c r="E274" s="9"/>
      <c r="F274" s="9">
        <f ca="1">IFERROR(__xludf.DUMMYFUNCTION("""COMPUTED_VALUE"""),45033)</f>
        <v>45033</v>
      </c>
      <c r="G274" s="9" t="str">
        <f ca="1">IFERROR(__xludf.DUMMYFUNCTION("""COMPUTED_VALUE"""),"1 USD = 282.3036 PKR")</f>
        <v>1 USD = 282.3036 PKR</v>
      </c>
      <c r="H274" s="9" t="str">
        <f ca="1">IFERROR(__xludf.DUMMYFUNCTION("""COMPUTED_VALUE"""),"USD PKR rate for 17/04/2023")</f>
        <v>USD PKR rate for 17/04/2023</v>
      </c>
      <c r="I274" s="9"/>
    </row>
    <row r="275" spans="1:9" ht="14.25" customHeight="1" x14ac:dyDescent="0.3">
      <c r="A275" s="6">
        <v>37072</v>
      </c>
      <c r="B275" s="7">
        <v>64.089077000000003</v>
      </c>
      <c r="C275" s="8">
        <f t="shared" si="3"/>
        <v>49.204236472843604</v>
      </c>
      <c r="D275" s="9">
        <f t="shared" si="2"/>
        <v>54.493823996775923</v>
      </c>
      <c r="E275" s="9"/>
      <c r="F275" s="9">
        <f ca="1">IFERROR(__xludf.DUMMYFUNCTION("""COMPUTED_VALUE"""),45032)</f>
        <v>45032</v>
      </c>
      <c r="G275" s="9" t="str">
        <f ca="1">IFERROR(__xludf.DUMMYFUNCTION("""COMPUTED_VALUE"""),"1 USD = 280.7027 PKR")</f>
        <v>1 USD = 280.7027 PKR</v>
      </c>
      <c r="H275" s="9" t="str">
        <f ca="1">IFERROR(__xludf.DUMMYFUNCTION("""COMPUTED_VALUE"""),"USD PKR rate for 16/04/2023")</f>
        <v>USD PKR rate for 16/04/2023</v>
      </c>
      <c r="I275" s="9"/>
    </row>
    <row r="276" spans="1:9" ht="14.25" customHeight="1" x14ac:dyDescent="0.3">
      <c r="A276" s="6">
        <v>37103</v>
      </c>
      <c r="B276" s="7">
        <v>64.146349000000001</v>
      </c>
      <c r="C276" s="8">
        <f t="shared" si="3"/>
        <v>49.477774761980058</v>
      </c>
      <c r="D276" s="9">
        <f t="shared" si="2"/>
        <v>54.578696813491163</v>
      </c>
      <c r="E276" s="9"/>
      <c r="F276" s="9">
        <f ca="1">IFERROR(__xludf.DUMMYFUNCTION("""COMPUTED_VALUE"""),45031)</f>
        <v>45031</v>
      </c>
      <c r="G276" s="9" t="str">
        <f ca="1">IFERROR(__xludf.DUMMYFUNCTION("""COMPUTED_VALUE"""),"1 USD = 279.7163 PKR")</f>
        <v>1 USD = 279.7163 PKR</v>
      </c>
      <c r="H276" s="9" t="str">
        <f ca="1">IFERROR(__xludf.DUMMYFUNCTION("""COMPUTED_VALUE"""),"USD PKR rate for 15/04/2023")</f>
        <v>USD PKR rate for 15/04/2023</v>
      </c>
      <c r="I276" s="9"/>
    </row>
    <row r="277" spans="1:9" ht="14.25" customHeight="1" x14ac:dyDescent="0.3">
      <c r="A277" s="6">
        <v>37134</v>
      </c>
      <c r="B277" s="7">
        <v>64.062060000000002</v>
      </c>
      <c r="C277" s="8">
        <f t="shared" si="3"/>
        <v>49.752833716835305</v>
      </c>
      <c r="D277" s="9">
        <f t="shared" si="2"/>
        <v>54.663569630206396</v>
      </c>
      <c r="E277" s="9"/>
      <c r="F277" s="9">
        <f ca="1">IFERROR(__xludf.DUMMYFUNCTION("""COMPUTED_VALUE"""),45030)</f>
        <v>45030</v>
      </c>
      <c r="G277" s="9" t="str">
        <f ca="1">IFERROR(__xludf.DUMMYFUNCTION("""COMPUTED_VALUE"""),"1 USD = 284.4696 PKR")</f>
        <v>1 USD = 284.4696 PKR</v>
      </c>
      <c r="H277" s="9" t="str">
        <f ca="1">IFERROR(__xludf.DUMMYFUNCTION("""COMPUTED_VALUE"""),"USD PKR rate for 14/04/2023")</f>
        <v>USD PKR rate for 14/04/2023</v>
      </c>
      <c r="I277" s="9"/>
    </row>
    <row r="278" spans="1:9" ht="14.25" customHeight="1" x14ac:dyDescent="0.3">
      <c r="A278" s="6">
        <v>37164</v>
      </c>
      <c r="B278" s="7">
        <v>64.059486000000007</v>
      </c>
      <c r="C278" s="8">
        <f t="shared" si="3"/>
        <v>50.02047564067751</v>
      </c>
      <c r="D278" s="9">
        <f t="shared" si="2"/>
        <v>54.745704614124364</v>
      </c>
      <c r="E278" s="9"/>
      <c r="F278" s="9">
        <f ca="1">IFERROR(__xludf.DUMMYFUNCTION("""COMPUTED_VALUE"""),45029)</f>
        <v>45029</v>
      </c>
      <c r="G278" s="9" t="str">
        <f ca="1">IFERROR(__xludf.DUMMYFUNCTION("""COMPUTED_VALUE"""),"1 USD = 282.7614 PKR")</f>
        <v>1 USD = 282.7614 PKR</v>
      </c>
      <c r="H278" s="9" t="str">
        <f ca="1">IFERROR(__xludf.DUMMYFUNCTION("""COMPUTED_VALUE"""),"USD PKR rate for 13/04/2023")</f>
        <v>USD PKR rate for 13/04/2023</v>
      </c>
      <c r="I278" s="9"/>
    </row>
    <row r="279" spans="1:9" ht="14.25" customHeight="1" x14ac:dyDescent="0.3">
      <c r="A279" s="6">
        <v>37195</v>
      </c>
      <c r="B279" s="7">
        <v>61.502415999999997</v>
      </c>
      <c r="C279" s="8">
        <f t="shared" si="3"/>
        <v>50.298551601394713</v>
      </c>
      <c r="D279" s="9">
        <f t="shared" si="2"/>
        <v>54.830577430839604</v>
      </c>
      <c r="E279" s="9"/>
      <c r="F279" s="9">
        <f ca="1">IFERROR(__xludf.DUMMYFUNCTION("""COMPUTED_VALUE"""),45028)</f>
        <v>45028</v>
      </c>
      <c r="G279" s="9" t="str">
        <f ca="1">IFERROR(__xludf.DUMMYFUNCTION("""COMPUTED_VALUE"""),"1 USD = 288.3716 PKR")</f>
        <v>1 USD = 288.3716 PKR</v>
      </c>
      <c r="H279" s="9" t="str">
        <f ca="1">IFERROR(__xludf.DUMMYFUNCTION("""COMPUTED_VALUE"""),"USD PKR rate for 12/04/2023")</f>
        <v>USD PKR rate for 12/04/2023</v>
      </c>
      <c r="I279" s="9"/>
    </row>
    <row r="280" spans="1:9" ht="14.25" customHeight="1" x14ac:dyDescent="0.3">
      <c r="A280" s="6">
        <v>37225</v>
      </c>
      <c r="B280" s="7">
        <v>60.88981600000001</v>
      </c>
      <c r="C280" s="8">
        <f t="shared" si="3"/>
        <v>50.569129176808666</v>
      </c>
      <c r="D280" s="9">
        <f t="shared" si="2"/>
        <v>54.912712414757571</v>
      </c>
      <c r="E280" s="9"/>
      <c r="F280" s="9">
        <f ca="1">IFERROR(__xludf.DUMMYFUNCTION("""COMPUTED_VALUE"""),45027)</f>
        <v>45027</v>
      </c>
      <c r="G280" s="9" t="str">
        <f ca="1">IFERROR(__xludf.DUMMYFUNCTION("""COMPUTED_VALUE"""),"1 USD = 288.6101 PKR")</f>
        <v>1 USD = 288.6101 PKR</v>
      </c>
      <c r="H280" s="9" t="str">
        <f ca="1">IFERROR(__xludf.DUMMYFUNCTION("""COMPUTED_VALUE"""),"USD PKR rate for 11/04/2023")</f>
        <v>USD PKR rate for 11/04/2023</v>
      </c>
      <c r="I280" s="9"/>
    </row>
    <row r="281" spans="1:9" ht="14.25" customHeight="1" x14ac:dyDescent="0.3">
      <c r="A281" s="6">
        <v>37256</v>
      </c>
      <c r="B281" s="7">
        <v>60.097436999999999</v>
      </c>
      <c r="C281" s="8">
        <f t="shared" si="3"/>
        <v>50.850255235654814</v>
      </c>
      <c r="D281" s="9">
        <f t="shared" si="2"/>
        <v>54.997585231472812</v>
      </c>
      <c r="E281" s="9"/>
      <c r="F281" s="9">
        <f ca="1">IFERROR(__xludf.DUMMYFUNCTION("""COMPUTED_VALUE"""),45026)</f>
        <v>45026</v>
      </c>
      <c r="G281" s="9" t="str">
        <f ca="1">IFERROR(__xludf.DUMMYFUNCTION("""COMPUTED_VALUE"""),"1 USD = 284.2599 PKR")</f>
        <v>1 USD = 284.2599 PKR</v>
      </c>
      <c r="H281" s="9" t="str">
        <f ca="1">IFERROR(__xludf.DUMMYFUNCTION("""COMPUTED_VALUE"""),"USD PKR rate for 10/04/2023")</f>
        <v>USD PKR rate for 10/04/2023</v>
      </c>
      <c r="I281" s="9"/>
    </row>
    <row r="282" spans="1:9" ht="14.25" customHeight="1" x14ac:dyDescent="0.3">
      <c r="A282" s="6">
        <v>37287</v>
      </c>
      <c r="B282" s="7">
        <v>60.253064000000002</v>
      </c>
      <c r="C282" s="8">
        <f t="shared" si="3"/>
        <v>51.132944142472596</v>
      </c>
      <c r="D282" s="9">
        <f t="shared" si="2"/>
        <v>55.082458048188045</v>
      </c>
      <c r="E282" s="9"/>
      <c r="F282" s="9">
        <f ca="1">IFERROR(__xludf.DUMMYFUNCTION("""COMPUTED_VALUE"""),45025)</f>
        <v>45025</v>
      </c>
      <c r="G282" s="9" t="str">
        <f ca="1">IFERROR(__xludf.DUMMYFUNCTION("""COMPUTED_VALUE"""),"1 USD = 284.0001 PKR")</f>
        <v>1 USD = 284.0001 PKR</v>
      </c>
      <c r="H282" s="9" t="str">
        <f ca="1">IFERROR(__xludf.DUMMYFUNCTION("""COMPUTED_VALUE"""),"USD PKR rate for 09/04/2023")</f>
        <v>USD PKR rate for 09/04/2023</v>
      </c>
      <c r="I282" s="9"/>
    </row>
    <row r="283" spans="1:9" ht="14.25" customHeight="1" x14ac:dyDescent="0.3">
      <c r="A283" s="6">
        <v>37315</v>
      </c>
      <c r="B283" s="7">
        <v>60.128605000000007</v>
      </c>
      <c r="C283" s="8">
        <f t="shared" si="3"/>
        <v>51.389626585349816</v>
      </c>
      <c r="D283" s="9">
        <f t="shared" si="2"/>
        <v>55.159117366511481</v>
      </c>
      <c r="E283" s="9"/>
      <c r="F283" s="9">
        <f ca="1">IFERROR(__xludf.DUMMYFUNCTION("""COMPUTED_VALUE"""),45024)</f>
        <v>45024</v>
      </c>
      <c r="G283" s="9" t="str">
        <f ca="1">IFERROR(__xludf.DUMMYFUNCTION("""COMPUTED_VALUE"""),"1 USD = 284.0001 PKR")</f>
        <v>1 USD = 284.0001 PKR</v>
      </c>
      <c r="H283" s="9" t="str">
        <f ca="1">IFERROR(__xludf.DUMMYFUNCTION("""COMPUTED_VALUE"""),"USD PKR rate for 08/04/2023")</f>
        <v>USD PKR rate for 08/04/2023</v>
      </c>
      <c r="I283" s="9"/>
    </row>
    <row r="284" spans="1:9" ht="14.25" customHeight="1" x14ac:dyDescent="0.3">
      <c r="A284" s="6">
        <v>37346</v>
      </c>
      <c r="B284" s="7">
        <v>60.091495000000002</v>
      </c>
      <c r="C284" s="8">
        <f t="shared" si="3"/>
        <v>51.675313988370007</v>
      </c>
      <c r="D284" s="9">
        <f t="shared" si="2"/>
        <v>55.243990183226721</v>
      </c>
      <c r="E284" s="9"/>
      <c r="F284" s="9">
        <f ca="1">IFERROR(__xludf.DUMMYFUNCTION("""COMPUTED_VALUE"""),45023)</f>
        <v>45023</v>
      </c>
      <c r="G284" s="9" t="str">
        <f ca="1">IFERROR(__xludf.DUMMYFUNCTION("""COMPUTED_VALUE"""),"1 USD = 283.9998 PKR")</f>
        <v>1 USD = 283.9998 PKR</v>
      </c>
      <c r="H284" s="9" t="str">
        <f ca="1">IFERROR(__xludf.DUMMYFUNCTION("""COMPUTED_VALUE"""),"USD PKR rate for 07/04/2023")</f>
        <v>USD PKR rate for 07/04/2023</v>
      </c>
      <c r="I284" s="9"/>
    </row>
    <row r="285" spans="1:9" ht="14.25" customHeight="1" x14ac:dyDescent="0.3">
      <c r="A285" s="6">
        <v>37376</v>
      </c>
      <c r="B285" s="7">
        <v>60.113799999999998</v>
      </c>
      <c r="C285" s="8">
        <f t="shared" si="3"/>
        <v>51.953297761710687</v>
      </c>
      <c r="D285" s="9">
        <f t="shared" si="2"/>
        <v>55.326125167144689</v>
      </c>
      <c r="E285" s="9"/>
      <c r="F285" s="9">
        <f ca="1">IFERROR(__xludf.DUMMYFUNCTION("""COMPUTED_VALUE"""),45022)</f>
        <v>45022</v>
      </c>
      <c r="G285" s="9" t="str">
        <f ca="1">IFERROR(__xludf.DUMMYFUNCTION("""COMPUTED_VALUE"""),"1 USD = 287.8496 PKR")</f>
        <v>1 USD = 287.8496 PKR</v>
      </c>
      <c r="H285" s="9" t="str">
        <f ca="1">IFERROR(__xludf.DUMMYFUNCTION("""COMPUTED_VALUE"""),"USD PKR rate for 06/04/2023")</f>
        <v>USD PKR rate for 06/04/2023</v>
      </c>
      <c r="I285" s="9"/>
    </row>
    <row r="286" spans="1:9" ht="14.25" customHeight="1" x14ac:dyDescent="0.3">
      <c r="A286" s="6">
        <v>37407</v>
      </c>
      <c r="B286" s="7">
        <v>60.150395000000003</v>
      </c>
      <c r="C286" s="8">
        <f t="shared" si="3"/>
        <v>52.242118749565627</v>
      </c>
      <c r="D286" s="9">
        <f t="shared" si="2"/>
        <v>55.410997983859922</v>
      </c>
      <c r="E286" s="9"/>
      <c r="F286" s="9">
        <f ca="1">IFERROR(__xludf.DUMMYFUNCTION("""COMPUTED_VALUE"""),45021)</f>
        <v>45021</v>
      </c>
      <c r="G286" s="9" t="str">
        <f ca="1">IFERROR(__xludf.DUMMYFUNCTION("""COMPUTED_VALUE"""),"1 USD = 288.6245 PKR")</f>
        <v>1 USD = 288.6245 PKR</v>
      </c>
      <c r="H286" s="9" t="str">
        <f ca="1">IFERROR(__xludf.DUMMYFUNCTION("""COMPUTED_VALUE"""),"USD PKR rate for 05/04/2023")</f>
        <v>USD PKR rate for 05/04/2023</v>
      </c>
      <c r="I286" s="9"/>
    </row>
    <row r="287" spans="1:9" ht="14.25" customHeight="1" x14ac:dyDescent="0.3">
      <c r="A287" s="6">
        <v>37437</v>
      </c>
      <c r="B287" s="7">
        <v>60.072913</v>
      </c>
      <c r="C287" s="8">
        <f t="shared" si="3"/>
        <v>52.523151609870766</v>
      </c>
      <c r="D287" s="9">
        <f t="shared" si="2"/>
        <v>55.493132967777896</v>
      </c>
      <c r="E287" s="9"/>
      <c r="F287" s="9">
        <f ca="1">IFERROR(__xludf.DUMMYFUNCTION("""COMPUTED_VALUE"""),45020)</f>
        <v>45020</v>
      </c>
      <c r="G287" s="9" t="str">
        <f ca="1">IFERROR(__xludf.DUMMYFUNCTION("""COMPUTED_VALUE"""),"1 USD = 287.4626 PKR")</f>
        <v>1 USD = 287.4626 PKR</v>
      </c>
      <c r="H287" s="9" t="str">
        <f ca="1">IFERROR(__xludf.DUMMYFUNCTION("""COMPUTED_VALUE"""),"USD PKR rate for 04/04/2023")</f>
        <v>USD PKR rate for 04/04/2023</v>
      </c>
      <c r="I287" s="9"/>
    </row>
    <row r="288" spans="1:9" ht="14.25" customHeight="1" x14ac:dyDescent="0.3">
      <c r="A288" s="6">
        <v>37468</v>
      </c>
      <c r="B288" s="7">
        <v>59.558185000000009</v>
      </c>
      <c r="C288" s="8">
        <f t="shared" si="3"/>
        <v>52.815140553533098</v>
      </c>
      <c r="D288" s="9">
        <f t="shared" si="2"/>
        <v>55.578005784493129</v>
      </c>
      <c r="E288" s="9"/>
      <c r="F288" s="9">
        <f ca="1">IFERROR(__xludf.DUMMYFUNCTION("""COMPUTED_VALUE"""),45019)</f>
        <v>45019</v>
      </c>
      <c r="G288" s="9" t="str">
        <f ca="1">IFERROR(__xludf.DUMMYFUNCTION("""COMPUTED_VALUE"""),"1 USD = 285.1514 PKR")</f>
        <v>1 USD = 285.1514 PKR</v>
      </c>
      <c r="H288" s="9" t="str">
        <f ca="1">IFERROR(__xludf.DUMMYFUNCTION("""COMPUTED_VALUE"""),"USD PKR rate for 03/04/2023")</f>
        <v>USD PKR rate for 03/04/2023</v>
      </c>
      <c r="I288" s="9"/>
    </row>
    <row r="289" spans="1:9" ht="14.25" customHeight="1" x14ac:dyDescent="0.3">
      <c r="A289" s="6">
        <v>37499</v>
      </c>
      <c r="B289" s="7">
        <v>59.362352999999999</v>
      </c>
      <c r="C289" s="8">
        <f t="shared" si="3"/>
        <v>53.108752734579497</v>
      </c>
      <c r="D289" s="9">
        <f t="shared" si="2"/>
        <v>55.662878601208369</v>
      </c>
      <c r="E289" s="9"/>
      <c r="F289" s="9">
        <f ca="1">IFERROR(__xludf.DUMMYFUNCTION("""COMPUTED_VALUE"""),45018)</f>
        <v>45018</v>
      </c>
      <c r="G289" s="9" t="str">
        <f ca="1">IFERROR(__xludf.DUMMYFUNCTION("""COMPUTED_VALUE"""),"1 USD = 283.4598 PKR")</f>
        <v>1 USD = 283.4598 PKR</v>
      </c>
      <c r="H289" s="9" t="str">
        <f ca="1">IFERROR(__xludf.DUMMYFUNCTION("""COMPUTED_VALUE"""),"USD PKR rate for 02/04/2023")</f>
        <v>USD PKR rate for 02/04/2023</v>
      </c>
      <c r="I289" s="9"/>
    </row>
    <row r="290" spans="1:9" ht="14.25" customHeight="1" x14ac:dyDescent="0.3">
      <c r="A290" s="6">
        <v>37529</v>
      </c>
      <c r="B290" s="7">
        <v>59.189461999999999</v>
      </c>
      <c r="C290" s="8">
        <f t="shared" si="3"/>
        <v>53.394447592396908</v>
      </c>
      <c r="D290" s="9">
        <f t="shared" si="2"/>
        <v>55.745013585126337</v>
      </c>
      <c r="E290" s="9"/>
      <c r="F290" s="9">
        <f ca="1">IFERROR(__xludf.DUMMYFUNCTION("""COMPUTED_VALUE"""),45017)</f>
        <v>45017</v>
      </c>
      <c r="G290" s="9" t="str">
        <f ca="1">IFERROR(__xludf.DUMMYFUNCTION("""COMPUTED_VALUE"""),"1 USD = 283.7998 PKR")</f>
        <v>1 USD = 283.7998 PKR</v>
      </c>
      <c r="H290" s="9" t="str">
        <f ca="1">IFERROR(__xludf.DUMMYFUNCTION("""COMPUTED_VALUE"""),"USD PKR rate for 01/04/2023")</f>
        <v>USD PKR rate for 01/04/2023</v>
      </c>
      <c r="I290" s="9"/>
    </row>
    <row r="291" spans="1:9" ht="14.25" customHeight="1" x14ac:dyDescent="0.3">
      <c r="A291" s="6">
        <v>37560</v>
      </c>
      <c r="B291" s="7">
        <v>58.930537000000008</v>
      </c>
      <c r="C291" s="8">
        <f t="shared" si="3"/>
        <v>53.691280281831474</v>
      </c>
      <c r="D291" s="9">
        <f t="shared" si="2"/>
        <v>55.82988640184157</v>
      </c>
      <c r="E291" s="9"/>
      <c r="F291" s="9">
        <f ca="1">IFERROR(__xludf.DUMMYFUNCTION("""COMPUTED_VALUE"""),45016)</f>
        <v>45016</v>
      </c>
      <c r="G291" s="9" t="str">
        <f ca="1">IFERROR(__xludf.DUMMYFUNCTION("""COMPUTED_VALUE"""),"1 USD = 283.8001 PKR")</f>
        <v>1 USD = 283.8001 PKR</v>
      </c>
      <c r="H291" s="9" t="str">
        <f ca="1">IFERROR(__xludf.DUMMYFUNCTION("""COMPUTED_VALUE"""),"USD PKR rate for 31/03/2023")</f>
        <v>USD PKR rate for 31/03/2023</v>
      </c>
      <c r="I291" s="9"/>
    </row>
    <row r="292" spans="1:9" ht="14.25" customHeight="1" x14ac:dyDescent="0.3">
      <c r="A292" s="6">
        <v>37590</v>
      </c>
      <c r="B292" s="7">
        <v>58.352572000000002</v>
      </c>
      <c r="C292" s="8">
        <f t="shared" si="3"/>
        <v>53.980108806252176</v>
      </c>
      <c r="D292" s="9">
        <f t="shared" si="2"/>
        <v>55.912021385759545</v>
      </c>
      <c r="E292" s="9"/>
      <c r="F292" s="9">
        <f ca="1">IFERROR(__xludf.DUMMYFUNCTION("""COMPUTED_VALUE"""),45015)</f>
        <v>45015</v>
      </c>
      <c r="G292" s="9" t="str">
        <f ca="1">IFERROR(__xludf.DUMMYFUNCTION("""COMPUTED_VALUE"""),"1 USD = 283.7073 PKR")</f>
        <v>1 USD = 283.7073 PKR</v>
      </c>
      <c r="H292" s="9" t="str">
        <f ca="1">IFERROR(__xludf.DUMMYFUNCTION("""COMPUTED_VALUE"""),"USD PKR rate for 30/03/2023")</f>
        <v>USD PKR rate for 30/03/2023</v>
      </c>
      <c r="I292" s="9"/>
    </row>
    <row r="293" spans="1:9" ht="14.25" customHeight="1" x14ac:dyDescent="0.3">
      <c r="A293" s="6">
        <v>37621</v>
      </c>
      <c r="B293" s="7">
        <v>58.372442000000007</v>
      </c>
      <c r="C293" s="8">
        <f t="shared" si="3"/>
        <v>54.280197328475481</v>
      </c>
      <c r="D293" s="9">
        <f t="shared" si="2"/>
        <v>55.996894202474778</v>
      </c>
      <c r="E293" s="9"/>
      <c r="F293" s="9">
        <f ca="1">IFERROR(__xludf.DUMMYFUNCTION("""COMPUTED_VALUE"""),45014)</f>
        <v>45014</v>
      </c>
      <c r="G293" s="9" t="str">
        <f ca="1">IFERROR(__xludf.DUMMYFUNCTION("""COMPUTED_VALUE"""),"1 USD = 283.3844 PKR")</f>
        <v>1 USD = 283.3844 PKR</v>
      </c>
      <c r="H293" s="9" t="str">
        <f ca="1">IFERROR(__xludf.DUMMYFUNCTION("""COMPUTED_VALUE"""),"USD PKR rate for 29/03/2023")</f>
        <v>USD PKR rate for 29/03/2023</v>
      </c>
      <c r="I293" s="9"/>
    </row>
    <row r="294" spans="1:9" ht="14.25" customHeight="1" x14ac:dyDescent="0.3">
      <c r="A294" s="6">
        <v>37652</v>
      </c>
      <c r="B294" s="7">
        <v>58.175553999999998</v>
      </c>
      <c r="C294" s="8">
        <f t="shared" si="3"/>
        <v>54.581954115605249</v>
      </c>
      <c r="D294" s="9">
        <f t="shared" si="2"/>
        <v>56.081767019190011</v>
      </c>
      <c r="E294" s="9"/>
      <c r="F294" s="9">
        <f ca="1">IFERROR(__xludf.DUMMYFUNCTION("""COMPUTED_VALUE"""),45013)</f>
        <v>45013</v>
      </c>
      <c r="G294" s="9" t="str">
        <f ca="1">IFERROR(__xludf.DUMMYFUNCTION("""COMPUTED_VALUE"""),"1 USD = 283.2271 PKR")</f>
        <v>1 USD = 283.2271 PKR</v>
      </c>
      <c r="H294" s="9" t="str">
        <f ca="1">IFERROR(__xludf.DUMMYFUNCTION("""COMPUTED_VALUE"""),"USD PKR rate for 28/03/2023")</f>
        <v>USD PKR rate for 28/03/2023</v>
      </c>
      <c r="I294" s="9"/>
    </row>
    <row r="295" spans="1:9" ht="14.25" customHeight="1" x14ac:dyDescent="0.3">
      <c r="A295" s="6">
        <v>37680</v>
      </c>
      <c r="B295" s="7">
        <v>58.10668900000001</v>
      </c>
      <c r="C295" s="8">
        <f t="shared" si="3"/>
        <v>54.855950255557033</v>
      </c>
      <c r="D295" s="9">
        <f t="shared" si="2"/>
        <v>56.158426337513454</v>
      </c>
      <c r="E295" s="9"/>
      <c r="F295" s="9">
        <f ca="1">IFERROR(__xludf.DUMMYFUNCTION("""COMPUTED_VALUE"""),45012)</f>
        <v>45012</v>
      </c>
      <c r="G295" s="9" t="str">
        <f ca="1">IFERROR(__xludf.DUMMYFUNCTION("""COMPUTED_VALUE"""),"1 USD = 283.5166 PKR")</f>
        <v>1 USD = 283.5166 PKR</v>
      </c>
      <c r="H295" s="9" t="str">
        <f ca="1">IFERROR(__xludf.DUMMYFUNCTION("""COMPUTED_VALUE"""),"USD PKR rate for 27/03/2023")</f>
        <v>USD PKR rate for 27/03/2023</v>
      </c>
      <c r="I295" s="9"/>
    </row>
    <row r="296" spans="1:9" ht="14.25" customHeight="1" x14ac:dyDescent="0.3">
      <c r="A296" s="6">
        <v>37711</v>
      </c>
      <c r="B296" s="7">
        <v>57.826486000000003</v>
      </c>
      <c r="C296" s="8">
        <f t="shared" si="3"/>
        <v>55.160907792905249</v>
      </c>
      <c r="D296" s="9">
        <f t="shared" si="2"/>
        <v>56.243299154228687</v>
      </c>
      <c r="E296" s="9"/>
      <c r="F296" s="9">
        <f ca="1">IFERROR(__xludf.DUMMYFUNCTION("""COMPUTED_VALUE"""),45011)</f>
        <v>45011</v>
      </c>
      <c r="G296" s="9" t="str">
        <f ca="1">IFERROR(__xludf.DUMMYFUNCTION("""COMPUTED_VALUE"""),"1 USD = 283.1222 PKR")</f>
        <v>1 USD = 283.1222 PKR</v>
      </c>
      <c r="H296" s="9" t="str">
        <f ca="1">IFERROR(__xludf.DUMMYFUNCTION("""COMPUTED_VALUE"""),"USD PKR rate for 26/03/2023")</f>
        <v>USD PKR rate for 26/03/2023</v>
      </c>
      <c r="I296" s="9"/>
    </row>
    <row r="297" spans="1:9" ht="14.25" customHeight="1" x14ac:dyDescent="0.3">
      <c r="A297" s="6">
        <v>37741</v>
      </c>
      <c r="B297" s="7">
        <v>57.784953999999999</v>
      </c>
      <c r="C297" s="8">
        <f t="shared" si="3"/>
        <v>55.457642076757338</v>
      </c>
      <c r="D297" s="9">
        <f t="shared" si="2"/>
        <v>56.325434138146662</v>
      </c>
      <c r="E297" s="9"/>
      <c r="F297" s="9">
        <f ca="1">IFERROR(__xludf.DUMMYFUNCTION("""COMPUTED_VALUE"""),45010)</f>
        <v>45010</v>
      </c>
      <c r="G297" s="9" t="str">
        <f ca="1">IFERROR(__xludf.DUMMYFUNCTION("""COMPUTED_VALUE"""),"1 USD = 283.1164 PKR")</f>
        <v>1 USD = 283.1164 PKR</v>
      </c>
      <c r="H297" s="9" t="str">
        <f ca="1">IFERROR(__xludf.DUMMYFUNCTION("""COMPUTED_VALUE"""),"USD PKR rate for 25/03/2023")</f>
        <v>USD PKR rate for 25/03/2023</v>
      </c>
      <c r="I297" s="9"/>
    </row>
    <row r="298" spans="1:9" ht="14.25" customHeight="1" x14ac:dyDescent="0.3">
      <c r="A298" s="6">
        <v>37772</v>
      </c>
      <c r="B298" s="7">
        <v>57.629185999999997</v>
      </c>
      <c r="C298" s="8">
        <f t="shared" si="3"/>
        <v>55.765944564930059</v>
      </c>
      <c r="D298" s="9">
        <f t="shared" si="2"/>
        <v>56.410306954861895</v>
      </c>
      <c r="E298" s="9"/>
      <c r="F298" s="9">
        <f ca="1">IFERROR(__xludf.DUMMYFUNCTION("""COMPUTED_VALUE"""),45009)</f>
        <v>45009</v>
      </c>
      <c r="G298" s="9" t="str">
        <f ca="1">IFERROR(__xludf.DUMMYFUNCTION("""COMPUTED_VALUE"""),"1 USD = 283.1164 PKR")</f>
        <v>1 USD = 283.1164 PKR</v>
      </c>
      <c r="H298" s="9" t="str">
        <f ca="1">IFERROR(__xludf.DUMMYFUNCTION("""COMPUTED_VALUE"""),"USD PKR rate for 24/03/2023")</f>
        <v>USD PKR rate for 24/03/2023</v>
      </c>
      <c r="I298" s="9"/>
    </row>
    <row r="299" spans="1:9" ht="14.25" customHeight="1" x14ac:dyDescent="0.3">
      <c r="A299" s="6">
        <v>37802</v>
      </c>
      <c r="B299" s="7">
        <v>57.808964000000003</v>
      </c>
      <c r="C299" s="8">
        <f t="shared" si="3"/>
        <v>56.065933602201454</v>
      </c>
      <c r="D299" s="9">
        <f t="shared" si="2"/>
        <v>56.492441938779862</v>
      </c>
      <c r="E299" s="9"/>
      <c r="F299" s="9">
        <f ca="1">IFERROR(__xludf.DUMMYFUNCTION("""COMPUTED_VALUE"""),45008)</f>
        <v>45008</v>
      </c>
      <c r="G299" s="9" t="str">
        <f ca="1">IFERROR(__xludf.DUMMYFUNCTION("""COMPUTED_VALUE"""),"1 USD = 282.5064 PKR")</f>
        <v>1 USD = 282.5064 PKR</v>
      </c>
      <c r="H299" s="9" t="str">
        <f ca="1">IFERROR(__xludf.DUMMYFUNCTION("""COMPUTED_VALUE"""),"USD PKR rate for 23/03/2023")</f>
        <v>USD PKR rate for 23/03/2023</v>
      </c>
      <c r="I299" s="9"/>
    </row>
    <row r="300" spans="1:9" ht="14.25" customHeight="1" x14ac:dyDescent="0.3">
      <c r="A300" s="6">
        <v>37833</v>
      </c>
      <c r="B300" s="7">
        <v>57.757053999999997</v>
      </c>
      <c r="C300" s="8">
        <f t="shared" si="3"/>
        <v>56.377617730555883</v>
      </c>
      <c r="D300" s="9">
        <f t="shared" si="2"/>
        <v>56.577314755495102</v>
      </c>
      <c r="E300" s="9"/>
      <c r="F300" s="9">
        <f ca="1">IFERROR(__xludf.DUMMYFUNCTION("""COMPUTED_VALUE"""),45007)</f>
        <v>45007</v>
      </c>
      <c r="G300" s="9" t="str">
        <f ca="1">IFERROR(__xludf.DUMMYFUNCTION("""COMPUTED_VALUE"""),"1 USD = 282.9976 PKR")</f>
        <v>1 USD = 282.9976 PKR</v>
      </c>
      <c r="H300" s="9" t="str">
        <f ca="1">IFERROR(__xludf.DUMMYFUNCTION("""COMPUTED_VALUE"""),"USD PKR rate for 22/03/2023")</f>
        <v>USD PKR rate for 22/03/2023</v>
      </c>
      <c r="I300" s="9"/>
    </row>
    <row r="301" spans="1:9" ht="14.25" customHeight="1" x14ac:dyDescent="0.3">
      <c r="A301" s="6">
        <v>37864</v>
      </c>
      <c r="B301" s="7">
        <v>57.748527000000003</v>
      </c>
      <c r="C301" s="8">
        <f t="shared" si="3"/>
        <v>56.691034586604758</v>
      </c>
      <c r="D301" s="9">
        <f t="shared" si="2"/>
        <v>56.662187572210335</v>
      </c>
      <c r="E301" s="9"/>
      <c r="F301" s="9">
        <f ca="1">IFERROR(__xludf.DUMMYFUNCTION("""COMPUTED_VALUE"""),45006)</f>
        <v>45006</v>
      </c>
      <c r="G301" s="9" t="str">
        <f ca="1">IFERROR(__xludf.DUMMYFUNCTION("""COMPUTED_VALUE"""),"1 USD = 281.5659 PKR")</f>
        <v>1 USD = 281.5659 PKR</v>
      </c>
      <c r="H301" s="9" t="str">
        <f ca="1">IFERROR(__xludf.DUMMYFUNCTION("""COMPUTED_VALUE"""),"USD PKR rate for 21/03/2023")</f>
        <v>USD PKR rate for 21/03/2023</v>
      </c>
      <c r="I301" s="9"/>
    </row>
    <row r="302" spans="1:9" ht="14.25" customHeight="1" x14ac:dyDescent="0.3">
      <c r="A302" s="6">
        <v>37894</v>
      </c>
      <c r="B302" s="7">
        <v>57.882745000000007</v>
      </c>
      <c r="C302" s="8">
        <f t="shared" si="3"/>
        <v>56.996000081589848</v>
      </c>
      <c r="D302" s="9">
        <f t="shared" si="2"/>
        <v>56.74432255612831</v>
      </c>
      <c r="E302" s="9"/>
      <c r="F302" s="9">
        <f ca="1">IFERROR(__xludf.DUMMYFUNCTION("""COMPUTED_VALUE"""),45005)</f>
        <v>45005</v>
      </c>
      <c r="G302" s="9" t="str">
        <f ca="1">IFERROR(__xludf.DUMMYFUNCTION("""COMPUTED_VALUE"""),"1 USD = 281.8515 PKR")</f>
        <v>1 USD = 281.8515 PKR</v>
      </c>
      <c r="H302" s="9" t="str">
        <f ca="1">IFERROR(__xludf.DUMMYFUNCTION("""COMPUTED_VALUE"""),"USD PKR rate for 20/03/2023")</f>
        <v>USD PKR rate for 20/03/2023</v>
      </c>
      <c r="I302" s="9"/>
    </row>
    <row r="303" spans="1:9" ht="14.25" customHeight="1" x14ac:dyDescent="0.3">
      <c r="A303" s="6">
        <v>37925</v>
      </c>
      <c r="B303" s="7">
        <v>57.422356999999998</v>
      </c>
      <c r="C303" s="8">
        <f t="shared" si="3"/>
        <v>57.312854675168261</v>
      </c>
      <c r="D303" s="9">
        <f t="shared" si="2"/>
        <v>56.829195372843543</v>
      </c>
      <c r="E303" s="9"/>
      <c r="F303" s="9">
        <f ca="1">IFERROR(__xludf.DUMMYFUNCTION("""COMPUTED_VALUE"""),45004)</f>
        <v>45004</v>
      </c>
      <c r="G303" s="9" t="str">
        <f ca="1">IFERROR(__xludf.DUMMYFUNCTION("""COMPUTED_VALUE"""),"1 USD = 277.839 PKR")</f>
        <v>1 USD = 277.839 PKR</v>
      </c>
      <c r="H303" s="9" t="str">
        <f ca="1">IFERROR(__xludf.DUMMYFUNCTION("""COMPUTED_VALUE"""),"USD PKR rate for 19/03/2023")</f>
        <v>USD PKR rate for 19/03/2023</v>
      </c>
      <c r="I303" s="9"/>
    </row>
    <row r="304" spans="1:9" ht="14.25" customHeight="1" x14ac:dyDescent="0.3">
      <c r="A304" s="6">
        <v>37955</v>
      </c>
      <c r="B304" s="7">
        <v>57.227694000000007</v>
      </c>
      <c r="C304" s="8">
        <f t="shared" si="3"/>
        <v>57.621165208261779</v>
      </c>
      <c r="D304" s="9">
        <f t="shared" si="2"/>
        <v>56.911330356761511</v>
      </c>
      <c r="E304" s="9"/>
      <c r="F304" s="9">
        <f ca="1">IFERROR(__xludf.DUMMYFUNCTION("""COMPUTED_VALUE"""),45003)</f>
        <v>45003</v>
      </c>
      <c r="G304" s="9" t="str">
        <f ca="1">IFERROR(__xludf.DUMMYFUNCTION("""COMPUTED_VALUE"""),"1 USD = 277.8215 PKR")</f>
        <v>1 USD = 277.8215 PKR</v>
      </c>
      <c r="H304" s="9" t="str">
        <f ca="1">IFERROR(__xludf.DUMMYFUNCTION("""COMPUTED_VALUE"""),"USD PKR rate for 18/03/2023")</f>
        <v>USD PKR rate for 18/03/2023</v>
      </c>
      <c r="I304" s="9"/>
    </row>
    <row r="305" spans="1:9" ht="14.25" customHeight="1" x14ac:dyDescent="0.3">
      <c r="A305" s="6">
        <v>37986</v>
      </c>
      <c r="B305" s="7">
        <v>57.439062</v>
      </c>
      <c r="C305" s="8">
        <f t="shared" si="3"/>
        <v>57.941495246465216</v>
      </c>
      <c r="D305" s="9">
        <f t="shared" si="2"/>
        <v>56.996203173476751</v>
      </c>
      <c r="E305" s="9"/>
      <c r="F305" s="9">
        <f ca="1">IFERROR(__xludf.DUMMYFUNCTION("""COMPUTED_VALUE"""),45002)</f>
        <v>45002</v>
      </c>
      <c r="G305" s="9" t="str">
        <f ca="1">IFERROR(__xludf.DUMMYFUNCTION("""COMPUTED_VALUE"""),"1 USD = 281.8443 PKR")</f>
        <v>1 USD = 281.8443 PKR</v>
      </c>
      <c r="H305" s="9" t="str">
        <f ca="1">IFERROR(__xludf.DUMMYFUNCTION("""COMPUTED_VALUE"""),"USD PKR rate for 17/03/2023")</f>
        <v>USD PKR rate for 17/03/2023</v>
      </c>
      <c r="I305" s="9"/>
    </row>
    <row r="306" spans="1:9" ht="14.25" customHeight="1" x14ac:dyDescent="0.3">
      <c r="A306" s="6">
        <v>38017</v>
      </c>
      <c r="B306" s="7">
        <v>57.419953</v>
      </c>
      <c r="C306" s="8">
        <f t="shared" si="3"/>
        <v>58.263606077073703</v>
      </c>
      <c r="D306" s="9">
        <f t="shared" si="2"/>
        <v>57.081075990191984</v>
      </c>
      <c r="E306" s="9"/>
      <c r="F306" s="9">
        <f ca="1">IFERROR(__xludf.DUMMYFUNCTION("""COMPUTED_VALUE"""),45001)</f>
        <v>45001</v>
      </c>
      <c r="G306" s="9" t="str">
        <f ca="1">IFERROR(__xludf.DUMMYFUNCTION("""COMPUTED_VALUE"""),"1 USD = 282.3747 PKR")</f>
        <v>1 USD = 282.3747 PKR</v>
      </c>
      <c r="H306" s="9" t="str">
        <f ca="1">IFERROR(__xludf.DUMMYFUNCTION("""COMPUTED_VALUE"""),"USD PKR rate for 16/03/2023")</f>
        <v>USD PKR rate for 16/03/2023</v>
      </c>
      <c r="I306" s="9"/>
    </row>
    <row r="307" spans="1:9" ht="14.25" customHeight="1" x14ac:dyDescent="0.3">
      <c r="A307" s="6">
        <v>38046</v>
      </c>
      <c r="B307" s="7">
        <v>57.347918</v>
      </c>
      <c r="C307" s="8">
        <f t="shared" si="3"/>
        <v>58.566556496436057</v>
      </c>
      <c r="D307" s="9">
        <f t="shared" si="2"/>
        <v>57.160473141312686</v>
      </c>
      <c r="E307" s="9"/>
      <c r="F307" s="9">
        <f ca="1">IFERROR(__xludf.DUMMYFUNCTION("""COMPUTED_VALUE"""),45000)</f>
        <v>45000</v>
      </c>
      <c r="G307" s="9" t="str">
        <f ca="1">IFERROR(__xludf.DUMMYFUNCTION("""COMPUTED_VALUE"""),"1 USD = 282.8714 PKR")</f>
        <v>1 USD = 282.8714 PKR</v>
      </c>
      <c r="H307" s="9" t="str">
        <f ca="1">IFERROR(__xludf.DUMMYFUNCTION("""COMPUTED_VALUE"""),"USD PKR rate for 15/03/2023")</f>
        <v>USD PKR rate for 15/03/2023</v>
      </c>
      <c r="I307" s="9"/>
    </row>
    <row r="308" spans="1:9" ht="14.25" customHeight="1" x14ac:dyDescent="0.3">
      <c r="A308" s="6">
        <v>38077</v>
      </c>
      <c r="B308" s="7">
        <v>57.505631000000001</v>
      </c>
      <c r="C308" s="8">
        <f t="shared" si="3"/>
        <v>58.892142194193816</v>
      </c>
      <c r="D308" s="9">
        <f t="shared" si="2"/>
        <v>57.245345958027926</v>
      </c>
      <c r="E308" s="9"/>
      <c r="F308" s="9">
        <f ca="1">IFERROR(__xludf.DUMMYFUNCTION("""COMPUTED_VALUE"""),44999)</f>
        <v>44999</v>
      </c>
      <c r="G308" s="9" t="str">
        <f ca="1">IFERROR(__xludf.DUMMYFUNCTION("""COMPUTED_VALUE"""),"1 USD = 281.9399 PKR")</f>
        <v>1 USD = 281.9399 PKR</v>
      </c>
      <c r="H308" s="9" t="str">
        <f ca="1">IFERROR(__xludf.DUMMYFUNCTION("""COMPUTED_VALUE"""),"USD PKR rate for 14/03/2023")</f>
        <v>USD PKR rate for 14/03/2023</v>
      </c>
      <c r="I308" s="9"/>
    </row>
    <row r="309" spans="1:9" ht="14.25" customHeight="1" x14ac:dyDescent="0.3">
      <c r="A309" s="6">
        <v>38107</v>
      </c>
      <c r="B309" s="7">
        <v>57.473610999999998</v>
      </c>
      <c r="C309" s="8">
        <f t="shared" si="3"/>
        <v>59.208948395138115</v>
      </c>
      <c r="D309" s="9">
        <f t="shared" si="2"/>
        <v>57.327480941945893</v>
      </c>
      <c r="E309" s="9"/>
      <c r="F309" s="9">
        <f ca="1">IFERROR(__xludf.DUMMYFUNCTION("""COMPUTED_VALUE"""),44998)</f>
        <v>44998</v>
      </c>
      <c r="G309" s="9" t="str">
        <f ca="1">IFERROR(__xludf.DUMMYFUNCTION("""COMPUTED_VALUE"""),"1 USD = 282.0293 PKR")</f>
        <v>1 USD = 282.0293 PKR</v>
      </c>
      <c r="H309" s="9" t="str">
        <f ca="1">IFERROR(__xludf.DUMMYFUNCTION("""COMPUTED_VALUE"""),"USD PKR rate for 13/03/2023")</f>
        <v>USD PKR rate for 13/03/2023</v>
      </c>
      <c r="I309" s="9"/>
    </row>
    <row r="310" spans="1:9" ht="14.25" customHeight="1" x14ac:dyDescent="0.3">
      <c r="A310" s="6">
        <v>38138</v>
      </c>
      <c r="B310" s="7">
        <v>57.701644000000002</v>
      </c>
      <c r="C310" s="8">
        <f t="shared" si="3"/>
        <v>59.53810530532639</v>
      </c>
      <c r="D310" s="9">
        <f t="shared" si="2"/>
        <v>57.412353758661133</v>
      </c>
      <c r="E310" s="9"/>
      <c r="F310" s="9">
        <f ca="1">IFERROR(__xludf.DUMMYFUNCTION("""COMPUTED_VALUE"""),44997)</f>
        <v>44997</v>
      </c>
      <c r="G310" s="9" t="str">
        <f ca="1">IFERROR(__xludf.DUMMYFUNCTION("""COMPUTED_VALUE"""),"1 USD = 279.6533 PKR")</f>
        <v>1 USD = 279.6533 PKR</v>
      </c>
      <c r="H310" s="9" t="str">
        <f ca="1">IFERROR(__xludf.DUMMYFUNCTION("""COMPUTED_VALUE"""),"USD PKR rate for 12/03/2023")</f>
        <v>USD PKR rate for 12/03/2023</v>
      </c>
      <c r="I310" s="9"/>
    </row>
    <row r="311" spans="1:9" ht="14.25" customHeight="1" x14ac:dyDescent="0.3">
      <c r="A311" s="6">
        <v>38168</v>
      </c>
      <c r="B311" s="7">
        <v>58.156561000000004</v>
      </c>
      <c r="C311" s="8">
        <f t="shared" si="3"/>
        <v>59.858386420097254</v>
      </c>
      <c r="D311" s="9">
        <f t="shared" si="2"/>
        <v>57.494488742579101</v>
      </c>
      <c r="E311" s="9"/>
      <c r="F311" s="9">
        <f ca="1">IFERROR(__xludf.DUMMYFUNCTION("""COMPUTED_VALUE"""),44996)</f>
        <v>44996</v>
      </c>
      <c r="G311" s="9" t="str">
        <f ca="1">IFERROR(__xludf.DUMMYFUNCTION("""COMPUTED_VALUE"""),"1 USD = 279.299 PKR")</f>
        <v>1 USD = 279.299 PKR</v>
      </c>
      <c r="H311" s="9" t="str">
        <f ca="1">IFERROR(__xludf.DUMMYFUNCTION("""COMPUTED_VALUE"""),"USD PKR rate for 11/03/2023")</f>
        <v>USD PKR rate for 11/03/2023</v>
      </c>
      <c r="I311" s="9"/>
    </row>
    <row r="312" spans="1:9" ht="14.25" customHeight="1" x14ac:dyDescent="0.3">
      <c r="A312" s="6">
        <v>38199</v>
      </c>
      <c r="B312" s="7">
        <v>58.458911000000001</v>
      </c>
      <c r="C312" s="8">
        <f t="shared" si="3"/>
        <v>60.191153713841516</v>
      </c>
      <c r="D312" s="9">
        <f t="shared" si="2"/>
        <v>57.579361559294334</v>
      </c>
      <c r="E312" s="9"/>
      <c r="F312" s="9">
        <f ca="1">IFERROR(__xludf.DUMMYFUNCTION("""COMPUTED_VALUE"""),44995)</f>
        <v>44995</v>
      </c>
      <c r="G312" s="9" t="str">
        <f ca="1">IFERROR(__xludf.DUMMYFUNCTION("""COMPUTED_VALUE"""),"1 USD = 279.22 PKR")</f>
        <v>1 USD = 279.22 PKR</v>
      </c>
      <c r="H312" s="9" t="str">
        <f ca="1">IFERROR(__xludf.DUMMYFUNCTION("""COMPUTED_VALUE"""),"USD PKR rate for 10/03/2023")</f>
        <v>USD PKR rate for 10/03/2023</v>
      </c>
      <c r="I312" s="9"/>
    </row>
    <row r="313" spans="1:9" ht="14.25" customHeight="1" x14ac:dyDescent="0.3">
      <c r="A313" s="6">
        <v>38230</v>
      </c>
      <c r="B313" s="7">
        <v>58.723494000000002</v>
      </c>
      <c r="C313" s="8">
        <f t="shared" si="3"/>
        <v>60.52577094171216</v>
      </c>
      <c r="D313" s="9">
        <f t="shared" si="2"/>
        <v>57.664234376009574</v>
      </c>
      <c r="E313" s="9"/>
      <c r="F313" s="9">
        <f ca="1">IFERROR(__xludf.DUMMYFUNCTION("""COMPUTED_VALUE"""),44994)</f>
        <v>44994</v>
      </c>
      <c r="G313" s="9" t="str">
        <f ca="1">IFERROR(__xludf.DUMMYFUNCTION("""COMPUTED_VALUE"""),"1 USD = 276.2821 PKR")</f>
        <v>1 USD = 276.2821 PKR</v>
      </c>
      <c r="H313" s="9" t="str">
        <f ca="1">IFERROR(__xludf.DUMMYFUNCTION("""COMPUTED_VALUE"""),"USD PKR rate for 09/03/2023")</f>
        <v>USD PKR rate for 09/03/2023</v>
      </c>
      <c r="I313" s="9"/>
    </row>
    <row r="314" spans="1:9" ht="14.25" customHeight="1" x14ac:dyDescent="0.3">
      <c r="A314" s="6">
        <v>38260</v>
      </c>
      <c r="B314" s="7">
        <v>59.217435999999999</v>
      </c>
      <c r="C314" s="8">
        <f t="shared" si="3"/>
        <v>60.851365135383006</v>
      </c>
      <c r="D314" s="9">
        <f t="shared" si="2"/>
        <v>57.746369359927542</v>
      </c>
      <c r="E314" s="9"/>
      <c r="F314" s="9">
        <f ca="1">IFERROR(__xludf.DUMMYFUNCTION("""COMPUTED_VALUE"""),44993)</f>
        <v>44993</v>
      </c>
      <c r="G314" s="9" t="str">
        <f ca="1">IFERROR(__xludf.DUMMYFUNCTION("""COMPUTED_VALUE"""),"1 USD = 278.6475 PKR")</f>
        <v>1 USD = 278.6475 PKR</v>
      </c>
      <c r="H314" s="9" t="str">
        <f ca="1">IFERROR(__xludf.DUMMYFUNCTION("""COMPUTED_VALUE"""),"USD PKR rate for 08/03/2023")</f>
        <v>USD PKR rate for 08/03/2023</v>
      </c>
      <c r="I314" s="9"/>
    </row>
    <row r="315" spans="1:9" ht="14.25" customHeight="1" x14ac:dyDescent="0.3">
      <c r="A315" s="6">
        <v>38291</v>
      </c>
      <c r="B315" s="7">
        <v>61.299875999999998</v>
      </c>
      <c r="C315" s="8">
        <f t="shared" si="3"/>
        <v>61.18965263873519</v>
      </c>
      <c r="D315" s="9">
        <f t="shared" si="2"/>
        <v>57.831242176642775</v>
      </c>
      <c r="E315" s="9"/>
      <c r="F315" s="9">
        <f ca="1">IFERROR(__xludf.DUMMYFUNCTION("""COMPUTED_VALUE"""),44992)</f>
        <v>44992</v>
      </c>
      <c r="G315" s="9" t="str">
        <f ca="1">IFERROR(__xludf.DUMMYFUNCTION("""COMPUTED_VALUE"""),"1 USD = 277.1401 PKR")</f>
        <v>1 USD = 277.1401 PKR</v>
      </c>
      <c r="H315" s="9" t="str">
        <f ca="1">IFERROR(__xludf.DUMMYFUNCTION("""COMPUTED_VALUE"""),"USD PKR rate for 07/03/2023")</f>
        <v>USD PKR rate for 07/03/2023</v>
      </c>
      <c r="I315" s="9"/>
    </row>
    <row r="316" spans="1:9" ht="14.25" customHeight="1" x14ac:dyDescent="0.3">
      <c r="A316" s="6">
        <v>38321</v>
      </c>
      <c r="B316" s="7">
        <v>59.764763000000002</v>
      </c>
      <c r="C316" s="8">
        <f t="shared" si="3"/>
        <v>61.518818138024699</v>
      </c>
      <c r="D316" s="9">
        <f t="shared" si="2"/>
        <v>57.913377160560749</v>
      </c>
      <c r="E316" s="9"/>
      <c r="F316" s="9">
        <f ca="1">IFERROR(__xludf.DUMMYFUNCTION("""COMPUTED_VALUE"""),44991)</f>
        <v>44991</v>
      </c>
      <c r="G316" s="9" t="str">
        <f ca="1">IFERROR(__xludf.DUMMYFUNCTION("""COMPUTED_VALUE"""),"1 USD = 274.6164 PKR")</f>
        <v>1 USD = 274.6164 PKR</v>
      </c>
      <c r="H316" s="9" t="str">
        <f ca="1">IFERROR(__xludf.DUMMYFUNCTION("""COMPUTED_VALUE"""),"USD PKR rate for 06/03/2023")</f>
        <v>USD PKR rate for 06/03/2023</v>
      </c>
      <c r="I316" s="9"/>
    </row>
    <row r="317" spans="1:9" ht="14.25" customHeight="1" x14ac:dyDescent="0.3">
      <c r="A317" s="6">
        <v>38352</v>
      </c>
      <c r="B317" s="7">
        <v>59.448523999999999</v>
      </c>
      <c r="C317" s="8">
        <f t="shared" si="3"/>
        <v>61.860816174564867</v>
      </c>
      <c r="D317" s="9">
        <f t="shared" si="2"/>
        <v>57.998249977275982</v>
      </c>
      <c r="E317" s="9"/>
      <c r="F317" s="9">
        <f ca="1">IFERROR(__xludf.DUMMYFUNCTION("""COMPUTED_VALUE"""),44990)</f>
        <v>44990</v>
      </c>
      <c r="G317" s="9" t="str">
        <f ca="1">IFERROR(__xludf.DUMMYFUNCTION("""COMPUTED_VALUE"""),"1 USD = 278.804 PKR")</f>
        <v>1 USD = 278.804 PKR</v>
      </c>
      <c r="H317" s="9" t="str">
        <f ca="1">IFERROR(__xludf.DUMMYFUNCTION("""COMPUTED_VALUE"""),"USD PKR rate for 05/03/2023")</f>
        <v>USD PKR rate for 05/03/2023</v>
      </c>
      <c r="I317" s="9"/>
    </row>
    <row r="318" spans="1:9" ht="14.25" customHeight="1" x14ac:dyDescent="0.3">
      <c r="A318" s="6">
        <v>38383</v>
      </c>
      <c r="B318" s="7">
        <v>59.321857000000001</v>
      </c>
      <c r="C318" s="8">
        <f t="shared" si="3"/>
        <v>62.204715461170274</v>
      </c>
      <c r="D318" s="9">
        <f t="shared" si="2"/>
        <v>58.083122793991222</v>
      </c>
      <c r="E318" s="9"/>
      <c r="F318" s="9">
        <f ca="1">IFERROR(__xludf.DUMMYFUNCTION("""COMPUTED_VALUE"""),44989)</f>
        <v>44989</v>
      </c>
      <c r="G318" s="9" t="str">
        <f ca="1">IFERROR(__xludf.DUMMYFUNCTION("""COMPUTED_VALUE"""),"1 USD = 278.9 PKR")</f>
        <v>1 USD = 278.9 PKR</v>
      </c>
      <c r="H318" s="9" t="str">
        <f ca="1">IFERROR(__xludf.DUMMYFUNCTION("""COMPUTED_VALUE"""),"USD PKR rate for 04/03/2023")</f>
        <v>USD PKR rate for 04/03/2023</v>
      </c>
      <c r="I318" s="9"/>
    </row>
    <row r="319" spans="1:9" ht="14.25" customHeight="1" x14ac:dyDescent="0.3">
      <c r="A319" s="6">
        <v>38411</v>
      </c>
      <c r="B319" s="7">
        <v>59.336453000000006</v>
      </c>
      <c r="C319" s="8">
        <f t="shared" si="3"/>
        <v>62.516977127124164</v>
      </c>
      <c r="D319" s="9">
        <f t="shared" si="2"/>
        <v>58.159782112314659</v>
      </c>
      <c r="E319" s="9"/>
      <c r="F319" s="9">
        <f ca="1">IFERROR(__xludf.DUMMYFUNCTION("""COMPUTED_VALUE"""),44988)</f>
        <v>44988</v>
      </c>
      <c r="G319" s="9" t="str">
        <f ca="1">IFERROR(__xludf.DUMMYFUNCTION("""COMPUTED_VALUE"""),"1 USD = 278.9036 PKR")</f>
        <v>1 USD = 278.9036 PKR</v>
      </c>
      <c r="H319" s="9" t="str">
        <f ca="1">IFERROR(__xludf.DUMMYFUNCTION("""COMPUTED_VALUE"""),"USD PKR rate for 03/03/2023")</f>
        <v>USD PKR rate for 03/03/2023</v>
      </c>
      <c r="I319" s="9"/>
    </row>
    <row r="320" spans="1:9" ht="14.25" customHeight="1" x14ac:dyDescent="0.3">
      <c r="A320" s="6">
        <v>38442</v>
      </c>
      <c r="B320" s="7">
        <v>59.376286</v>
      </c>
      <c r="C320" s="8">
        <f t="shared" si="3"/>
        <v>62.864524171671292</v>
      </c>
      <c r="D320" s="9">
        <f t="shared" si="2"/>
        <v>58.244654929029892</v>
      </c>
      <c r="E320" s="9"/>
      <c r="F320" s="9">
        <f ca="1">IFERROR(__xludf.DUMMYFUNCTION("""COMPUTED_VALUE"""),44987)</f>
        <v>44987</v>
      </c>
      <c r="G320" s="9" t="str">
        <f ca="1">IFERROR(__xludf.DUMMYFUNCTION("""COMPUTED_VALUE"""),"1 USD = 278.5247 PKR")</f>
        <v>1 USD = 278.5247 PKR</v>
      </c>
      <c r="H320" s="9" t="str">
        <f ca="1">IFERROR(__xludf.DUMMYFUNCTION("""COMPUTED_VALUE"""),"USD PKR rate for 02/03/2023")</f>
        <v>USD PKR rate for 02/03/2023</v>
      </c>
      <c r="I320" s="9"/>
    </row>
    <row r="321" spans="1:9" ht="14.25" customHeight="1" x14ac:dyDescent="0.3">
      <c r="A321" s="6">
        <v>38472</v>
      </c>
      <c r="B321" s="7">
        <v>59.444739000000006</v>
      </c>
      <c r="C321" s="8">
        <f t="shared" si="3"/>
        <v>63.202699526395648</v>
      </c>
      <c r="D321" s="9">
        <f t="shared" si="2"/>
        <v>58.326789912947866</v>
      </c>
      <c r="E321" s="9"/>
      <c r="F321" s="9">
        <f ca="1">IFERROR(__xludf.DUMMYFUNCTION("""COMPUTED_VALUE"""),44986)</f>
        <v>44986</v>
      </c>
      <c r="G321" s="9" t="str">
        <f ca="1">IFERROR(__xludf.DUMMYFUNCTION("""COMPUTED_VALUE"""),"1 USD = 262.0862 PKR")</f>
        <v>1 USD = 262.0862 PKR</v>
      </c>
      <c r="H321" s="9" t="str">
        <f ca="1">IFERROR(__xludf.DUMMYFUNCTION("""COMPUTED_VALUE"""),"USD PKR rate for 01/03/2023")</f>
        <v>USD PKR rate for 01/03/2023</v>
      </c>
      <c r="I321" s="9"/>
    </row>
    <row r="322" spans="1:9" ht="14.25" customHeight="1" x14ac:dyDescent="0.3">
      <c r="A322" s="6">
        <v>38503</v>
      </c>
      <c r="B322" s="7">
        <v>59.565336000000002</v>
      </c>
      <c r="C322" s="8">
        <f t="shared" si="3"/>
        <v>63.554058668139376</v>
      </c>
      <c r="D322" s="9">
        <f t="shared" si="2"/>
        <v>58.411662729663099</v>
      </c>
      <c r="E322" s="9"/>
      <c r="F322" s="9">
        <f ca="1">IFERROR(__xludf.DUMMYFUNCTION("""COMPUTED_VALUE"""),44985)</f>
        <v>44985</v>
      </c>
      <c r="G322" s="9" t="str">
        <f ca="1">IFERROR(__xludf.DUMMYFUNCTION("""COMPUTED_VALUE"""),"1 USD = 261.5166 PKR")</f>
        <v>1 USD = 261.5166 PKR</v>
      </c>
      <c r="H322" s="9" t="str">
        <f ca="1">IFERROR(__xludf.DUMMYFUNCTION("""COMPUTED_VALUE"""),"USD PKR rate for 28/02/2023")</f>
        <v>USD PKR rate for 28/02/2023</v>
      </c>
      <c r="I322" s="9"/>
    </row>
    <row r="323" spans="1:9" ht="14.25" customHeight="1" x14ac:dyDescent="0.3">
      <c r="A323" s="6">
        <v>38533</v>
      </c>
      <c r="B323" s="7">
        <v>59.673772999999997</v>
      </c>
      <c r="C323" s="8">
        <f t="shared" si="3"/>
        <v>63.895943325940664</v>
      </c>
      <c r="D323" s="9">
        <f t="shared" si="2"/>
        <v>58.493797713581074</v>
      </c>
      <c r="E323" s="9"/>
      <c r="F323" s="9">
        <f ca="1">IFERROR(__xludf.DUMMYFUNCTION("""COMPUTED_VALUE"""),44984)</f>
        <v>44984</v>
      </c>
      <c r="G323" s="9" t="str">
        <f ca="1">IFERROR(__xludf.DUMMYFUNCTION("""COMPUTED_VALUE"""),"1 USD = 258.7111 PKR")</f>
        <v>1 USD = 258.7111 PKR</v>
      </c>
      <c r="H323" s="9" t="str">
        <f ca="1">IFERROR(__xludf.DUMMYFUNCTION("""COMPUTED_VALUE"""),"USD PKR rate for 27/02/2023")</f>
        <v>USD PKR rate for 27/02/2023</v>
      </c>
      <c r="I323" s="9"/>
    </row>
    <row r="324" spans="1:9" ht="14.25" customHeight="1" x14ac:dyDescent="0.3">
      <c r="A324" s="6">
        <v>38564</v>
      </c>
      <c r="B324" s="7">
        <v>59.619892999999998</v>
      </c>
      <c r="C324" s="8">
        <f t="shared" si="3"/>
        <v>64.251156378170066</v>
      </c>
      <c r="D324" s="9">
        <f t="shared" si="2"/>
        <v>58.578670530296307</v>
      </c>
      <c r="E324" s="9"/>
      <c r="F324" s="9">
        <f ca="1">IFERROR(__xludf.DUMMYFUNCTION("""COMPUTED_VALUE"""),44983)</f>
        <v>44983</v>
      </c>
      <c r="G324" s="9" t="str">
        <f ca="1">IFERROR(__xludf.DUMMYFUNCTION("""COMPUTED_VALUE"""),"1 USD = 257.7857 PKR")</f>
        <v>1 USD = 257.7857 PKR</v>
      </c>
      <c r="H324" s="9" t="str">
        <f ca="1">IFERROR(__xludf.DUMMYFUNCTION("""COMPUTED_VALUE"""),"USD PKR rate for 26/02/2023")</f>
        <v>USD PKR rate for 26/02/2023</v>
      </c>
      <c r="I324" s="9"/>
    </row>
    <row r="325" spans="1:9" ht="14.25" customHeight="1" x14ac:dyDescent="0.3">
      <c r="A325" s="6">
        <v>38595</v>
      </c>
      <c r="B325" s="7">
        <v>59.673749999999998</v>
      </c>
      <c r="C325" s="8">
        <f t="shared" si="3"/>
        <v>64.608344145943292</v>
      </c>
      <c r="D325" s="9">
        <f t="shared" si="2"/>
        <v>58.66354334701154</v>
      </c>
      <c r="E325" s="9"/>
      <c r="F325" s="9">
        <f ca="1">IFERROR(__xludf.DUMMYFUNCTION("""COMPUTED_VALUE"""),44982)</f>
        <v>44982</v>
      </c>
      <c r="G325" s="9" t="str">
        <f ca="1">IFERROR(__xludf.DUMMYFUNCTION("""COMPUTED_VALUE"""),"1 USD = 260.1642 PKR")</f>
        <v>1 USD = 260.1642 PKR</v>
      </c>
      <c r="H325" s="9" t="str">
        <f ca="1">IFERROR(__xludf.DUMMYFUNCTION("""COMPUTED_VALUE"""),"USD PKR rate for 25/02/2023")</f>
        <v>USD PKR rate for 25/02/2023</v>
      </c>
      <c r="I325" s="9"/>
    </row>
    <row r="326" spans="1:9" ht="14.25" customHeight="1" x14ac:dyDescent="0.3">
      <c r="A326" s="6">
        <v>38625</v>
      </c>
      <c r="B326" s="7">
        <v>59.697963999999999</v>
      </c>
      <c r="C326" s="8">
        <f t="shared" si="3"/>
        <v>64.955900259468379</v>
      </c>
      <c r="D326" s="9">
        <f t="shared" si="2"/>
        <v>58.745678330929515</v>
      </c>
      <c r="E326" s="9"/>
      <c r="F326" s="9">
        <f ca="1">IFERROR(__xludf.DUMMYFUNCTION("""COMPUTED_VALUE"""),44981)</f>
        <v>44981</v>
      </c>
      <c r="G326" s="9" t="str">
        <f ca="1">IFERROR(__xludf.DUMMYFUNCTION("""COMPUTED_VALUE"""),"1 USD = 260.1999 PKR")</f>
        <v>1 USD = 260.1999 PKR</v>
      </c>
      <c r="H326" s="9" t="str">
        <f ca="1">IFERROR(__xludf.DUMMYFUNCTION("""COMPUTED_VALUE"""),"USD PKR rate for 24/02/2023")</f>
        <v>USD PKR rate for 24/02/2023</v>
      </c>
      <c r="I326" s="9"/>
    </row>
    <row r="327" spans="1:9" ht="14.25" customHeight="1" x14ac:dyDescent="0.3">
      <c r="A327" s="6">
        <v>38656</v>
      </c>
      <c r="B327" s="7">
        <v>59.692892999999998</v>
      </c>
      <c r="C327" s="8">
        <f t="shared" si="3"/>
        <v>65.317005869472055</v>
      </c>
      <c r="D327" s="9">
        <f t="shared" si="2"/>
        <v>58.830551147644748</v>
      </c>
      <c r="E327" s="9"/>
      <c r="F327" s="9">
        <f ca="1">IFERROR(__xludf.DUMMYFUNCTION("""COMPUTED_VALUE"""),44980)</f>
        <v>44980</v>
      </c>
      <c r="G327" s="9" t="str">
        <f ca="1">IFERROR(__xludf.DUMMYFUNCTION("""COMPUTED_VALUE"""),"1 USD = 261.0052 PKR")</f>
        <v>1 USD = 261.0052 PKR</v>
      </c>
      <c r="H327" s="9" t="str">
        <f ca="1">IFERROR(__xludf.DUMMYFUNCTION("""COMPUTED_VALUE"""),"USD PKR rate for 23/02/2023")</f>
        <v>USD PKR rate for 23/02/2023</v>
      </c>
      <c r="I327" s="9"/>
    </row>
    <row r="328" spans="1:9" ht="14.25" customHeight="1" x14ac:dyDescent="0.3">
      <c r="A328" s="6">
        <v>38686</v>
      </c>
      <c r="B328" s="7">
        <v>59.747892999999998</v>
      </c>
      <c r="C328" s="8">
        <f t="shared" si="3"/>
        <v>65.668374179667481</v>
      </c>
      <c r="D328" s="9">
        <f t="shared" si="2"/>
        <v>58.912686131562715</v>
      </c>
      <c r="E328" s="9"/>
      <c r="F328" s="9">
        <f ca="1">IFERROR(__xludf.DUMMYFUNCTION("""COMPUTED_VALUE"""),44979)</f>
        <v>44979</v>
      </c>
      <c r="G328" s="9" t="str">
        <f ca="1">IFERROR(__xludf.DUMMYFUNCTION("""COMPUTED_VALUE"""),"1 USD = 261.7183 PKR")</f>
        <v>1 USD = 261.7183 PKR</v>
      </c>
      <c r="H328" s="9" t="str">
        <f ca="1">IFERROR(__xludf.DUMMYFUNCTION("""COMPUTED_VALUE"""),"USD PKR rate for 22/02/2023")</f>
        <v>USD PKR rate for 22/02/2023</v>
      </c>
      <c r="I328" s="9"/>
    </row>
    <row r="329" spans="1:9" ht="14.25" customHeight="1" x14ac:dyDescent="0.3">
      <c r="A329" s="6">
        <v>38717</v>
      </c>
      <c r="B329" s="7">
        <v>59.777036000000003</v>
      </c>
      <c r="C329" s="8">
        <f t="shared" si="3"/>
        <v>66.033440605063433</v>
      </c>
      <c r="D329" s="9">
        <f t="shared" si="2"/>
        <v>58.997558948277955</v>
      </c>
      <c r="E329" s="9"/>
      <c r="F329" s="9">
        <f ca="1">IFERROR(__xludf.DUMMYFUNCTION("""COMPUTED_VALUE"""),44978)</f>
        <v>44978</v>
      </c>
      <c r="G329" s="9" t="str">
        <f ca="1">IFERROR(__xludf.DUMMYFUNCTION("""COMPUTED_VALUE"""),"1 USD = 262.5707 PKR")</f>
        <v>1 USD = 262.5707 PKR</v>
      </c>
      <c r="H329" s="9" t="str">
        <f ca="1">IFERROR(__xludf.DUMMYFUNCTION("""COMPUTED_VALUE"""),"USD PKR rate for 21/02/2023")</f>
        <v>USD PKR rate for 21/02/2023</v>
      </c>
      <c r="I329" s="9"/>
    </row>
    <row r="330" spans="1:9" ht="14.25" customHeight="1" x14ac:dyDescent="0.3">
      <c r="A330" s="6">
        <v>38748</v>
      </c>
      <c r="B330" s="7">
        <v>59.836821000000008</v>
      </c>
      <c r="C330" s="8">
        <f t="shared" si="3"/>
        <v>66.400536523295415</v>
      </c>
      <c r="D330" s="9">
        <f t="shared" si="2"/>
        <v>59.082431764993188</v>
      </c>
      <c r="E330" s="9"/>
      <c r="F330" s="9">
        <f ca="1">IFERROR(__xludf.DUMMYFUNCTION("""COMPUTED_VALUE"""),44977)</f>
        <v>44977</v>
      </c>
      <c r="G330" s="9" t="str">
        <f ca="1">IFERROR(__xludf.DUMMYFUNCTION("""COMPUTED_VALUE"""),"1 USD = 261.7647 PKR")</f>
        <v>1 USD = 261.7647 PKR</v>
      </c>
      <c r="H330" s="9" t="str">
        <f ca="1">IFERROR(__xludf.DUMMYFUNCTION("""COMPUTED_VALUE"""),"USD PKR rate for 20/02/2023")</f>
        <v>USD PKR rate for 20/02/2023</v>
      </c>
      <c r="I330" s="9"/>
    </row>
    <row r="331" spans="1:9" ht="14.25" customHeight="1" x14ac:dyDescent="0.3">
      <c r="A331" s="6">
        <v>38776</v>
      </c>
      <c r="B331" s="7">
        <v>59.858713000000002</v>
      </c>
      <c r="C331" s="8">
        <f t="shared" si="3"/>
        <v>66.733860805888426</v>
      </c>
      <c r="D331" s="9">
        <f t="shared" si="2"/>
        <v>59.159091083316632</v>
      </c>
      <c r="E331" s="9"/>
      <c r="F331" s="9">
        <f ca="1">IFERROR(__xludf.DUMMYFUNCTION("""COMPUTED_VALUE"""),44976)</f>
        <v>44976</v>
      </c>
      <c r="G331" s="9" t="str">
        <f ca="1">IFERROR(__xludf.DUMMYFUNCTION("""COMPUTED_VALUE"""),"1 USD = 261.2925 PKR")</f>
        <v>1 USD = 261.2925 PKR</v>
      </c>
      <c r="H331" s="9" t="str">
        <f ca="1">IFERROR(__xludf.DUMMYFUNCTION("""COMPUTED_VALUE"""),"USD PKR rate for 19/02/2023")</f>
        <v>USD PKR rate for 19/02/2023</v>
      </c>
      <c r="I331" s="9"/>
    </row>
    <row r="332" spans="1:9" ht="14.25" customHeight="1" x14ac:dyDescent="0.3">
      <c r="A332" s="6">
        <v>38807</v>
      </c>
      <c r="B332" s="7">
        <v>59.960935999999997</v>
      </c>
      <c r="C332" s="8">
        <f t="shared" si="3"/>
        <v>67.104850529962036</v>
      </c>
      <c r="D332" s="9">
        <f t="shared" si="2"/>
        <v>59.243963900031865</v>
      </c>
      <c r="E332" s="9"/>
      <c r="F332" s="9">
        <f ca="1">IFERROR(__xludf.DUMMYFUNCTION("""COMPUTED_VALUE"""),44975)</f>
        <v>44975</v>
      </c>
      <c r="G332" s="9" t="str">
        <f ca="1">IFERROR(__xludf.DUMMYFUNCTION("""COMPUTED_VALUE"""),"1 USD = 262.975 PKR")</f>
        <v>1 USD = 262.975 PKR</v>
      </c>
      <c r="H332" s="9" t="str">
        <f ca="1">IFERROR(__xludf.DUMMYFUNCTION("""COMPUTED_VALUE"""),"USD PKR rate for 18/02/2023")</f>
        <v>USD PKR rate for 18/02/2023</v>
      </c>
      <c r="I332" s="9"/>
    </row>
    <row r="333" spans="1:9" ht="14.25" customHeight="1" x14ac:dyDescent="0.3">
      <c r="A333" s="6">
        <v>38837</v>
      </c>
      <c r="B333" s="7">
        <v>60.021201000000005</v>
      </c>
      <c r="C333" s="8">
        <f t="shared" si="3"/>
        <v>67.46583642670916</v>
      </c>
      <c r="D333" s="9">
        <f t="shared" si="2"/>
        <v>59.326098883949832</v>
      </c>
      <c r="E333" s="9"/>
      <c r="F333" s="9">
        <f ca="1">IFERROR(__xludf.DUMMYFUNCTION("""COMPUTED_VALUE"""),44974)</f>
        <v>44974</v>
      </c>
      <c r="G333" s="9" t="str">
        <f ca="1">IFERROR(__xludf.DUMMYFUNCTION("""COMPUTED_VALUE"""),"1 USD = 262.9285 PKR")</f>
        <v>1 USD = 262.9285 PKR</v>
      </c>
      <c r="H333" s="9" t="str">
        <f ca="1">IFERROR(__xludf.DUMMYFUNCTION("""COMPUTED_VALUE"""),"USD PKR rate for 17/02/2023")</f>
        <v>USD PKR rate for 17/02/2023</v>
      </c>
      <c r="I333" s="9"/>
    </row>
    <row r="334" spans="1:9" ht="14.25" customHeight="1" x14ac:dyDescent="0.3">
      <c r="A334" s="6">
        <v>38868</v>
      </c>
      <c r="B334" s="7">
        <v>60.201791</v>
      </c>
      <c r="C334" s="8">
        <f t="shared" si="3"/>
        <v>67.840895380860545</v>
      </c>
      <c r="D334" s="9">
        <f t="shared" si="2"/>
        <v>59.410971700665073</v>
      </c>
      <c r="E334" s="9"/>
      <c r="F334" s="9">
        <f ca="1">IFERROR(__xludf.DUMMYFUNCTION("""COMPUTED_VALUE"""),44973)</f>
        <v>44973</v>
      </c>
      <c r="G334" s="9" t="str">
        <f ca="1">IFERROR(__xludf.DUMMYFUNCTION("""COMPUTED_VALUE"""),"1 USD = 264.3329 PKR")</f>
        <v>1 USD = 264.3329 PKR</v>
      </c>
      <c r="H334" s="9" t="str">
        <f ca="1">IFERROR(__xludf.DUMMYFUNCTION("""COMPUTED_VALUE"""),"USD PKR rate for 16/02/2023")</f>
        <v>USD PKR rate for 16/02/2023</v>
      </c>
      <c r="I334" s="9"/>
    </row>
    <row r="335" spans="1:9" ht="14.25" customHeight="1" x14ac:dyDescent="0.3">
      <c r="A335" s="6">
        <v>38898</v>
      </c>
      <c r="B335" s="7">
        <v>60.176453000000002</v>
      </c>
      <c r="C335" s="8">
        <f t="shared" si="3"/>
        <v>68.205840779915647</v>
      </c>
      <c r="D335" s="9">
        <f t="shared" si="2"/>
        <v>59.49310668458304</v>
      </c>
      <c r="E335" s="9"/>
      <c r="F335" s="9">
        <f ca="1">IFERROR(__xludf.DUMMYFUNCTION("""COMPUTED_VALUE"""),44972)</f>
        <v>44972</v>
      </c>
      <c r="G335" s="9" t="str">
        <f ca="1">IFERROR(__xludf.DUMMYFUNCTION("""COMPUTED_VALUE"""),"1 USD = 265.8521 PKR")</f>
        <v>1 USD = 265.8521 PKR</v>
      </c>
      <c r="H335" s="9" t="str">
        <f ca="1">IFERROR(__xludf.DUMMYFUNCTION("""COMPUTED_VALUE"""),"USD PKR rate for 15/02/2023")</f>
        <v>USD PKR rate for 15/02/2023</v>
      </c>
      <c r="I335" s="9"/>
    </row>
    <row r="336" spans="1:9" ht="14.25" customHeight="1" x14ac:dyDescent="0.3">
      <c r="A336" s="6">
        <v>38929</v>
      </c>
      <c r="B336" s="7">
        <v>60.33415500000001</v>
      </c>
      <c r="C336" s="8">
        <f t="shared" si="3"/>
        <v>68.585013597816129</v>
      </c>
      <c r="D336" s="9">
        <f t="shared" si="2"/>
        <v>59.577979501298273</v>
      </c>
      <c r="E336" s="9"/>
      <c r="F336" s="9">
        <f ca="1">IFERROR(__xludf.DUMMYFUNCTION("""COMPUTED_VALUE"""),44971)</f>
        <v>44971</v>
      </c>
      <c r="G336" s="9" t="str">
        <f ca="1">IFERROR(__xludf.DUMMYFUNCTION("""COMPUTED_VALUE"""),"1 USD = 267.3049 PKR")</f>
        <v>1 USD = 267.3049 PKR</v>
      </c>
      <c r="H336" s="9" t="str">
        <f ca="1">IFERROR(__xludf.DUMMYFUNCTION("""COMPUTED_VALUE"""),"USD PKR rate for 14/02/2023")</f>
        <v>USD PKR rate for 14/02/2023</v>
      </c>
      <c r="I336" s="9"/>
    </row>
    <row r="337" spans="1:9" ht="14.25" customHeight="1" x14ac:dyDescent="0.3">
      <c r="A337" s="6">
        <v>38960</v>
      </c>
      <c r="B337" s="7">
        <v>60.386358000000001</v>
      </c>
      <c r="C337" s="8">
        <f t="shared" si="3"/>
        <v>68.966294329411284</v>
      </c>
      <c r="D337" s="9">
        <f t="shared" si="2"/>
        <v>59.662852318013513</v>
      </c>
      <c r="E337" s="9"/>
      <c r="F337" s="9">
        <f ca="1">IFERROR(__xludf.DUMMYFUNCTION("""COMPUTED_VALUE"""),44970)</f>
        <v>44970</v>
      </c>
      <c r="G337" s="9" t="str">
        <f ca="1">IFERROR(__xludf.DUMMYFUNCTION("""COMPUTED_VALUE"""),"1 USD = 266.9038 PKR")</f>
        <v>1 USD = 266.9038 PKR</v>
      </c>
      <c r="H337" s="9" t="str">
        <f ca="1">IFERROR(__xludf.DUMMYFUNCTION("""COMPUTED_VALUE"""),"USD PKR rate for 13/02/2023")</f>
        <v>USD PKR rate for 13/02/2023</v>
      </c>
      <c r="I337" s="9"/>
    </row>
    <row r="338" spans="1:9" ht="14.25" customHeight="1" x14ac:dyDescent="0.3">
      <c r="A338" s="6">
        <v>38990</v>
      </c>
      <c r="B338" s="7">
        <v>60.546474000000003</v>
      </c>
      <c r="C338" s="8">
        <f t="shared" si="3"/>
        <v>69.337293734181799</v>
      </c>
      <c r="D338" s="9">
        <f t="shared" si="2"/>
        <v>59.744987301931481</v>
      </c>
      <c r="E338" s="9"/>
      <c r="F338" s="9">
        <f ca="1">IFERROR(__xludf.DUMMYFUNCTION("""COMPUTED_VALUE"""),44969)</f>
        <v>44969</v>
      </c>
      <c r="G338" s="9" t="str">
        <f ca="1">IFERROR(__xludf.DUMMYFUNCTION("""COMPUTED_VALUE"""),"1 USD = 269.738 PKR")</f>
        <v>1 USD = 269.738 PKR</v>
      </c>
      <c r="H338" s="9" t="str">
        <f ca="1">IFERROR(__xludf.DUMMYFUNCTION("""COMPUTED_VALUE"""),"USD PKR rate for 12/02/2023")</f>
        <v>USD PKR rate for 12/02/2023</v>
      </c>
      <c r="I338" s="9"/>
    </row>
    <row r="339" spans="1:9" ht="14.25" customHeight="1" x14ac:dyDescent="0.3">
      <c r="A339" s="6">
        <v>39021</v>
      </c>
      <c r="B339" s="7">
        <v>60.604154000000001</v>
      </c>
      <c r="C339" s="8">
        <f t="shared" si="3"/>
        <v>69.722756573583197</v>
      </c>
      <c r="D339" s="9">
        <f t="shared" si="2"/>
        <v>59.829860118646721</v>
      </c>
      <c r="E339" s="9"/>
      <c r="F339" s="9">
        <f ca="1">IFERROR(__xludf.DUMMYFUNCTION("""COMPUTED_VALUE"""),44968)</f>
        <v>44968</v>
      </c>
      <c r="G339" s="9" t="str">
        <f ca="1">IFERROR(__xludf.DUMMYFUNCTION("""COMPUTED_VALUE"""),"1 USD = 269.2745 PKR")</f>
        <v>1 USD = 269.2745 PKR</v>
      </c>
      <c r="H339" s="9" t="str">
        <f ca="1">IFERROR(__xludf.DUMMYFUNCTION("""COMPUTED_VALUE"""),"USD PKR rate for 11/02/2023")</f>
        <v>USD PKR rate for 11/02/2023</v>
      </c>
      <c r="I339" s="9"/>
    </row>
    <row r="340" spans="1:9" ht="14.25" customHeight="1" x14ac:dyDescent="0.3">
      <c r="A340" s="6">
        <v>39051</v>
      </c>
      <c r="B340" s="7">
        <v>60.819988000000009</v>
      </c>
      <c r="C340" s="8">
        <f t="shared" si="3"/>
        <v>70.097825314614965</v>
      </c>
      <c r="D340" s="9">
        <f t="shared" si="2"/>
        <v>59.911995102564688</v>
      </c>
      <c r="E340" s="9"/>
      <c r="F340" s="9">
        <f ca="1">IFERROR(__xludf.DUMMYFUNCTION("""COMPUTED_VALUE"""),44967)</f>
        <v>44967</v>
      </c>
      <c r="G340" s="9" t="str">
        <f ca="1">IFERROR(__xludf.DUMMYFUNCTION("""COMPUTED_VALUE"""),"1 USD = 271.5002 PKR")</f>
        <v>1 USD = 271.5002 PKR</v>
      </c>
      <c r="H340" s="9" t="str">
        <f ca="1">IFERROR(__xludf.DUMMYFUNCTION("""COMPUTED_VALUE"""),"USD PKR rate for 10/02/2023")</f>
        <v>USD PKR rate for 10/02/2023</v>
      </c>
      <c r="I340" s="9"/>
    </row>
    <row r="341" spans="1:9" ht="14.25" customHeight="1" x14ac:dyDescent="0.3">
      <c r="A341" s="6">
        <v>39082</v>
      </c>
      <c r="B341" s="7">
        <v>60.885542999999998</v>
      </c>
      <c r="C341" s="8">
        <f t="shared" si="3"/>
        <v>70.487516133602199</v>
      </c>
      <c r="D341" s="9">
        <f t="shared" si="2"/>
        <v>59.996867919279921</v>
      </c>
      <c r="E341" s="9"/>
      <c r="F341" s="9">
        <f ca="1">IFERROR(__xludf.DUMMYFUNCTION("""COMPUTED_VALUE"""),44966)</f>
        <v>44966</v>
      </c>
      <c r="G341" s="9" t="str">
        <f ca="1">IFERROR(__xludf.DUMMYFUNCTION("""COMPUTED_VALUE"""),"1 USD = 270.3087 PKR")</f>
        <v>1 USD = 270.3087 PKR</v>
      </c>
      <c r="H341" s="9" t="str">
        <f ca="1">IFERROR(__xludf.DUMMYFUNCTION("""COMPUTED_VALUE"""),"USD PKR rate for 09/02/2023")</f>
        <v>USD PKR rate for 09/02/2023</v>
      </c>
      <c r="I341" s="9"/>
    </row>
    <row r="342" spans="1:9" ht="14.25" customHeight="1" x14ac:dyDescent="0.3">
      <c r="A342" s="6">
        <v>39113</v>
      </c>
      <c r="B342" s="7">
        <v>60.734665999999997</v>
      </c>
      <c r="C342" s="8">
        <f t="shared" si="3"/>
        <v>70.879373338404164</v>
      </c>
      <c r="D342" s="9">
        <f t="shared" si="2"/>
        <v>60.081740735995162</v>
      </c>
      <c r="E342" s="9"/>
      <c r="F342" s="9">
        <f ca="1">IFERROR(__xludf.DUMMYFUNCTION("""COMPUTED_VALUE"""),44965)</f>
        <v>44965</v>
      </c>
      <c r="G342" s="9" t="str">
        <f ca="1">IFERROR(__xludf.DUMMYFUNCTION("""COMPUTED_VALUE"""),"1 USD = 274.495 PKR")</f>
        <v>1 USD = 274.495 PKR</v>
      </c>
      <c r="H342" s="9" t="str">
        <f ca="1">IFERROR(__xludf.DUMMYFUNCTION("""COMPUTED_VALUE"""),"USD PKR rate for 08/02/2023")</f>
        <v>USD PKR rate for 08/02/2023</v>
      </c>
      <c r="I342" s="9"/>
    </row>
    <row r="343" spans="1:9" ht="14.25" customHeight="1" x14ac:dyDescent="0.3">
      <c r="A343" s="6">
        <v>39141</v>
      </c>
      <c r="B343" s="7">
        <v>60.687463999999999</v>
      </c>
      <c r="C343" s="8">
        <f t="shared" si="3"/>
        <v>71.235180949392017</v>
      </c>
      <c r="D343" s="9">
        <f t="shared" si="2"/>
        <v>60.158400054318598</v>
      </c>
      <c r="E343" s="9"/>
      <c r="F343" s="9">
        <f ca="1">IFERROR(__xludf.DUMMYFUNCTION("""COMPUTED_VALUE"""),44964)</f>
        <v>44964</v>
      </c>
      <c r="G343" s="9" t="str">
        <f ca="1">IFERROR(__xludf.DUMMYFUNCTION("""COMPUTED_VALUE"""),"1 USD = 275.6979 PKR")</f>
        <v>1 USD = 275.6979 PKR</v>
      </c>
      <c r="H343" s="9" t="str">
        <f ca="1">IFERROR(__xludf.DUMMYFUNCTION("""COMPUTED_VALUE"""),"USD PKR rate for 07/02/2023")</f>
        <v>USD PKR rate for 07/02/2023</v>
      </c>
      <c r="I343" s="9"/>
    </row>
    <row r="344" spans="1:9" ht="14.25" customHeight="1" x14ac:dyDescent="0.3">
      <c r="A344" s="6">
        <v>39172</v>
      </c>
      <c r="B344" s="7">
        <v>60.709004999999998</v>
      </c>
      <c r="C344" s="8">
        <f t="shared" si="3"/>
        <v>71.631194604313293</v>
      </c>
      <c r="D344" s="9">
        <f t="shared" si="2"/>
        <v>60.243272871033838</v>
      </c>
      <c r="E344" s="9"/>
      <c r="F344" s="9">
        <f ca="1">IFERROR(__xludf.DUMMYFUNCTION("""COMPUTED_VALUE"""),44963)</f>
        <v>44963</v>
      </c>
      <c r="G344" s="9" t="str">
        <f ca="1">IFERROR(__xludf.DUMMYFUNCTION("""COMPUTED_VALUE"""),"1 USD = 275.0505 PKR")</f>
        <v>1 USD = 275.0505 PKR</v>
      </c>
      <c r="H344" s="9" t="str">
        <f ca="1">IFERROR(__xludf.DUMMYFUNCTION("""COMPUTED_VALUE"""),"USD PKR rate for 06/02/2023")</f>
        <v>USD PKR rate for 06/02/2023</v>
      </c>
      <c r="I344" s="9"/>
    </row>
    <row r="345" spans="1:9" ht="14.25" customHeight="1" x14ac:dyDescent="0.3">
      <c r="A345" s="6">
        <v>39202</v>
      </c>
      <c r="B345" s="7">
        <v>60.681860999999998</v>
      </c>
      <c r="C345" s="8">
        <f t="shared" si="3"/>
        <v>72.016529655581522</v>
      </c>
      <c r="D345" s="9">
        <f t="shared" si="2"/>
        <v>60.325407854951806</v>
      </c>
      <c r="E345" s="9"/>
      <c r="F345" s="9">
        <f ca="1">IFERROR(__xludf.DUMMYFUNCTION("""COMPUTED_VALUE"""),44962)</f>
        <v>44962</v>
      </c>
      <c r="G345" s="9" t="str">
        <f ca="1">IFERROR(__xludf.DUMMYFUNCTION("""COMPUTED_VALUE"""),"1 USD = 250.4154 PKR")</f>
        <v>1 USD = 250.4154 PKR</v>
      </c>
      <c r="H345" s="9" t="str">
        <f ca="1">IFERROR(__xludf.DUMMYFUNCTION("""COMPUTED_VALUE"""),"USD PKR rate for 05/02/2023")</f>
        <v>USD PKR rate for 05/02/2023</v>
      </c>
      <c r="I345" s="9"/>
    </row>
    <row r="346" spans="1:9" ht="14.25" customHeight="1" x14ac:dyDescent="0.3">
      <c r="A346" s="6">
        <v>39233</v>
      </c>
      <c r="B346" s="7">
        <v>60.722811</v>
      </c>
      <c r="C346" s="8">
        <f t="shared" si="3"/>
        <v>72.416887017541654</v>
      </c>
      <c r="D346" s="9">
        <f t="shared" si="2"/>
        <v>60.410280671667039</v>
      </c>
      <c r="E346" s="9"/>
      <c r="F346" s="9">
        <f ca="1">IFERROR(__xludf.DUMMYFUNCTION("""COMPUTED_VALUE"""),44961)</f>
        <v>44961</v>
      </c>
      <c r="G346" s="9" t="str">
        <f ca="1">IFERROR(__xludf.DUMMYFUNCTION("""COMPUTED_VALUE"""),"1 USD = 270.249 PKR")</f>
        <v>1 USD = 270.249 PKR</v>
      </c>
      <c r="H346" s="9" t="str">
        <f ca="1">IFERROR(__xludf.DUMMYFUNCTION("""COMPUTED_VALUE"""),"USD PKR rate for 04/02/2023")</f>
        <v>USD PKR rate for 04/02/2023</v>
      </c>
      <c r="I346" s="9"/>
    </row>
    <row r="347" spans="1:9" ht="14.25" customHeight="1" x14ac:dyDescent="0.3">
      <c r="A347" s="6">
        <v>39263</v>
      </c>
      <c r="B347" s="7">
        <v>60.438074</v>
      </c>
      <c r="C347" s="8">
        <f t="shared" si="3"/>
        <v>72.806448646741515</v>
      </c>
      <c r="D347" s="9">
        <f t="shared" si="2"/>
        <v>60.492415655585013</v>
      </c>
      <c r="E347" s="9"/>
      <c r="F347" s="9">
        <f ca="1">IFERROR(__xludf.DUMMYFUNCTION("""COMPUTED_VALUE"""),44960)</f>
        <v>44960</v>
      </c>
      <c r="G347" s="9" t="str">
        <f ca="1">IFERROR(__xludf.DUMMYFUNCTION("""COMPUTED_VALUE"""),"1 USD = 270.238 PKR")</f>
        <v>1 USD = 270.238 PKR</v>
      </c>
      <c r="H347" s="9" t="str">
        <f ca="1">IFERROR(__xludf.DUMMYFUNCTION("""COMPUTED_VALUE"""),"USD PKR rate for 03/02/2023")</f>
        <v>USD PKR rate for 03/02/2023</v>
      </c>
      <c r="I347" s="9"/>
    </row>
    <row r="348" spans="1:9" ht="14.25" customHeight="1" x14ac:dyDescent="0.3">
      <c r="A348" s="6">
        <v>39294</v>
      </c>
      <c r="B348" s="7">
        <v>60.405737999999999</v>
      </c>
      <c r="C348" s="8">
        <f t="shared" si="3"/>
        <v>73.211197360034134</v>
      </c>
      <c r="D348" s="9">
        <f t="shared" si="2"/>
        <v>60.577288472300246</v>
      </c>
      <c r="E348" s="9"/>
      <c r="F348" s="9">
        <f ca="1">IFERROR(__xludf.DUMMYFUNCTION("""COMPUTED_VALUE"""),44959)</f>
        <v>44959</v>
      </c>
      <c r="G348" s="9" t="str">
        <f ca="1">IFERROR(__xludf.DUMMYFUNCTION("""COMPUTED_VALUE"""),"1 USD = 270.2464 PKR")</f>
        <v>1 USD = 270.2464 PKR</v>
      </c>
      <c r="H348" s="9" t="str">
        <f ca="1">IFERROR(__xludf.DUMMYFUNCTION("""COMPUTED_VALUE"""),"USD PKR rate for 02/02/2023")</f>
        <v>USD PKR rate for 02/02/2023</v>
      </c>
      <c r="I348" s="9"/>
    </row>
    <row r="349" spans="1:9" ht="14.25" customHeight="1" x14ac:dyDescent="0.3">
      <c r="A349" s="6">
        <v>39325</v>
      </c>
      <c r="B349" s="7">
        <v>60.679223999999998</v>
      </c>
      <c r="C349" s="8">
        <f t="shared" si="3"/>
        <v>73.618196169629471</v>
      </c>
      <c r="D349" s="9">
        <f t="shared" si="2"/>
        <v>60.662161289015479</v>
      </c>
      <c r="E349" s="9"/>
      <c r="F349" s="9">
        <f ca="1">IFERROR(__xludf.DUMMYFUNCTION("""COMPUTED_VALUE"""),44958)</f>
        <v>44958</v>
      </c>
      <c r="G349" s="9" t="str">
        <f ca="1">IFERROR(__xludf.DUMMYFUNCTION("""COMPUTED_VALUE"""),"1 USD = 268.1357 PKR")</f>
        <v>1 USD = 268.1357 PKR</v>
      </c>
      <c r="H349" s="9" t="str">
        <f ca="1">IFERROR(__xludf.DUMMYFUNCTION("""COMPUTED_VALUE"""),"USD PKR rate for 01/02/2023")</f>
        <v>USD PKR rate for 01/02/2023</v>
      </c>
      <c r="I349" s="9"/>
    </row>
    <row r="350" spans="1:9" ht="14.25" customHeight="1" x14ac:dyDescent="0.3">
      <c r="A350" s="6">
        <v>39355</v>
      </c>
      <c r="B350" s="7">
        <v>60.680833</v>
      </c>
      <c r="C350" s="8">
        <f t="shared" si="3"/>
        <v>74.014220158228269</v>
      </c>
      <c r="D350" s="9">
        <f t="shared" si="2"/>
        <v>60.744296272933454</v>
      </c>
      <c r="E350" s="9"/>
      <c r="F350" s="9">
        <f ca="1">IFERROR(__xludf.DUMMYFUNCTION("""COMPUTED_VALUE"""),44957)</f>
        <v>44957</v>
      </c>
      <c r="G350" s="9" t="str">
        <f ca="1">IFERROR(__xludf.DUMMYFUNCTION("""COMPUTED_VALUE"""),"1 USD = 268.0288 PKR")</f>
        <v>1 USD = 268.0288 PKR</v>
      </c>
      <c r="H350" s="9" t="str">
        <f ca="1">IFERROR(__xludf.DUMMYFUNCTION("""COMPUTED_VALUE"""),"USD PKR rate for 31/01/2023")</f>
        <v>USD PKR rate for 31/01/2023</v>
      </c>
      <c r="I350" s="9"/>
    </row>
    <row r="351" spans="1:9" ht="14.25" customHeight="1" x14ac:dyDescent="0.3">
      <c r="A351" s="6">
        <v>39386</v>
      </c>
      <c r="B351" s="7">
        <v>60.683957999999997</v>
      </c>
      <c r="C351" s="8">
        <f t="shared" si="3"/>
        <v>74.42568316639877</v>
      </c>
      <c r="D351" s="9">
        <f t="shared" si="2"/>
        <v>60.829169089648687</v>
      </c>
      <c r="E351" s="9"/>
      <c r="F351" s="9">
        <f ca="1">IFERROR(__xludf.DUMMYFUNCTION("""COMPUTED_VALUE"""),44956)</f>
        <v>44956</v>
      </c>
      <c r="G351" s="9" t="str">
        <f ca="1">IFERROR(__xludf.DUMMYFUNCTION("""COMPUTED_VALUE"""),"1 USD = 265.4726 PKR")</f>
        <v>1 USD = 265.4726 PKR</v>
      </c>
      <c r="H351" s="9" t="str">
        <f ca="1">IFERROR(__xludf.DUMMYFUNCTION("""COMPUTED_VALUE"""),"USD PKR rate for 30/01/2023")</f>
        <v>USD PKR rate for 30/01/2023</v>
      </c>
      <c r="I351" s="9"/>
    </row>
    <row r="352" spans="1:9" ht="14.25" customHeight="1" x14ac:dyDescent="0.3">
      <c r="A352" s="6">
        <v>39416</v>
      </c>
      <c r="B352" s="7">
        <v>61.129908000000007</v>
      </c>
      <c r="C352" s="8">
        <f t="shared" si="3"/>
        <v>74.826050975382259</v>
      </c>
      <c r="D352" s="9">
        <f t="shared" si="2"/>
        <v>60.911304073566662</v>
      </c>
      <c r="E352" s="9"/>
      <c r="F352" s="9">
        <f ca="1">IFERROR(__xludf.DUMMYFUNCTION("""COMPUTED_VALUE"""),44955)</f>
        <v>44955</v>
      </c>
      <c r="G352" s="9" t="str">
        <f ca="1">IFERROR(__xludf.DUMMYFUNCTION("""COMPUTED_VALUE"""),"1 USD = 253.0453 PKR")</f>
        <v>1 USD = 253.0453 PKR</v>
      </c>
      <c r="H352" s="9" t="str">
        <f ca="1">IFERROR(__xludf.DUMMYFUNCTION("""COMPUTED_VALUE"""),"USD PKR rate for 29/01/2023")</f>
        <v>USD PKR rate for 29/01/2023</v>
      </c>
      <c r="I352" s="9"/>
    </row>
    <row r="353" spans="1:9" ht="14.25" customHeight="1" x14ac:dyDescent="0.3">
      <c r="A353" s="6">
        <v>39447</v>
      </c>
      <c r="B353" s="7">
        <v>61.521017999999998</v>
      </c>
      <c r="C353" s="8">
        <f t="shared" si="3"/>
        <v>75.242027148042453</v>
      </c>
      <c r="D353" s="9">
        <f t="shared" si="2"/>
        <v>60.996176890281895</v>
      </c>
      <c r="E353" s="9"/>
      <c r="F353" s="9">
        <f ca="1">IFERROR(__xludf.DUMMYFUNCTION("""COMPUTED_VALUE"""),44954)</f>
        <v>44954</v>
      </c>
      <c r="G353" s="9" t="str">
        <f ca="1">IFERROR(__xludf.DUMMYFUNCTION("""COMPUTED_VALUE"""),"1 USD = 250.6233 PKR")</f>
        <v>1 USD = 250.6233 PKR</v>
      </c>
      <c r="H353" s="9" t="str">
        <f ca="1">IFERROR(__xludf.DUMMYFUNCTION("""COMPUTED_VALUE"""),"USD PKR rate for 28/01/2023")</f>
        <v>USD PKR rate for 28/01/2023</v>
      </c>
      <c r="I353" s="9"/>
    </row>
    <row r="354" spans="1:9" ht="14.25" customHeight="1" x14ac:dyDescent="0.3">
      <c r="A354" s="6">
        <v>39478</v>
      </c>
      <c r="B354" s="7">
        <v>62.580523999999997</v>
      </c>
      <c r="C354" s="8">
        <f t="shared" si="3"/>
        <v>75.660315833176128</v>
      </c>
      <c r="D354" s="9">
        <f t="shared" si="2"/>
        <v>61.081049706997128</v>
      </c>
      <c r="E354" s="9"/>
      <c r="F354" s="9">
        <f ca="1">IFERROR(__xludf.DUMMYFUNCTION("""COMPUTED_VALUE"""),44953)</f>
        <v>44953</v>
      </c>
      <c r="G354" s="9" t="str">
        <f ca="1">IFERROR(__xludf.DUMMYFUNCTION("""COMPUTED_VALUE"""),"1 USD = 262.8784 PKR")</f>
        <v>1 USD = 262.8784 PKR</v>
      </c>
      <c r="H354" s="9" t="str">
        <f ca="1">IFERROR(__xludf.DUMMYFUNCTION("""COMPUTED_VALUE"""),"USD PKR rate for 27/01/2023")</f>
        <v>USD PKR rate for 27/01/2023</v>
      </c>
      <c r="I354" s="9"/>
    </row>
    <row r="355" spans="1:9" ht="14.25" customHeight="1" x14ac:dyDescent="0.3">
      <c r="A355" s="6">
        <v>39507</v>
      </c>
      <c r="B355" s="7">
        <v>62.486557000000005</v>
      </c>
      <c r="C355" s="8">
        <f t="shared" si="3"/>
        <v>76.053723072344084</v>
      </c>
      <c r="D355" s="9">
        <f t="shared" si="2"/>
        <v>61.160446858117837</v>
      </c>
      <c r="E355" s="9"/>
      <c r="F355" s="9">
        <f ca="1">IFERROR(__xludf.DUMMYFUNCTION("""COMPUTED_VALUE"""),44952)</f>
        <v>44952</v>
      </c>
      <c r="G355" s="9" t="str">
        <f ca="1">IFERROR(__xludf.DUMMYFUNCTION("""COMPUTED_VALUE"""),"1 USD = 242.5594 PKR")</f>
        <v>1 USD = 242.5594 PKR</v>
      </c>
      <c r="H355" s="9" t="str">
        <f ca="1">IFERROR(__xludf.DUMMYFUNCTION("""COMPUTED_VALUE"""),"USD PKR rate for 26/01/2023")</f>
        <v>USD PKR rate for 26/01/2023</v>
      </c>
      <c r="I355" s="9"/>
    </row>
    <row r="356" spans="1:9" ht="14.25" customHeight="1" x14ac:dyDescent="0.3">
      <c r="A356" s="6">
        <v>39538</v>
      </c>
      <c r="B356" s="7">
        <v>62.716571000000002</v>
      </c>
      <c r="C356" s="8">
        <f t="shared" si="3"/>
        <v>76.476524172065339</v>
      </c>
      <c r="D356" s="9">
        <f t="shared" si="2"/>
        <v>61.24531967483307</v>
      </c>
      <c r="E356" s="9"/>
      <c r="F356" s="9">
        <f ca="1">IFERROR(__xludf.DUMMYFUNCTION("""COMPUTED_VALUE"""),44951)</f>
        <v>44951</v>
      </c>
      <c r="G356" s="9" t="str">
        <f ca="1">IFERROR(__xludf.DUMMYFUNCTION("""COMPUTED_VALUE"""),"1 USD = 231.1612 PKR")</f>
        <v>1 USD = 231.1612 PKR</v>
      </c>
      <c r="H356" s="9" t="str">
        <f ca="1">IFERROR(__xludf.DUMMYFUNCTION("""COMPUTED_VALUE"""),"USD PKR rate for 25/01/2023")</f>
        <v>USD PKR rate for 25/01/2023</v>
      </c>
      <c r="I356" s="9"/>
    </row>
    <row r="357" spans="1:9" ht="14.25" customHeight="1" x14ac:dyDescent="0.3">
      <c r="A357" s="6">
        <v>39568</v>
      </c>
      <c r="B357" s="7">
        <v>64.480857</v>
      </c>
      <c r="C357" s="8">
        <f t="shared" si="3"/>
        <v>76.887924338228174</v>
      </c>
      <c r="D357" s="9">
        <f t="shared" si="2"/>
        <v>61.327454658751037</v>
      </c>
      <c r="E357" s="9"/>
      <c r="F357" s="9">
        <f ca="1">IFERROR(__xludf.DUMMYFUNCTION("""COMPUTED_VALUE"""),44950)</f>
        <v>44950</v>
      </c>
      <c r="G357" s="9" t="str">
        <f ca="1">IFERROR(__xludf.DUMMYFUNCTION("""COMPUTED_VALUE"""),"1 USD = 231.5904 PKR")</f>
        <v>1 USD = 231.5904 PKR</v>
      </c>
      <c r="H357" s="9" t="str">
        <f ca="1">IFERROR(__xludf.DUMMYFUNCTION("""COMPUTED_VALUE"""),"USD PKR rate for 24/01/2023")</f>
        <v>USD PKR rate for 24/01/2023</v>
      </c>
      <c r="I357" s="9"/>
    </row>
    <row r="358" spans="1:9" ht="14.25" customHeight="1" x14ac:dyDescent="0.3">
      <c r="A358" s="6">
        <v>39599</v>
      </c>
      <c r="B358" s="7">
        <v>66.581785999999994</v>
      </c>
      <c r="C358" s="8">
        <f t="shared" si="3"/>
        <v>77.315362965191525</v>
      </c>
      <c r="D358" s="9">
        <f t="shared" si="2"/>
        <v>61.412327475466277</v>
      </c>
      <c r="E358" s="9"/>
      <c r="F358" s="9">
        <f ca="1">IFERROR(__xludf.DUMMYFUNCTION("""COMPUTED_VALUE"""),44949)</f>
        <v>44949</v>
      </c>
      <c r="G358" s="9" t="str">
        <f ca="1">IFERROR(__xludf.DUMMYFUNCTION("""COMPUTED_VALUE"""),"1 USD = 231.0944 PKR")</f>
        <v>1 USD = 231.0944 PKR</v>
      </c>
      <c r="H358" s="9" t="str">
        <f ca="1">IFERROR(__xludf.DUMMYFUNCTION("""COMPUTED_VALUE"""),"USD PKR rate for 23/01/2023")</f>
        <v>USD PKR rate for 23/01/2023</v>
      </c>
      <c r="I358" s="9"/>
    </row>
    <row r="359" spans="1:9" ht="14.25" customHeight="1" x14ac:dyDescent="0.3">
      <c r="A359" s="6">
        <v>39629</v>
      </c>
      <c r="B359" s="7">
        <v>68.168429000000003</v>
      </c>
      <c r="C359" s="8">
        <f t="shared" si="3"/>
        <v>77.731275606556551</v>
      </c>
      <c r="D359" s="9">
        <f t="shared" si="2"/>
        <v>61.494462459384245</v>
      </c>
      <c r="E359" s="9"/>
      <c r="F359" s="9">
        <f ca="1">IFERROR(__xludf.DUMMYFUNCTION("""COMPUTED_VALUE"""),44948)</f>
        <v>44948</v>
      </c>
      <c r="G359" s="9" t="str">
        <f ca="1">IFERROR(__xludf.DUMMYFUNCTION("""COMPUTED_VALUE"""),"1 USD = 229.8207 PKR")</f>
        <v>1 USD = 229.8207 PKR</v>
      </c>
      <c r="H359" s="9" t="str">
        <f ca="1">IFERROR(__xludf.DUMMYFUNCTION("""COMPUTED_VALUE"""),"USD PKR rate for 22/01/2023")</f>
        <v>USD PKR rate for 22/01/2023</v>
      </c>
      <c r="I359" s="9"/>
    </row>
    <row r="360" spans="1:9" ht="14.25" customHeight="1" x14ac:dyDescent="0.3">
      <c r="A360" s="6">
        <v>39660</v>
      </c>
      <c r="B360" s="7">
        <v>71.384570999999994</v>
      </c>
      <c r="C360" s="8">
        <f t="shared" si="3"/>
        <v>78.163402627845599</v>
      </c>
      <c r="D360" s="9">
        <f t="shared" si="2"/>
        <v>61.579335276099485</v>
      </c>
      <c r="E360" s="9"/>
      <c r="F360" s="9">
        <f ca="1">IFERROR(__xludf.DUMMYFUNCTION("""COMPUTED_VALUE"""),44947)</f>
        <v>44947</v>
      </c>
      <c r="G360" s="9" t="str">
        <f ca="1">IFERROR(__xludf.DUMMYFUNCTION("""COMPUTED_VALUE"""),"1 USD = 229.8472 PKR")</f>
        <v>1 USD = 229.8472 PKR</v>
      </c>
      <c r="H360" s="9" t="str">
        <f ca="1">IFERROR(__xludf.DUMMYFUNCTION("""COMPUTED_VALUE"""),"USD PKR rate for 21/01/2023")</f>
        <v>USD PKR rate for 21/01/2023</v>
      </c>
      <c r="I360" s="9"/>
    </row>
    <row r="361" spans="1:9" ht="14.25" customHeight="1" x14ac:dyDescent="0.3">
      <c r="A361" s="6">
        <v>39691</v>
      </c>
      <c r="B361" s="7">
        <v>76.069028000000003</v>
      </c>
      <c r="C361" s="8">
        <f t="shared" si="3"/>
        <v>78.597931948094356</v>
      </c>
      <c r="D361" s="9">
        <f t="shared" si="2"/>
        <v>61.664208092814718</v>
      </c>
      <c r="E361" s="9"/>
      <c r="F361" s="9">
        <f ca="1">IFERROR(__xludf.DUMMYFUNCTION("""COMPUTED_VALUE"""),44946)</f>
        <v>44946</v>
      </c>
      <c r="G361" s="9" t="str">
        <f ca="1">IFERROR(__xludf.DUMMYFUNCTION("""COMPUTED_VALUE"""),"1 USD = 229.8474 PKR")</f>
        <v>1 USD = 229.8474 PKR</v>
      </c>
      <c r="H361" s="9" t="str">
        <f ca="1">IFERROR(__xludf.DUMMYFUNCTION("""COMPUTED_VALUE"""),"USD PKR rate for 20/01/2023")</f>
        <v>USD PKR rate for 20/01/2023</v>
      </c>
      <c r="I361" s="9"/>
    </row>
    <row r="362" spans="1:9" ht="14.25" customHeight="1" x14ac:dyDescent="0.3">
      <c r="A362" s="6">
        <v>39721</v>
      </c>
      <c r="B362" s="7">
        <v>77.988472000000016</v>
      </c>
      <c r="C362" s="8">
        <f t="shared" si="3"/>
        <v>79.020744080491298</v>
      </c>
      <c r="D362" s="9">
        <f t="shared" si="2"/>
        <v>61.746343076732686</v>
      </c>
      <c r="E362" s="9"/>
      <c r="F362" s="9">
        <f ca="1">IFERROR(__xludf.DUMMYFUNCTION("""COMPUTED_VALUE"""),44945)</f>
        <v>44945</v>
      </c>
      <c r="G362" s="9" t="str">
        <f ca="1">IFERROR(__xludf.DUMMYFUNCTION("""COMPUTED_VALUE"""),"1 USD = 229.6787 PKR")</f>
        <v>1 USD = 229.6787 PKR</v>
      </c>
      <c r="H362" s="9" t="str">
        <f ca="1">IFERROR(__xludf.DUMMYFUNCTION("""COMPUTED_VALUE"""),"USD PKR rate for 19/01/2023")</f>
        <v>USD PKR rate for 19/01/2023</v>
      </c>
      <c r="I362" s="9"/>
    </row>
    <row r="363" spans="1:9" ht="14.25" customHeight="1" x14ac:dyDescent="0.3">
      <c r="A363" s="6">
        <v>39752</v>
      </c>
      <c r="B363" s="7">
        <v>81.535832999999997</v>
      </c>
      <c r="C363" s="8">
        <f t="shared" si="3"/>
        <v>79.46003956989486</v>
      </c>
      <c r="D363" s="9">
        <f t="shared" si="2"/>
        <v>61.831215893447926</v>
      </c>
      <c r="E363" s="9"/>
      <c r="F363" s="9">
        <f ca="1">IFERROR(__xludf.DUMMYFUNCTION("""COMPUTED_VALUE"""),44944)</f>
        <v>44944</v>
      </c>
      <c r="G363" s="9" t="str">
        <f ca="1">IFERROR(__xludf.DUMMYFUNCTION("""COMPUTED_VALUE"""),"1 USD = 228.7567 PKR")</f>
        <v>1 USD = 228.7567 PKR</v>
      </c>
      <c r="H363" s="9" t="str">
        <f ca="1">IFERROR(__xludf.DUMMYFUNCTION("""COMPUTED_VALUE"""),"USD PKR rate for 18/01/2023")</f>
        <v>USD PKR rate for 18/01/2023</v>
      </c>
      <c r="I363" s="9"/>
    </row>
    <row r="364" spans="1:9" ht="14.25" customHeight="1" x14ac:dyDescent="0.3">
      <c r="A364" s="6">
        <v>39782</v>
      </c>
      <c r="B364" s="7">
        <v>78.686110999999997</v>
      </c>
      <c r="C364" s="8">
        <f t="shared" si="3"/>
        <v>79.887489350546659</v>
      </c>
      <c r="D364" s="9">
        <f t="shared" si="2"/>
        <v>61.913350877365893</v>
      </c>
      <c r="E364" s="9"/>
      <c r="F364" s="9">
        <f ca="1">IFERROR(__xludf.DUMMYFUNCTION("""COMPUTED_VALUE"""),44943)</f>
        <v>44943</v>
      </c>
      <c r="G364" s="9" t="str">
        <f ca="1">IFERROR(__xludf.DUMMYFUNCTION("""COMPUTED_VALUE"""),"1 USD = 229.4073 PKR")</f>
        <v>1 USD = 229.4073 PKR</v>
      </c>
      <c r="H364" s="9" t="str">
        <f ca="1">IFERROR(__xludf.DUMMYFUNCTION("""COMPUTED_VALUE"""),"USD PKR rate for 17/01/2023")</f>
        <v>USD PKR rate for 17/01/2023</v>
      </c>
      <c r="I364" s="9"/>
    </row>
    <row r="365" spans="1:9" ht="14.25" customHeight="1" x14ac:dyDescent="0.3">
      <c r="A365" s="6">
        <v>39813</v>
      </c>
      <c r="B365" s="7">
        <v>78.969166999999999</v>
      </c>
      <c r="C365" s="8">
        <f t="shared" si="3"/>
        <v>80.331603287207685</v>
      </c>
      <c r="D365" s="9">
        <f t="shared" si="2"/>
        <v>61.998223694081133</v>
      </c>
      <c r="E365" s="9"/>
      <c r="F365" s="9">
        <f ca="1">IFERROR(__xludf.DUMMYFUNCTION("""COMPUTED_VALUE"""),44942)</f>
        <v>44942</v>
      </c>
      <c r="G365" s="9" t="str">
        <f ca="1">IFERROR(__xludf.DUMMYFUNCTION("""COMPUTED_VALUE"""),"1 USD = 228.8622 PKR")</f>
        <v>1 USD = 228.8622 PKR</v>
      </c>
      <c r="H365" s="9" t="str">
        <f ca="1">IFERROR(__xludf.DUMMYFUNCTION("""COMPUTED_VALUE"""),"USD PKR rate for 16/01/2023")</f>
        <v>USD PKR rate for 16/01/2023</v>
      </c>
      <c r="I365" s="9"/>
    </row>
    <row r="366" spans="1:9" ht="14.25" customHeight="1" x14ac:dyDescent="0.3">
      <c r="A366" s="6">
        <v>39844</v>
      </c>
      <c r="B366" s="7">
        <v>78.866944000000004</v>
      </c>
      <c r="C366" s="8">
        <f t="shared" si="3"/>
        <v>80.778186160999425</v>
      </c>
      <c r="D366" s="9">
        <f t="shared" si="2"/>
        <v>62.083096510796366</v>
      </c>
      <c r="E366" s="9"/>
      <c r="F366" s="9">
        <f ca="1">IFERROR(__xludf.DUMMYFUNCTION("""COMPUTED_VALUE"""),44941)</f>
        <v>44941</v>
      </c>
      <c r="G366" s="9" t="str">
        <f ca="1">IFERROR(__xludf.DUMMYFUNCTION("""COMPUTED_VALUE"""),"1 USD = 228.2242 PKR")</f>
        <v>1 USD = 228.2242 PKR</v>
      </c>
      <c r="H366" s="9" t="str">
        <f ca="1">IFERROR(__xludf.DUMMYFUNCTION("""COMPUTED_VALUE"""),"USD PKR rate for 15/01/2023")</f>
        <v>USD PKR rate for 15/01/2023</v>
      </c>
      <c r="I366" s="9"/>
    </row>
    <row r="367" spans="1:9" ht="14.25" customHeight="1" x14ac:dyDescent="0.3">
      <c r="A367" s="6">
        <v>39872</v>
      </c>
      <c r="B367" s="7">
        <v>79.783056000000002</v>
      </c>
      <c r="C367" s="8">
        <f t="shared" si="3"/>
        <v>81.183684856658815</v>
      </c>
      <c r="D367" s="9">
        <f t="shared" si="2"/>
        <v>62.159755829119803</v>
      </c>
      <c r="E367" s="9"/>
      <c r="F367" s="9">
        <f ca="1">IFERROR(__xludf.DUMMYFUNCTION("""COMPUTED_VALUE"""),44940)</f>
        <v>44940</v>
      </c>
      <c r="G367" s="9" t="str">
        <f ca="1">IFERROR(__xludf.DUMMYFUNCTION("""COMPUTED_VALUE"""),"1 USD = 228.0302 PKR")</f>
        <v>1 USD = 228.0302 PKR</v>
      </c>
      <c r="H367" s="9" t="str">
        <f ca="1">IFERROR(__xludf.DUMMYFUNCTION("""COMPUTED_VALUE"""),"USD PKR rate for 14/01/2023")</f>
        <v>USD PKR rate for 14/01/2023</v>
      </c>
      <c r="I367" s="9"/>
    </row>
    <row r="368" spans="1:9" ht="14.25" customHeight="1" x14ac:dyDescent="0.3">
      <c r="A368" s="6">
        <v>39903</v>
      </c>
      <c r="B368" s="7">
        <v>80.320000000000007</v>
      </c>
      <c r="C368" s="8">
        <f t="shared" si="3"/>
        <v>81.635004658638451</v>
      </c>
      <c r="D368" s="9">
        <f t="shared" si="2"/>
        <v>62.244628645835043</v>
      </c>
      <c r="E368" s="9"/>
      <c r="F368" s="9">
        <f ca="1">IFERROR(__xludf.DUMMYFUNCTION("""COMPUTED_VALUE"""),44939)</f>
        <v>44939</v>
      </c>
      <c r="G368" s="9" t="str">
        <f ca="1">IFERROR(__xludf.DUMMYFUNCTION("""COMPUTED_VALUE"""),"1 USD = 228.9999 PKR")</f>
        <v>1 USD = 228.9999 PKR</v>
      </c>
      <c r="H368" s="9" t="str">
        <f ca="1">IFERROR(__xludf.DUMMYFUNCTION("""COMPUTED_VALUE"""),"USD PKR rate for 13/01/2023")</f>
        <v>USD PKR rate for 13/01/2023</v>
      </c>
      <c r="I368" s="9"/>
    </row>
    <row r="369" spans="1:9" ht="14.25" customHeight="1" x14ac:dyDescent="0.3">
      <c r="A369" s="6">
        <v>39933</v>
      </c>
      <c r="B369" s="7">
        <v>80.397082999999995</v>
      </c>
      <c r="C369" s="8">
        <f t="shared" si="3"/>
        <v>82.074154513379497</v>
      </c>
      <c r="D369" s="9">
        <f t="shared" si="2"/>
        <v>62.32676362975301</v>
      </c>
      <c r="E369" s="9"/>
      <c r="F369" s="9">
        <f ca="1">IFERROR(__xludf.DUMMYFUNCTION("""COMPUTED_VALUE"""),44938)</f>
        <v>44938</v>
      </c>
      <c r="G369" s="9" t="str">
        <f ca="1">IFERROR(__xludf.DUMMYFUNCTION("""COMPUTED_VALUE"""),"1 USD = 228.4271 PKR")</f>
        <v>1 USD = 228.4271 PKR</v>
      </c>
      <c r="H369" s="9" t="str">
        <f ca="1">IFERROR(__xludf.DUMMYFUNCTION("""COMPUTED_VALUE"""),"USD PKR rate for 12/01/2023")</f>
        <v>USD PKR rate for 12/01/2023</v>
      </c>
      <c r="I369" s="9"/>
    </row>
    <row r="370" spans="1:9" ht="14.25" customHeight="1" x14ac:dyDescent="0.3">
      <c r="A370" s="6">
        <v>39964</v>
      </c>
      <c r="B370" s="7">
        <v>80.855138999999994</v>
      </c>
      <c r="C370" s="8">
        <f t="shared" si="3"/>
        <v>82.530424652238395</v>
      </c>
      <c r="D370" s="9">
        <f t="shared" si="2"/>
        <v>62.411636446468243</v>
      </c>
      <c r="E370" s="9"/>
      <c r="F370" s="9">
        <f ca="1">IFERROR(__xludf.DUMMYFUNCTION("""COMPUTED_VALUE"""),44937)</f>
        <v>44937</v>
      </c>
      <c r="G370" s="9" t="str">
        <f ca="1">IFERROR(__xludf.DUMMYFUNCTION("""COMPUTED_VALUE"""),"1 USD = 228.6664 PKR")</f>
        <v>1 USD = 228.6664 PKR</v>
      </c>
      <c r="H370" s="9" t="str">
        <f ca="1">IFERROR(__xludf.DUMMYFUNCTION("""COMPUTED_VALUE"""),"USD PKR rate for 11/01/2023")</f>
        <v>USD PKR rate for 11/01/2023</v>
      </c>
      <c r="I370" s="9"/>
    </row>
    <row r="371" spans="1:9" ht="14.25" customHeight="1" x14ac:dyDescent="0.3">
      <c r="A371" s="6">
        <v>39994</v>
      </c>
      <c r="B371" s="7">
        <v>81.255139</v>
      </c>
      <c r="C371" s="8">
        <f t="shared" si="3"/>
        <v>82.974391356831688</v>
      </c>
      <c r="D371" s="9">
        <f t="shared" si="2"/>
        <v>62.493771430386218</v>
      </c>
      <c r="E371" s="9"/>
      <c r="F371" s="9">
        <f ca="1">IFERROR(__xludf.DUMMYFUNCTION("""COMPUTED_VALUE"""),44936)</f>
        <v>44936</v>
      </c>
      <c r="G371" s="9" t="str">
        <f ca="1">IFERROR(__xludf.DUMMYFUNCTION("""COMPUTED_VALUE"""),"1 USD = 228.603 PKR")</f>
        <v>1 USD = 228.603 PKR</v>
      </c>
      <c r="H371" s="9" t="str">
        <f ca="1">IFERROR(__xludf.DUMMYFUNCTION("""COMPUTED_VALUE"""),"USD PKR rate for 10/01/2023")</f>
        <v>USD PKR rate for 10/01/2023</v>
      </c>
      <c r="I371" s="9"/>
    </row>
    <row r="372" spans="1:9" ht="14.25" customHeight="1" x14ac:dyDescent="0.3">
      <c r="A372" s="6">
        <v>40025</v>
      </c>
      <c r="B372" s="7">
        <v>83.058194</v>
      </c>
      <c r="C372" s="8">
        <f t="shared" si="3"/>
        <v>83.435666130730723</v>
      </c>
      <c r="D372" s="9">
        <f t="shared" si="2"/>
        <v>62.578644247101451</v>
      </c>
      <c r="E372" s="9"/>
      <c r="F372" s="9">
        <f ca="1">IFERROR(__xludf.DUMMYFUNCTION("""COMPUTED_VALUE"""),44935)</f>
        <v>44935</v>
      </c>
      <c r="G372" s="9" t="str">
        <f ca="1">IFERROR(__xludf.DUMMYFUNCTION("""COMPUTED_VALUE"""),"1 USD = 227.8723 PKR")</f>
        <v>1 USD = 227.8723 PKR</v>
      </c>
      <c r="H372" s="9" t="str">
        <f ca="1">IFERROR(__xludf.DUMMYFUNCTION("""COMPUTED_VALUE"""),"USD PKR rate for 09/01/2023")</f>
        <v>USD PKR rate for 09/01/2023</v>
      </c>
      <c r="I372" s="9"/>
    </row>
    <row r="373" spans="1:9" ht="14.25" customHeight="1" x14ac:dyDescent="0.3">
      <c r="A373" s="6">
        <v>40056</v>
      </c>
      <c r="B373" s="7">
        <v>82.960138999999998</v>
      </c>
      <c r="C373" s="8">
        <f t="shared" si="3"/>
        <v>83.899505243018481</v>
      </c>
      <c r="D373" s="9">
        <f t="shared" si="2"/>
        <v>62.663517063816691</v>
      </c>
      <c r="E373" s="9"/>
      <c r="F373" s="9">
        <f ca="1">IFERROR(__xludf.DUMMYFUNCTION("""COMPUTED_VALUE"""),44934)</f>
        <v>44934</v>
      </c>
      <c r="G373" s="9" t="str">
        <f ca="1">IFERROR(__xludf.DUMMYFUNCTION("""COMPUTED_VALUE"""),"1 USD = 227.9259 PKR")</f>
        <v>1 USD = 227.9259 PKR</v>
      </c>
      <c r="H373" s="9" t="str">
        <f ca="1">IFERROR(__xludf.DUMMYFUNCTION("""COMPUTED_VALUE"""),"USD PKR rate for 08/01/2023")</f>
        <v>USD PKR rate for 08/01/2023</v>
      </c>
      <c r="I373" s="9"/>
    </row>
    <row r="374" spans="1:9" ht="14.25" customHeight="1" x14ac:dyDescent="0.3">
      <c r="A374" s="6">
        <v>40086</v>
      </c>
      <c r="B374" s="7">
        <v>83.095139000000017</v>
      </c>
      <c r="C374" s="8">
        <f t="shared" si="3"/>
        <v>84.350836821847807</v>
      </c>
      <c r="D374" s="9">
        <f t="shared" si="2"/>
        <v>62.745652047734659</v>
      </c>
      <c r="E374" s="9"/>
      <c r="F374" s="9">
        <f ca="1">IFERROR(__xludf.DUMMYFUNCTION("""COMPUTED_VALUE"""),44933)</f>
        <v>44933</v>
      </c>
      <c r="G374" s="9" t="str">
        <f ca="1">IFERROR(__xludf.DUMMYFUNCTION("""COMPUTED_VALUE"""),"1 USD = 227.2499 PKR")</f>
        <v>1 USD = 227.2499 PKR</v>
      </c>
      <c r="H374" s="9" t="str">
        <f ca="1">IFERROR(__xludf.DUMMYFUNCTION("""COMPUTED_VALUE"""),"USD PKR rate for 07/01/2023")</f>
        <v>USD PKR rate for 07/01/2023</v>
      </c>
      <c r="I374" s="9"/>
    </row>
    <row r="375" spans="1:9" ht="14.25" customHeight="1" x14ac:dyDescent="0.3">
      <c r="A375" s="6">
        <v>40092</v>
      </c>
      <c r="B375" s="7">
        <v>83.301900000000003</v>
      </c>
      <c r="C375" s="8">
        <f t="shared" si="3"/>
        <v>84.441394069515212</v>
      </c>
      <c r="D375" s="9">
        <f t="shared" si="2"/>
        <v>62.762079044518252</v>
      </c>
      <c r="E375" s="9"/>
      <c r="F375" s="9">
        <f ca="1">IFERROR(__xludf.DUMMYFUNCTION("""COMPUTED_VALUE"""),44932)</f>
        <v>44932</v>
      </c>
      <c r="G375" s="9" t="str">
        <f ca="1">IFERROR(__xludf.DUMMYFUNCTION("""COMPUTED_VALUE"""),"1 USD = 227.2499 PKR")</f>
        <v>1 USD = 227.2499 PKR</v>
      </c>
      <c r="H375" s="9" t="str">
        <f ca="1">IFERROR(__xludf.DUMMYFUNCTION("""COMPUTED_VALUE"""),"USD PKR rate for 06/01/2023")</f>
        <v>USD PKR rate for 06/01/2023</v>
      </c>
      <c r="I375" s="9"/>
    </row>
    <row r="376" spans="1:9" ht="14.25" customHeight="1" x14ac:dyDescent="0.3">
      <c r="A376" s="6">
        <v>40093</v>
      </c>
      <c r="B376" s="7">
        <v>83.240600000000001</v>
      </c>
      <c r="C376" s="8">
        <f t="shared" si="3"/>
        <v>84.456496393284382</v>
      </c>
      <c r="D376" s="9">
        <f t="shared" si="2"/>
        <v>62.764816877315518</v>
      </c>
      <c r="E376" s="9"/>
      <c r="F376" s="9">
        <f ca="1">IFERROR(__xludf.DUMMYFUNCTION("""COMPUTED_VALUE"""),44931)</f>
        <v>44931</v>
      </c>
      <c r="G376" s="9" t="str">
        <f ca="1">IFERROR(__xludf.DUMMYFUNCTION("""COMPUTED_VALUE"""),"1 USD = 227.1223 PKR")</f>
        <v>1 USD = 227.1223 PKR</v>
      </c>
      <c r="H376" s="9" t="str">
        <f ca="1">IFERROR(__xludf.DUMMYFUNCTION("""COMPUTED_VALUE"""),"USD PKR rate for 05/01/2023")</f>
        <v>USD PKR rate for 05/01/2023</v>
      </c>
      <c r="I376" s="9"/>
    </row>
    <row r="377" spans="1:9" ht="14.25" customHeight="1" x14ac:dyDescent="0.3">
      <c r="A377" s="6">
        <v>40094</v>
      </c>
      <c r="B377" s="7">
        <v>83.238699999999994</v>
      </c>
      <c r="C377" s="8">
        <f t="shared" si="3"/>
        <v>84.471601418100676</v>
      </c>
      <c r="D377" s="9">
        <f t="shared" si="2"/>
        <v>62.767554710112783</v>
      </c>
      <c r="E377" s="9"/>
      <c r="F377" s="9">
        <f ca="1">IFERROR(__xludf.DUMMYFUNCTION("""COMPUTED_VALUE"""),44930)</f>
        <v>44930</v>
      </c>
      <c r="G377" s="9" t="str">
        <f ca="1">IFERROR(__xludf.DUMMYFUNCTION("""COMPUTED_VALUE"""),"1 USD = 227.0124 PKR")</f>
        <v>1 USD = 227.0124 PKR</v>
      </c>
      <c r="H377" s="9" t="str">
        <f ca="1">IFERROR(__xludf.DUMMYFUNCTION("""COMPUTED_VALUE"""),"USD PKR rate for 04/01/2023")</f>
        <v>USD PKR rate for 04/01/2023</v>
      </c>
      <c r="I377" s="9"/>
    </row>
    <row r="378" spans="1:9" ht="14.25" customHeight="1" x14ac:dyDescent="0.3">
      <c r="A378" s="6">
        <v>40095</v>
      </c>
      <c r="B378" s="7">
        <v>83.307000000000002</v>
      </c>
      <c r="C378" s="8">
        <f t="shared" si="3"/>
        <v>84.486709144447133</v>
      </c>
      <c r="D378" s="9">
        <f t="shared" si="2"/>
        <v>62.770292542910049</v>
      </c>
      <c r="E378" s="9"/>
      <c r="F378" s="9">
        <f ca="1">IFERROR(__xludf.DUMMYFUNCTION("""COMPUTED_VALUE"""),44929)</f>
        <v>44929</v>
      </c>
      <c r="G378" s="9" t="str">
        <f ca="1">IFERROR(__xludf.DUMMYFUNCTION("""COMPUTED_VALUE"""),"1 USD = 226.9046 PKR")</f>
        <v>1 USD = 226.9046 PKR</v>
      </c>
      <c r="H378" s="9" t="str">
        <f ca="1">IFERROR(__xludf.DUMMYFUNCTION("""COMPUTED_VALUE"""),"USD PKR rate for 03/01/2023")</f>
        <v>USD PKR rate for 03/01/2023</v>
      </c>
      <c r="I378" s="9"/>
    </row>
    <row r="379" spans="1:9" ht="14.25" customHeight="1" x14ac:dyDescent="0.3">
      <c r="A379" s="6">
        <v>40096</v>
      </c>
      <c r="B379" s="7">
        <v>83.302700000000002</v>
      </c>
      <c r="C379" s="8">
        <f t="shared" si="3"/>
        <v>84.501819572806966</v>
      </c>
      <c r="D379" s="9">
        <f t="shared" si="2"/>
        <v>62.773030375707314</v>
      </c>
      <c r="E379" s="9"/>
      <c r="F379" s="9">
        <f ca="1">IFERROR(__xludf.DUMMYFUNCTION("""COMPUTED_VALUE"""),44928)</f>
        <v>44928</v>
      </c>
      <c r="G379" s="9" t="str">
        <f ca="1">IFERROR(__xludf.DUMMYFUNCTION("""COMPUTED_VALUE"""),"1 USD = 226.666 PKR")</f>
        <v>1 USD = 226.666 PKR</v>
      </c>
      <c r="H379" s="9" t="str">
        <f ca="1">IFERROR(__xludf.DUMMYFUNCTION("""COMPUTED_VALUE"""),"USD PKR rate for 02/01/2023")</f>
        <v>USD PKR rate for 02/01/2023</v>
      </c>
      <c r="I379" s="9"/>
    </row>
    <row r="380" spans="1:9" ht="14.25" customHeight="1" x14ac:dyDescent="0.3">
      <c r="A380" s="6">
        <v>40097</v>
      </c>
      <c r="B380" s="7">
        <v>83.297100000000015</v>
      </c>
      <c r="C380" s="8">
        <f t="shared" si="3"/>
        <v>84.516932703663329</v>
      </c>
      <c r="D380" s="9">
        <f t="shared" si="2"/>
        <v>62.77576820850458</v>
      </c>
      <c r="E380" s="9"/>
      <c r="F380" s="9">
        <f ca="1">IFERROR(__xludf.DUMMYFUNCTION("""COMPUTED_VALUE"""),44927)</f>
        <v>44927</v>
      </c>
      <c r="G380" s="9" t="str">
        <f ca="1">IFERROR(__xludf.DUMMYFUNCTION("""COMPUTED_VALUE"""),"1 USD = 226.5312 PKR")</f>
        <v>1 USD = 226.5312 PKR</v>
      </c>
      <c r="H380" s="9" t="str">
        <f ca="1">IFERROR(__xludf.DUMMYFUNCTION("""COMPUTED_VALUE"""),"USD PKR rate for 01/01/2023")</f>
        <v>USD PKR rate for 01/01/2023</v>
      </c>
      <c r="I380" s="9"/>
    </row>
    <row r="381" spans="1:9" ht="14.25" customHeight="1" x14ac:dyDescent="0.3">
      <c r="A381" s="6">
        <v>40098</v>
      </c>
      <c r="B381" s="7">
        <v>83.290500000000009</v>
      </c>
      <c r="C381" s="8">
        <f t="shared" si="3"/>
        <v>84.532048537499733</v>
      </c>
      <c r="D381" s="9">
        <f t="shared" si="2"/>
        <v>62.778506041301846</v>
      </c>
      <c r="E381" s="9"/>
      <c r="F381" s="9">
        <f ca="1">IFERROR(__xludf.DUMMYFUNCTION("""COMPUTED_VALUE"""),44926)</f>
        <v>44926</v>
      </c>
      <c r="G381" s="9" t="str">
        <f ca="1">IFERROR(__xludf.DUMMYFUNCTION("""COMPUTED_VALUE"""),"1 USD = 226.55 PKR")</f>
        <v>1 USD = 226.55 PKR</v>
      </c>
      <c r="H381" s="9" t="str">
        <f ca="1">IFERROR(__xludf.DUMMYFUNCTION("""COMPUTED_VALUE"""),"USD PKR rate for 31/12/2022")</f>
        <v>USD PKR rate for 31/12/2022</v>
      </c>
      <c r="I381" s="9"/>
    </row>
    <row r="382" spans="1:9" ht="14.25" customHeight="1" x14ac:dyDescent="0.3">
      <c r="A382" s="6">
        <v>40099</v>
      </c>
      <c r="B382" s="7">
        <v>83.319599999999994</v>
      </c>
      <c r="C382" s="8">
        <f t="shared" si="3"/>
        <v>84.547167074799503</v>
      </c>
      <c r="D382" s="9">
        <f t="shared" si="2"/>
        <v>62.781243874099111</v>
      </c>
      <c r="E382" s="9"/>
      <c r="F382" s="9">
        <f ca="1">IFERROR(__xludf.DUMMYFUNCTION("""COMPUTED_VALUE"""),44925)</f>
        <v>44925</v>
      </c>
      <c r="G382" s="9" t="str">
        <f ca="1">IFERROR(__xludf.DUMMYFUNCTION("""COMPUTED_VALUE"""),"1 USD = 226.55 PKR")</f>
        <v>1 USD = 226.55 PKR</v>
      </c>
      <c r="H382" s="9" t="str">
        <f ca="1">IFERROR(__xludf.DUMMYFUNCTION("""COMPUTED_VALUE"""),"USD PKR rate for 30/12/2022")</f>
        <v>USD PKR rate for 30/12/2022</v>
      </c>
      <c r="I382" s="9"/>
    </row>
    <row r="383" spans="1:9" ht="14.25" customHeight="1" x14ac:dyDescent="0.3">
      <c r="A383" s="6">
        <v>40100</v>
      </c>
      <c r="B383" s="7">
        <v>83.280799999999999</v>
      </c>
      <c r="C383" s="8">
        <f t="shared" si="3"/>
        <v>84.562288316046164</v>
      </c>
      <c r="D383" s="9">
        <f t="shared" si="2"/>
        <v>62.783981706896377</v>
      </c>
      <c r="E383" s="9"/>
      <c r="F383" s="9">
        <f ca="1">IFERROR(__xludf.DUMMYFUNCTION("""COMPUTED_VALUE"""),44924)</f>
        <v>44924</v>
      </c>
      <c r="G383" s="9" t="str">
        <f ca="1">IFERROR(__xludf.DUMMYFUNCTION("""COMPUTED_VALUE"""),"1 USD = 226.5874 PKR")</f>
        <v>1 USD = 226.5874 PKR</v>
      </c>
      <c r="H383" s="9" t="str">
        <f ca="1">IFERROR(__xludf.DUMMYFUNCTION("""COMPUTED_VALUE"""),"USD PKR rate for 29/12/2022")</f>
        <v>USD PKR rate for 29/12/2022</v>
      </c>
      <c r="I383" s="9"/>
    </row>
    <row r="384" spans="1:9" ht="14.25" customHeight="1" x14ac:dyDescent="0.3">
      <c r="A384" s="6">
        <v>40101</v>
      </c>
      <c r="B384" s="7">
        <v>83.195700000000002</v>
      </c>
      <c r="C384" s="8">
        <f t="shared" si="3"/>
        <v>84.577412261723325</v>
      </c>
      <c r="D384" s="9">
        <f t="shared" si="2"/>
        <v>62.786719539693642</v>
      </c>
      <c r="E384" s="9"/>
      <c r="F384" s="9">
        <f ca="1">IFERROR(__xludf.DUMMYFUNCTION("""COMPUTED_VALUE"""),44923)</f>
        <v>44923</v>
      </c>
      <c r="G384" s="9" t="str">
        <f ca="1">IFERROR(__xludf.DUMMYFUNCTION("""COMPUTED_VALUE"""),"1 USD = 226.6936 PKR")</f>
        <v>1 USD = 226.6936 PKR</v>
      </c>
      <c r="H384" s="9" t="str">
        <f ca="1">IFERROR(__xludf.DUMMYFUNCTION("""COMPUTED_VALUE"""),"USD PKR rate for 28/12/2022")</f>
        <v>USD PKR rate for 28/12/2022</v>
      </c>
      <c r="I384" s="9"/>
    </row>
    <row r="385" spans="1:9" ht="14.25" customHeight="1" x14ac:dyDescent="0.3">
      <c r="A385" s="6">
        <v>40102</v>
      </c>
      <c r="B385" s="7">
        <v>83.164599999999993</v>
      </c>
      <c r="C385" s="8">
        <f t="shared" si="3"/>
        <v>84.59253891231468</v>
      </c>
      <c r="D385" s="9">
        <f t="shared" si="2"/>
        <v>62.789457372490908</v>
      </c>
      <c r="E385" s="9"/>
      <c r="F385" s="9">
        <f ca="1">IFERROR(__xludf.DUMMYFUNCTION("""COMPUTED_VALUE"""),44922)</f>
        <v>44922</v>
      </c>
      <c r="G385" s="9" t="str">
        <f ca="1">IFERROR(__xludf.DUMMYFUNCTION("""COMPUTED_VALUE"""),"1 USD = 226.4635 PKR")</f>
        <v>1 USD = 226.4635 PKR</v>
      </c>
      <c r="H385" s="9" t="str">
        <f ca="1">IFERROR(__xludf.DUMMYFUNCTION("""COMPUTED_VALUE"""),"USD PKR rate for 27/12/2022")</f>
        <v>USD PKR rate for 27/12/2022</v>
      </c>
      <c r="I385" s="9"/>
    </row>
    <row r="386" spans="1:9" ht="14.25" customHeight="1" x14ac:dyDescent="0.3">
      <c r="A386" s="6">
        <v>40103</v>
      </c>
      <c r="B386" s="7">
        <v>83.176900000000003</v>
      </c>
      <c r="C386" s="8">
        <f t="shared" si="3"/>
        <v>84.607668268303982</v>
      </c>
      <c r="D386" s="9">
        <f t="shared" si="2"/>
        <v>62.792195205288174</v>
      </c>
      <c r="E386" s="9"/>
      <c r="F386" s="9">
        <f ca="1">IFERROR(__xludf.DUMMYFUNCTION("""COMPUTED_VALUE"""),44921)</f>
        <v>44921</v>
      </c>
      <c r="G386" s="9" t="str">
        <f ca="1">IFERROR(__xludf.DUMMYFUNCTION("""COMPUTED_VALUE"""),"1 USD = 226.1819 PKR")</f>
        <v>1 USD = 226.1819 PKR</v>
      </c>
      <c r="H386" s="9" t="str">
        <f ca="1">IFERROR(__xludf.DUMMYFUNCTION("""COMPUTED_VALUE"""),"USD PKR rate for 26/12/2022")</f>
        <v>USD PKR rate for 26/12/2022</v>
      </c>
      <c r="I386" s="9"/>
    </row>
    <row r="387" spans="1:9" ht="14.25" customHeight="1" x14ac:dyDescent="0.3">
      <c r="A387" s="6">
        <v>40104</v>
      </c>
      <c r="B387" s="7">
        <v>83.18780000000001</v>
      </c>
      <c r="C387" s="8">
        <f t="shared" si="3"/>
        <v>84.622800330175082</v>
      </c>
      <c r="D387" s="9">
        <f t="shared" si="2"/>
        <v>62.794933038085439</v>
      </c>
      <c r="E387" s="9"/>
      <c r="F387" s="9">
        <f ca="1">IFERROR(__xludf.DUMMYFUNCTION("""COMPUTED_VALUE"""),44920)</f>
        <v>44920</v>
      </c>
      <c r="G387" s="9" t="str">
        <f ca="1">IFERROR(__xludf.DUMMYFUNCTION("""COMPUTED_VALUE"""),"1 USD = 226.0078 PKR")</f>
        <v>1 USD = 226.0078 PKR</v>
      </c>
      <c r="H387" s="9" t="str">
        <f ca="1">IFERROR(__xludf.DUMMYFUNCTION("""COMPUTED_VALUE"""),"USD PKR rate for 25/12/2022")</f>
        <v>USD PKR rate for 25/12/2022</v>
      </c>
      <c r="I387" s="9"/>
    </row>
    <row r="388" spans="1:9" ht="14.25" customHeight="1" x14ac:dyDescent="0.3">
      <c r="A388" s="6">
        <v>40105</v>
      </c>
      <c r="B388" s="7">
        <v>83.241799999999998</v>
      </c>
      <c r="C388" s="8">
        <f t="shared" si="3"/>
        <v>84.637935098411958</v>
      </c>
      <c r="D388" s="9">
        <f t="shared" si="2"/>
        <v>62.797670870882705</v>
      </c>
      <c r="E388" s="9"/>
      <c r="F388" s="9">
        <f ca="1">IFERROR(__xludf.DUMMYFUNCTION("""COMPUTED_VALUE"""),44919)</f>
        <v>44919</v>
      </c>
      <c r="G388" s="9" t="str">
        <f ca="1">IFERROR(__xludf.DUMMYFUNCTION("""COMPUTED_VALUE"""),"1 USD = 225.5 PKR")</f>
        <v>1 USD = 225.5 PKR</v>
      </c>
      <c r="H388" s="9" t="str">
        <f ca="1">IFERROR(__xludf.DUMMYFUNCTION("""COMPUTED_VALUE"""),"USD PKR rate for 24/12/2022")</f>
        <v>USD PKR rate for 24/12/2022</v>
      </c>
      <c r="I388" s="9"/>
    </row>
    <row r="389" spans="1:9" ht="14.25" customHeight="1" x14ac:dyDescent="0.3">
      <c r="A389" s="6">
        <v>40106</v>
      </c>
      <c r="B389" s="7">
        <v>83.340800000000002</v>
      </c>
      <c r="C389" s="8">
        <f t="shared" si="3"/>
        <v>84.653072573498548</v>
      </c>
      <c r="D389" s="9">
        <f t="shared" si="2"/>
        <v>62.80040870367997</v>
      </c>
      <c r="E389" s="9"/>
      <c r="F389" s="9">
        <f ca="1">IFERROR(__xludf.DUMMYFUNCTION("""COMPUTED_VALUE"""),44918)</f>
        <v>44918</v>
      </c>
      <c r="G389" s="9" t="str">
        <f ca="1">IFERROR(__xludf.DUMMYFUNCTION("""COMPUTED_VALUE"""),"1 USD = 225.5 PKR")</f>
        <v>1 USD = 225.5 PKR</v>
      </c>
      <c r="H389" s="9" t="str">
        <f ca="1">IFERROR(__xludf.DUMMYFUNCTION("""COMPUTED_VALUE"""),"USD PKR rate for 23/12/2022")</f>
        <v>USD PKR rate for 23/12/2022</v>
      </c>
      <c r="I389" s="9"/>
    </row>
    <row r="390" spans="1:9" ht="14.25" customHeight="1" x14ac:dyDescent="0.3">
      <c r="A390" s="6">
        <v>40107</v>
      </c>
      <c r="B390" s="7">
        <v>83.278000000000006</v>
      </c>
      <c r="C390" s="8">
        <f t="shared" si="3"/>
        <v>84.668212755919129</v>
      </c>
      <c r="D390" s="9">
        <f t="shared" si="2"/>
        <v>62.803146536477236</v>
      </c>
      <c r="E390" s="9"/>
      <c r="F390" s="9">
        <f ca="1">IFERROR(__xludf.DUMMYFUNCTION("""COMPUTED_VALUE"""),44917)</f>
        <v>44917</v>
      </c>
      <c r="G390" s="9" t="str">
        <f ca="1">IFERROR(__xludf.DUMMYFUNCTION("""COMPUTED_VALUE"""),"1 USD = 225.9739 PKR")</f>
        <v>1 USD = 225.9739 PKR</v>
      </c>
      <c r="H390" s="9" t="str">
        <f ca="1">IFERROR(__xludf.DUMMYFUNCTION("""COMPUTED_VALUE"""),"USD PKR rate for 22/12/2022")</f>
        <v>USD PKR rate for 22/12/2022</v>
      </c>
      <c r="I390" s="9"/>
    </row>
    <row r="391" spans="1:9" ht="14.25" customHeight="1" x14ac:dyDescent="0.3">
      <c r="A391" s="6">
        <v>40108</v>
      </c>
      <c r="B391" s="7">
        <v>83.288200000000003</v>
      </c>
      <c r="C391" s="8">
        <f t="shared" si="3"/>
        <v>84.683355646157821</v>
      </c>
      <c r="D391" s="9">
        <f t="shared" si="2"/>
        <v>62.805884369274501</v>
      </c>
      <c r="E391" s="9"/>
      <c r="F391" s="9">
        <f ca="1">IFERROR(__xludf.DUMMYFUNCTION("""COMPUTED_VALUE"""),44916)</f>
        <v>44916</v>
      </c>
      <c r="G391" s="9" t="str">
        <f ca="1">IFERROR(__xludf.DUMMYFUNCTION("""COMPUTED_VALUE"""),"1 USD = 225.9473 PKR")</f>
        <v>1 USD = 225.9473 PKR</v>
      </c>
      <c r="H391" s="9" t="str">
        <f ca="1">IFERROR(__xludf.DUMMYFUNCTION("""COMPUTED_VALUE"""),"USD PKR rate for 21/12/2022")</f>
        <v>USD PKR rate for 21/12/2022</v>
      </c>
      <c r="I391" s="9"/>
    </row>
    <row r="392" spans="1:9" ht="14.25" customHeight="1" x14ac:dyDescent="0.3">
      <c r="A392" s="6">
        <v>40109</v>
      </c>
      <c r="B392" s="7">
        <v>83.277799999999999</v>
      </c>
      <c r="C392" s="8">
        <f t="shared" si="3"/>
        <v>84.698501244698932</v>
      </c>
      <c r="D392" s="9">
        <f t="shared" si="2"/>
        <v>62.808622202071767</v>
      </c>
      <c r="E392" s="9"/>
      <c r="F392" s="9">
        <f ca="1">IFERROR(__xludf.DUMMYFUNCTION("""COMPUTED_VALUE"""),44915)</f>
        <v>44915</v>
      </c>
      <c r="G392" s="9" t="str">
        <f ca="1">IFERROR(__xludf.DUMMYFUNCTION("""COMPUTED_VALUE"""),"1 USD = 225.139 PKR")</f>
        <v>1 USD = 225.139 PKR</v>
      </c>
      <c r="H392" s="9" t="str">
        <f ca="1">IFERROR(__xludf.DUMMYFUNCTION("""COMPUTED_VALUE"""),"USD PKR rate for 20/12/2022")</f>
        <v>USD PKR rate for 20/12/2022</v>
      </c>
      <c r="I392" s="9"/>
    </row>
    <row r="393" spans="1:9" ht="14.25" customHeight="1" x14ac:dyDescent="0.3">
      <c r="A393" s="6">
        <v>40110</v>
      </c>
      <c r="B393" s="7">
        <v>83.3018</v>
      </c>
      <c r="C393" s="8">
        <f t="shared" si="3"/>
        <v>84.713649552026837</v>
      </c>
      <c r="D393" s="9">
        <f t="shared" si="2"/>
        <v>62.811360034869033</v>
      </c>
      <c r="E393" s="9"/>
      <c r="F393" s="9">
        <f ca="1">IFERROR(__xludf.DUMMYFUNCTION("""COMPUTED_VALUE"""),44914)</f>
        <v>44914</v>
      </c>
      <c r="G393" s="9" t="str">
        <f ca="1">IFERROR(__xludf.DUMMYFUNCTION("""COMPUTED_VALUE"""),"1 USD = 225.1676 PKR")</f>
        <v>1 USD = 225.1676 PKR</v>
      </c>
      <c r="H393" s="9" t="str">
        <f ca="1">IFERROR(__xludf.DUMMYFUNCTION("""COMPUTED_VALUE"""),"USD PKR rate for 19/12/2022")</f>
        <v>USD PKR rate for 19/12/2022</v>
      </c>
      <c r="I393" s="9"/>
    </row>
    <row r="394" spans="1:9" ht="14.25" customHeight="1" x14ac:dyDescent="0.3">
      <c r="A394" s="6">
        <v>40111</v>
      </c>
      <c r="B394" s="7">
        <v>83.248099999999994</v>
      </c>
      <c r="C394" s="8">
        <f t="shared" si="3"/>
        <v>84.728800568625985</v>
      </c>
      <c r="D394" s="9">
        <f t="shared" si="2"/>
        <v>62.814097867666298</v>
      </c>
      <c r="E394" s="9"/>
      <c r="F394" s="9">
        <f ca="1">IFERROR(__xludf.DUMMYFUNCTION("""COMPUTED_VALUE"""),44913)</f>
        <v>44913</v>
      </c>
      <c r="G394" s="9" t="str">
        <f ca="1">IFERROR(__xludf.DUMMYFUNCTION("""COMPUTED_VALUE"""),"1 USD = 225.6808 PKR")</f>
        <v>1 USD = 225.6808 PKR</v>
      </c>
      <c r="H394" s="9" t="str">
        <f ca="1">IFERROR(__xludf.DUMMYFUNCTION("""COMPUTED_VALUE"""),"USD PKR rate for 18/12/2022")</f>
        <v>USD PKR rate for 18/12/2022</v>
      </c>
      <c r="I394" s="9"/>
    </row>
    <row r="395" spans="1:9" ht="14.25" customHeight="1" x14ac:dyDescent="0.3">
      <c r="A395" s="6">
        <v>40112</v>
      </c>
      <c r="B395" s="7">
        <v>83.323400000000007</v>
      </c>
      <c r="C395" s="8">
        <f t="shared" si="3"/>
        <v>84.743954294980952</v>
      </c>
      <c r="D395" s="9">
        <f t="shared" si="2"/>
        <v>62.816835700463564</v>
      </c>
      <c r="E395" s="9"/>
      <c r="F395" s="9">
        <f ca="1">IFERROR(__xludf.DUMMYFUNCTION("""COMPUTED_VALUE"""),44912)</f>
        <v>44912</v>
      </c>
      <c r="G395" s="9" t="str">
        <f ca="1">IFERROR(__xludf.DUMMYFUNCTION("""COMPUTED_VALUE"""),"1 USD = 225.6345 PKR")</f>
        <v>1 USD = 225.6345 PKR</v>
      </c>
      <c r="H395" s="9" t="str">
        <f ca="1">IFERROR(__xludf.DUMMYFUNCTION("""COMPUTED_VALUE"""),"USD PKR rate for 17/12/2022")</f>
        <v>USD PKR rate for 17/12/2022</v>
      </c>
      <c r="I395" s="9"/>
    </row>
    <row r="396" spans="1:9" ht="14.25" customHeight="1" x14ac:dyDescent="0.3">
      <c r="A396" s="6">
        <v>40113</v>
      </c>
      <c r="B396" s="7">
        <v>83.283300000000011</v>
      </c>
      <c r="C396" s="8">
        <f t="shared" si="3"/>
        <v>84.759110731576357</v>
      </c>
      <c r="D396" s="9">
        <f t="shared" si="2"/>
        <v>62.819573533260829</v>
      </c>
      <c r="E396" s="9"/>
      <c r="F396" s="9">
        <f ca="1">IFERROR(__xludf.DUMMYFUNCTION("""COMPUTED_VALUE"""),44911)</f>
        <v>44911</v>
      </c>
      <c r="G396" s="9" t="str">
        <f ca="1">IFERROR(__xludf.DUMMYFUNCTION("""COMPUTED_VALUE"""),"1 USD = 225.05 PKR")</f>
        <v>1 USD = 225.05 PKR</v>
      </c>
      <c r="H396" s="9" t="str">
        <f ca="1">IFERROR(__xludf.DUMMYFUNCTION("""COMPUTED_VALUE"""),"USD PKR rate for 16/12/2022")</f>
        <v>USD PKR rate for 16/12/2022</v>
      </c>
      <c r="I396" s="9"/>
    </row>
    <row r="397" spans="1:9" ht="14.25" customHeight="1" x14ac:dyDescent="0.3">
      <c r="A397" s="6">
        <v>40114</v>
      </c>
      <c r="B397" s="7">
        <v>83.350099999999998</v>
      </c>
      <c r="C397" s="8">
        <f t="shared" si="3"/>
        <v>84.774269878896945</v>
      </c>
      <c r="D397" s="9">
        <f t="shared" si="2"/>
        <v>62.822311366058095</v>
      </c>
      <c r="E397" s="9"/>
      <c r="F397" s="9">
        <f ca="1">IFERROR(__xludf.DUMMYFUNCTION("""COMPUTED_VALUE"""),44910)</f>
        <v>44910</v>
      </c>
      <c r="G397" s="9" t="str">
        <f ca="1">IFERROR(__xludf.DUMMYFUNCTION("""COMPUTED_VALUE"""),"1 USD = 225.0067 PKR")</f>
        <v>1 USD = 225.0067 PKR</v>
      </c>
      <c r="H397" s="9" t="str">
        <f ca="1">IFERROR(__xludf.DUMMYFUNCTION("""COMPUTED_VALUE"""),"USD PKR rate for 15/12/2022")</f>
        <v>USD PKR rate for 15/12/2022</v>
      </c>
      <c r="I397" s="9"/>
    </row>
    <row r="398" spans="1:9" ht="14.25" customHeight="1" x14ac:dyDescent="0.3">
      <c r="A398" s="6">
        <v>40115</v>
      </c>
      <c r="B398" s="7">
        <v>83.452200000000019</v>
      </c>
      <c r="C398" s="8">
        <f t="shared" si="3"/>
        <v>84.789431737427449</v>
      </c>
      <c r="D398" s="9">
        <f t="shared" si="2"/>
        <v>62.825049198855361</v>
      </c>
      <c r="E398" s="9"/>
      <c r="F398" s="9">
        <f ca="1">IFERROR(__xludf.DUMMYFUNCTION("""COMPUTED_VALUE"""),44909)</f>
        <v>44909</v>
      </c>
      <c r="G398" s="9" t="str">
        <f ca="1">IFERROR(__xludf.DUMMYFUNCTION("""COMPUTED_VALUE"""),"1 USD = 224.8654 PKR")</f>
        <v>1 USD = 224.8654 PKR</v>
      </c>
      <c r="H398" s="9" t="str">
        <f ca="1">IFERROR(__xludf.DUMMYFUNCTION("""COMPUTED_VALUE"""),"USD PKR rate for 14/12/2022")</f>
        <v>USD PKR rate for 14/12/2022</v>
      </c>
      <c r="I398" s="9"/>
    </row>
    <row r="399" spans="1:9" ht="14.25" customHeight="1" x14ac:dyDescent="0.3">
      <c r="A399" s="6">
        <v>40116</v>
      </c>
      <c r="B399" s="7">
        <v>83.451000000000008</v>
      </c>
      <c r="C399" s="8">
        <f t="shared" si="3"/>
        <v>84.804596307652901</v>
      </c>
      <c r="D399" s="9">
        <f t="shared" si="2"/>
        <v>62.827787031652626</v>
      </c>
      <c r="E399" s="9"/>
      <c r="F399" s="9">
        <f ca="1">IFERROR(__xludf.DUMMYFUNCTION("""COMPUTED_VALUE"""),44908)</f>
        <v>44908</v>
      </c>
      <c r="G399" s="9" t="str">
        <f ca="1">IFERROR(__xludf.DUMMYFUNCTION("""COMPUTED_VALUE"""),"1 USD = 224.9613 PKR")</f>
        <v>1 USD = 224.9613 PKR</v>
      </c>
      <c r="H399" s="9" t="str">
        <f ca="1">IFERROR(__xludf.DUMMYFUNCTION("""COMPUTED_VALUE"""),"USD PKR rate for 13/12/2022")</f>
        <v>USD PKR rate for 13/12/2022</v>
      </c>
      <c r="I399" s="9"/>
    </row>
    <row r="400" spans="1:9" ht="14.25" customHeight="1" x14ac:dyDescent="0.3">
      <c r="A400" s="6">
        <v>40117</v>
      </c>
      <c r="B400" s="7">
        <v>83.630899999999997</v>
      </c>
      <c r="C400" s="8">
        <f t="shared" si="3"/>
        <v>84.819763590058244</v>
      </c>
      <c r="D400" s="9">
        <f t="shared" si="2"/>
        <v>62.830524864449892</v>
      </c>
      <c r="E400" s="9"/>
      <c r="F400" s="9">
        <f ca="1">IFERROR(__xludf.DUMMYFUNCTION("""COMPUTED_VALUE"""),44907)</f>
        <v>44907</v>
      </c>
      <c r="G400" s="9" t="str">
        <f ca="1">IFERROR(__xludf.DUMMYFUNCTION("""COMPUTED_VALUE"""),"1 USD = 224.7478 PKR")</f>
        <v>1 USD = 224.7478 PKR</v>
      </c>
      <c r="H400" s="9" t="str">
        <f ca="1">IFERROR(__xludf.DUMMYFUNCTION("""COMPUTED_VALUE"""),"USD PKR rate for 12/12/2022")</f>
        <v>USD PKR rate for 12/12/2022</v>
      </c>
      <c r="I400" s="9"/>
    </row>
    <row r="401" spans="1:9" ht="14.25" customHeight="1" x14ac:dyDescent="0.3">
      <c r="A401" s="6">
        <v>40118</v>
      </c>
      <c r="B401" s="7">
        <v>83.66070000000002</v>
      </c>
      <c r="C401" s="8">
        <f t="shared" si="3"/>
        <v>84.834933585128525</v>
      </c>
      <c r="D401" s="9">
        <f t="shared" si="2"/>
        <v>62.833262697247157</v>
      </c>
      <c r="E401" s="9"/>
      <c r="F401" s="9">
        <f ca="1">IFERROR(__xludf.DUMMYFUNCTION("""COMPUTED_VALUE"""),44906)</f>
        <v>44906</v>
      </c>
      <c r="G401" s="9" t="str">
        <f ca="1">IFERROR(__xludf.DUMMYFUNCTION("""COMPUTED_VALUE"""),"1 USD = 224.8729 PKR")</f>
        <v>1 USD = 224.8729 PKR</v>
      </c>
      <c r="H401" s="9" t="str">
        <f ca="1">IFERROR(__xludf.DUMMYFUNCTION("""COMPUTED_VALUE"""),"USD PKR rate for 11/12/2022")</f>
        <v>USD PKR rate for 11/12/2022</v>
      </c>
      <c r="I401" s="9"/>
    </row>
    <row r="402" spans="1:9" ht="14.25" customHeight="1" x14ac:dyDescent="0.3">
      <c r="A402" s="6">
        <v>40119</v>
      </c>
      <c r="B402" s="7">
        <v>83.685500000000005</v>
      </c>
      <c r="C402" s="8">
        <f t="shared" si="3"/>
        <v>84.850106293348901</v>
      </c>
      <c r="D402" s="9">
        <f t="shared" si="2"/>
        <v>62.836000530044423</v>
      </c>
      <c r="E402" s="9"/>
      <c r="F402" s="9">
        <f ca="1">IFERROR(__xludf.DUMMYFUNCTION("""COMPUTED_VALUE"""),44905)</f>
        <v>44905</v>
      </c>
      <c r="G402" s="9" t="str">
        <f ca="1">IFERROR(__xludf.DUMMYFUNCTION("""COMPUTED_VALUE"""),"1 USD = 224.8474 PKR")</f>
        <v>1 USD = 224.8474 PKR</v>
      </c>
      <c r="H402" s="9" t="str">
        <f ca="1">IFERROR(__xludf.DUMMYFUNCTION("""COMPUTED_VALUE"""),"USD PKR rate for 10/12/2022")</f>
        <v>USD PKR rate for 10/12/2022</v>
      </c>
      <c r="I402" s="9"/>
    </row>
    <row r="403" spans="1:9" ht="14.25" customHeight="1" x14ac:dyDescent="0.3">
      <c r="A403" s="6">
        <v>40120</v>
      </c>
      <c r="B403" s="7">
        <v>83.673900000000017</v>
      </c>
      <c r="C403" s="8">
        <f t="shared" si="3"/>
        <v>84.865281715204631</v>
      </c>
      <c r="D403" s="9">
        <f t="shared" si="2"/>
        <v>62.838738362841688</v>
      </c>
      <c r="E403" s="9"/>
      <c r="F403" s="9">
        <f ca="1">IFERROR(__xludf.DUMMYFUNCTION("""COMPUTED_VALUE"""),44904)</f>
        <v>44904</v>
      </c>
      <c r="G403" s="9" t="str">
        <f ca="1">IFERROR(__xludf.DUMMYFUNCTION("""COMPUTED_VALUE"""),"1 USD = 224.7557 PKR")</f>
        <v>1 USD = 224.7557 PKR</v>
      </c>
      <c r="H403" s="9" t="str">
        <f ca="1">IFERROR(__xludf.DUMMYFUNCTION("""COMPUTED_VALUE"""),"USD PKR rate for 09/12/2022")</f>
        <v>USD PKR rate for 09/12/2022</v>
      </c>
      <c r="I403" s="9"/>
    </row>
    <row r="404" spans="1:9" ht="14.25" customHeight="1" x14ac:dyDescent="0.3">
      <c r="A404" s="6">
        <v>40121</v>
      </c>
      <c r="B404" s="7">
        <v>83.680400000000006</v>
      </c>
      <c r="C404" s="8">
        <f t="shared" si="3"/>
        <v>84.880459851181058</v>
      </c>
      <c r="D404" s="9">
        <f t="shared" si="2"/>
        <v>62.841476195638954</v>
      </c>
      <c r="E404" s="9"/>
      <c r="F404" s="9">
        <f ca="1">IFERROR(__xludf.DUMMYFUNCTION("""COMPUTED_VALUE"""),44903)</f>
        <v>44903</v>
      </c>
      <c r="G404" s="9" t="str">
        <f ca="1">IFERROR(__xludf.DUMMYFUNCTION("""COMPUTED_VALUE"""),"1 USD = 224.6396 PKR")</f>
        <v>1 USD = 224.6396 PKR</v>
      </c>
      <c r="H404" s="9" t="str">
        <f ca="1">IFERROR(__xludf.DUMMYFUNCTION("""COMPUTED_VALUE"""),"USD PKR rate for 08/12/2022")</f>
        <v>USD PKR rate for 08/12/2022</v>
      </c>
      <c r="I404" s="9"/>
    </row>
    <row r="405" spans="1:9" ht="14.25" customHeight="1" x14ac:dyDescent="0.3">
      <c r="A405" s="6">
        <v>40122</v>
      </c>
      <c r="B405" s="7">
        <v>83.585999999999999</v>
      </c>
      <c r="C405" s="8">
        <f t="shared" si="3"/>
        <v>84.895640701763568</v>
      </c>
      <c r="D405" s="9">
        <f t="shared" si="2"/>
        <v>62.84421402843622</v>
      </c>
      <c r="E405" s="9"/>
      <c r="F405" s="9">
        <f ca="1">IFERROR(__xludf.DUMMYFUNCTION("""COMPUTED_VALUE"""),44902)</f>
        <v>44902</v>
      </c>
      <c r="G405" s="9" t="str">
        <f ca="1">IFERROR(__xludf.DUMMYFUNCTION("""COMPUTED_VALUE"""),"1 USD = 224.5766 PKR")</f>
        <v>1 USD = 224.5766 PKR</v>
      </c>
      <c r="H405" s="9" t="str">
        <f ca="1">IFERROR(__xludf.DUMMYFUNCTION("""COMPUTED_VALUE"""),"USD PKR rate for 07/12/2022")</f>
        <v>USD PKR rate for 07/12/2022</v>
      </c>
      <c r="I405" s="9"/>
    </row>
    <row r="406" spans="1:9" ht="14.25" customHeight="1" x14ac:dyDescent="0.3">
      <c r="A406" s="6">
        <v>40123</v>
      </c>
      <c r="B406" s="7">
        <v>83.635500000000008</v>
      </c>
      <c r="C406" s="8">
        <f t="shared" si="3"/>
        <v>84.910824267437704</v>
      </c>
      <c r="D406" s="9">
        <f t="shared" si="2"/>
        <v>62.846951861233485</v>
      </c>
      <c r="E406" s="9"/>
      <c r="F406" s="9">
        <f ca="1">IFERROR(__xludf.DUMMYFUNCTION("""COMPUTED_VALUE"""),44901)</f>
        <v>44901</v>
      </c>
      <c r="G406" s="9" t="str">
        <f ca="1">IFERROR(__xludf.DUMMYFUNCTION("""COMPUTED_VALUE"""),"1 USD = 224.3649 PKR")</f>
        <v>1 USD = 224.3649 PKR</v>
      </c>
      <c r="H406" s="9" t="str">
        <f ca="1">IFERROR(__xludf.DUMMYFUNCTION("""COMPUTED_VALUE"""),"USD PKR rate for 06/12/2022")</f>
        <v>USD PKR rate for 06/12/2022</v>
      </c>
      <c r="I406" s="9"/>
    </row>
    <row r="407" spans="1:9" ht="14.25" customHeight="1" x14ac:dyDescent="0.3">
      <c r="A407" s="6">
        <v>40124</v>
      </c>
      <c r="B407" s="7">
        <v>83.592600000000004</v>
      </c>
      <c r="C407" s="8">
        <f t="shared" si="3"/>
        <v>84.926010548688964</v>
      </c>
      <c r="D407" s="9">
        <f t="shared" si="2"/>
        <v>62.849689694030751</v>
      </c>
      <c r="E407" s="9"/>
      <c r="F407" s="9">
        <f ca="1">IFERROR(__xludf.DUMMYFUNCTION("""COMPUTED_VALUE"""),44900)</f>
        <v>44900</v>
      </c>
      <c r="G407" s="9" t="str">
        <f ca="1">IFERROR(__xludf.DUMMYFUNCTION("""COMPUTED_VALUE"""),"1 USD = 224.4788 PKR")</f>
        <v>1 USD = 224.4788 PKR</v>
      </c>
      <c r="H407" s="9" t="str">
        <f ca="1">IFERROR(__xludf.DUMMYFUNCTION("""COMPUTED_VALUE"""),"USD PKR rate for 05/12/2022")</f>
        <v>USD PKR rate for 05/12/2022</v>
      </c>
      <c r="I407" s="9"/>
    </row>
    <row r="408" spans="1:9" ht="14.25" customHeight="1" x14ac:dyDescent="0.3">
      <c r="A408" s="6">
        <v>40125</v>
      </c>
      <c r="B408" s="7">
        <v>83.547300000000007</v>
      </c>
      <c r="C408" s="8">
        <f t="shared" si="3"/>
        <v>84.941199546003176</v>
      </c>
      <c r="D408" s="9">
        <f t="shared" si="2"/>
        <v>62.852427526828016</v>
      </c>
      <c r="E408" s="9"/>
      <c r="F408" s="9">
        <f ca="1">IFERROR(__xludf.DUMMYFUNCTION("""COMPUTED_VALUE"""),44899)</f>
        <v>44899</v>
      </c>
      <c r="G408" s="9" t="str">
        <f ca="1">IFERROR(__xludf.DUMMYFUNCTION("""COMPUTED_VALUE"""),"1 USD = 224.3023 PKR")</f>
        <v>1 USD = 224.3023 PKR</v>
      </c>
      <c r="H408" s="9" t="str">
        <f ca="1">IFERROR(__xludf.DUMMYFUNCTION("""COMPUTED_VALUE"""),"USD PKR rate for 04/12/2022")</f>
        <v>USD PKR rate for 04/12/2022</v>
      </c>
      <c r="I408" s="9"/>
    </row>
    <row r="409" spans="1:9" ht="14.25" customHeight="1" x14ac:dyDescent="0.3">
      <c r="A409" s="6">
        <v>40126</v>
      </c>
      <c r="B409" s="7">
        <v>83.367800000000003</v>
      </c>
      <c r="C409" s="8">
        <f t="shared" si="3"/>
        <v>84.956391259866038</v>
      </c>
      <c r="D409" s="9">
        <f t="shared" si="2"/>
        <v>62.855165359625282</v>
      </c>
      <c r="E409" s="9"/>
      <c r="F409" s="9">
        <f ca="1">IFERROR(__xludf.DUMMYFUNCTION("""COMPUTED_VALUE"""),44898)</f>
        <v>44898</v>
      </c>
      <c r="G409" s="9" t="str">
        <f ca="1">IFERROR(__xludf.DUMMYFUNCTION("""COMPUTED_VALUE"""),"1 USD = 224.326 PKR")</f>
        <v>1 USD = 224.326 PKR</v>
      </c>
      <c r="H409" s="9" t="str">
        <f ca="1">IFERROR(__xludf.DUMMYFUNCTION("""COMPUTED_VALUE"""),"USD PKR rate for 03/12/2022")</f>
        <v>USD PKR rate for 03/12/2022</v>
      </c>
      <c r="I409" s="9"/>
    </row>
    <row r="410" spans="1:9" ht="14.25" customHeight="1" x14ac:dyDescent="0.3">
      <c r="A410" s="6">
        <v>40127</v>
      </c>
      <c r="B410" s="7">
        <v>83.382999999999996</v>
      </c>
      <c r="C410" s="8">
        <f t="shared" si="3"/>
        <v>84.971585690763419</v>
      </c>
      <c r="D410" s="9">
        <f t="shared" si="2"/>
        <v>62.857903192422548</v>
      </c>
      <c r="E410" s="9"/>
      <c r="F410" s="9">
        <f ca="1">IFERROR(__xludf.DUMMYFUNCTION("""COMPUTED_VALUE"""),44897)</f>
        <v>44897</v>
      </c>
      <c r="G410" s="9" t="str">
        <f ca="1">IFERROR(__xludf.DUMMYFUNCTION("""COMPUTED_VALUE"""),"1 USD = 223.7044 PKR")</f>
        <v>1 USD = 223.7044 PKR</v>
      </c>
      <c r="H410" s="9" t="str">
        <f ca="1">IFERROR(__xludf.DUMMYFUNCTION("""COMPUTED_VALUE"""),"USD PKR rate for 02/12/2022")</f>
        <v>USD PKR rate for 02/12/2022</v>
      </c>
      <c r="I410" s="9"/>
    </row>
    <row r="411" spans="1:9" ht="14.25" customHeight="1" x14ac:dyDescent="0.3">
      <c r="A411" s="6">
        <v>40128</v>
      </c>
      <c r="B411" s="7">
        <v>83.200100000000006</v>
      </c>
      <c r="C411" s="8">
        <f t="shared" si="3"/>
        <v>84.986782839181245</v>
      </c>
      <c r="D411" s="9">
        <f t="shared" si="2"/>
        <v>62.860641025219813</v>
      </c>
      <c r="E411" s="9"/>
      <c r="F411" s="9">
        <f ca="1">IFERROR(__xludf.DUMMYFUNCTION("""COMPUTED_VALUE"""),44896)</f>
        <v>44896</v>
      </c>
      <c r="G411" s="9" t="str">
        <f ca="1">IFERROR(__xludf.DUMMYFUNCTION("""COMPUTED_VALUE"""),"1 USD = 223.6408 PKR")</f>
        <v>1 USD = 223.6408 PKR</v>
      </c>
      <c r="H411" s="9" t="str">
        <f ca="1">IFERROR(__xludf.DUMMYFUNCTION("""COMPUTED_VALUE"""),"USD PKR rate for 01/12/2022")</f>
        <v>USD PKR rate for 01/12/2022</v>
      </c>
      <c r="I411" s="9"/>
    </row>
    <row r="412" spans="1:9" ht="14.25" customHeight="1" x14ac:dyDescent="0.3">
      <c r="A412" s="6">
        <v>40129</v>
      </c>
      <c r="B412" s="7">
        <v>83.442899999999995</v>
      </c>
      <c r="C412" s="8">
        <f t="shared" si="3"/>
        <v>85.001982705605528</v>
      </c>
      <c r="D412" s="9">
        <f t="shared" si="2"/>
        <v>62.863378858017086</v>
      </c>
      <c r="E412" s="9"/>
      <c r="F412" s="9">
        <f ca="1">IFERROR(__xludf.DUMMYFUNCTION("""COMPUTED_VALUE"""),44895)</f>
        <v>44895</v>
      </c>
      <c r="G412" s="9" t="str">
        <f ca="1">IFERROR(__xludf.DUMMYFUNCTION("""COMPUTED_VALUE"""),"1 USD = 224.4762 PKR")</f>
        <v>1 USD = 224.4762 PKR</v>
      </c>
      <c r="H412" s="9" t="str">
        <f ca="1">IFERROR(__xludf.DUMMYFUNCTION("""COMPUTED_VALUE"""),"USD PKR rate for 30/11/2022")</f>
        <v>USD PKR rate for 30/11/2022</v>
      </c>
      <c r="I412" s="9"/>
    </row>
    <row r="413" spans="1:9" ht="14.25" customHeight="1" x14ac:dyDescent="0.3">
      <c r="A413" s="6">
        <v>40130</v>
      </c>
      <c r="B413" s="7">
        <v>83.525300000000001</v>
      </c>
      <c r="C413" s="8">
        <f t="shared" si="3"/>
        <v>85.01718529052242</v>
      </c>
      <c r="D413" s="9">
        <f t="shared" si="2"/>
        <v>62.866116690814351</v>
      </c>
      <c r="E413" s="9"/>
      <c r="F413" s="9">
        <f ca="1">IFERROR(__xludf.DUMMYFUNCTION("""COMPUTED_VALUE"""),44894)</f>
        <v>44894</v>
      </c>
      <c r="G413" s="9" t="str">
        <f ca="1">IFERROR(__xludf.DUMMYFUNCTION("""COMPUTED_VALUE"""),"1 USD = 224.4835 PKR")</f>
        <v>1 USD = 224.4835 PKR</v>
      </c>
      <c r="H413" s="9" t="str">
        <f ca="1">IFERROR(__xludf.DUMMYFUNCTION("""COMPUTED_VALUE"""),"USD PKR rate for 29/11/2022")</f>
        <v>USD PKR rate for 29/11/2022</v>
      </c>
      <c r="I413" s="9"/>
    </row>
    <row r="414" spans="1:9" ht="14.25" customHeight="1" x14ac:dyDescent="0.3">
      <c r="A414" s="6">
        <v>40131</v>
      </c>
      <c r="B414" s="7">
        <v>83.539300000000011</v>
      </c>
      <c r="C414" s="8">
        <f t="shared" si="3"/>
        <v>85.032390594418089</v>
      </c>
      <c r="D414" s="9">
        <f t="shared" si="2"/>
        <v>62.868854523611617</v>
      </c>
      <c r="E414" s="9"/>
      <c r="F414" s="9">
        <f ca="1">IFERROR(__xludf.DUMMYFUNCTION("""COMPUTED_VALUE"""),44893)</f>
        <v>44893</v>
      </c>
      <c r="G414" s="9" t="str">
        <f ca="1">IFERROR(__xludf.DUMMYFUNCTION("""COMPUTED_VALUE"""),"1 USD = 224.4642 PKR")</f>
        <v>1 USD = 224.4642 PKR</v>
      </c>
      <c r="H414" s="9" t="str">
        <f ca="1">IFERROR(__xludf.DUMMYFUNCTION("""COMPUTED_VALUE"""),"USD PKR rate for 28/11/2022")</f>
        <v>USD PKR rate for 28/11/2022</v>
      </c>
      <c r="I414" s="9"/>
    </row>
    <row r="415" spans="1:9" ht="14.25" customHeight="1" x14ac:dyDescent="0.3">
      <c r="A415" s="6">
        <v>40132</v>
      </c>
      <c r="B415" s="7">
        <v>83.509399999999999</v>
      </c>
      <c r="C415" s="8">
        <f t="shared" si="3"/>
        <v>85.047598617778846</v>
      </c>
      <c r="D415" s="9">
        <f t="shared" si="2"/>
        <v>62.871592356408883</v>
      </c>
      <c r="E415" s="9"/>
      <c r="F415" s="9">
        <f ca="1">IFERROR(__xludf.DUMMYFUNCTION("""COMPUTED_VALUE"""),44892)</f>
        <v>44892</v>
      </c>
      <c r="G415" s="9" t="str">
        <f ca="1">IFERROR(__xludf.DUMMYFUNCTION("""COMPUTED_VALUE"""),"1 USD = 224.0377 PKR")</f>
        <v>1 USD = 224.0377 PKR</v>
      </c>
      <c r="H415" s="9" t="str">
        <f ca="1">IFERROR(__xludf.DUMMYFUNCTION("""COMPUTED_VALUE"""),"USD PKR rate for 27/11/2022")</f>
        <v>USD PKR rate for 27/11/2022</v>
      </c>
      <c r="I415" s="9"/>
    </row>
    <row r="416" spans="1:9" ht="14.25" customHeight="1" x14ac:dyDescent="0.3">
      <c r="A416" s="6">
        <v>40133</v>
      </c>
      <c r="B416" s="7">
        <v>83.496899999999997</v>
      </c>
      <c r="C416" s="8">
        <f t="shared" si="3"/>
        <v>85.062809361091055</v>
      </c>
      <c r="D416" s="9">
        <f t="shared" si="2"/>
        <v>62.874330189206148</v>
      </c>
      <c r="E416" s="9"/>
      <c r="F416" s="9">
        <f ca="1">IFERROR(__xludf.DUMMYFUNCTION("""COMPUTED_VALUE"""),44891)</f>
        <v>44891</v>
      </c>
      <c r="G416" s="9" t="str">
        <f ca="1">IFERROR(__xludf.DUMMYFUNCTION("""COMPUTED_VALUE"""),"1 USD = 223.4999 PKR")</f>
        <v>1 USD = 223.4999 PKR</v>
      </c>
      <c r="H416" s="9" t="str">
        <f ca="1">IFERROR(__xludf.DUMMYFUNCTION("""COMPUTED_VALUE"""),"USD PKR rate for 26/11/2022")</f>
        <v>USD PKR rate for 26/11/2022</v>
      </c>
      <c r="I416" s="9"/>
    </row>
    <row r="417" spans="1:9" ht="14.25" customHeight="1" x14ac:dyDescent="0.3">
      <c r="A417" s="6">
        <v>40134</v>
      </c>
      <c r="B417" s="7">
        <v>83.485399999999998</v>
      </c>
      <c r="C417" s="8">
        <f t="shared" si="3"/>
        <v>85.07802282484117</v>
      </c>
      <c r="D417" s="9">
        <f t="shared" si="2"/>
        <v>62.877068022003414</v>
      </c>
      <c r="E417" s="9"/>
      <c r="F417" s="9">
        <f ca="1">IFERROR(__xludf.DUMMYFUNCTION("""COMPUTED_VALUE"""),44890)</f>
        <v>44890</v>
      </c>
      <c r="G417" s="9" t="str">
        <f ca="1">IFERROR(__xludf.DUMMYFUNCTION("""COMPUTED_VALUE"""),"1 USD = 223.4999 PKR")</f>
        <v>1 USD = 223.4999 PKR</v>
      </c>
      <c r="H417" s="9" t="str">
        <f ca="1">IFERROR(__xludf.DUMMYFUNCTION("""COMPUTED_VALUE"""),"USD PKR rate for 25/11/2022")</f>
        <v>USD PKR rate for 25/11/2022</v>
      </c>
      <c r="I417" s="9"/>
    </row>
    <row r="418" spans="1:9" ht="14.25" customHeight="1" x14ac:dyDescent="0.3">
      <c r="A418" s="6">
        <v>40135</v>
      </c>
      <c r="B418" s="7">
        <v>83.3977</v>
      </c>
      <c r="C418" s="8">
        <f t="shared" si="3"/>
        <v>85.09323900951577</v>
      </c>
      <c r="D418" s="9">
        <f t="shared" si="2"/>
        <v>62.879805854800679</v>
      </c>
      <c r="E418" s="9"/>
      <c r="F418" s="9">
        <f ca="1">IFERROR(__xludf.DUMMYFUNCTION("""COMPUTED_VALUE"""),44889)</f>
        <v>44889</v>
      </c>
      <c r="G418" s="9" t="str">
        <f ca="1">IFERROR(__xludf.DUMMYFUNCTION("""COMPUTED_VALUE"""),"1 USD = 224.6007 PKR")</f>
        <v>1 USD = 224.6007 PKR</v>
      </c>
      <c r="H418" s="9" t="str">
        <f ca="1">IFERROR(__xludf.DUMMYFUNCTION("""COMPUTED_VALUE"""),"USD PKR rate for 24/11/2022")</f>
        <v>USD PKR rate for 24/11/2022</v>
      </c>
      <c r="I418" s="9"/>
    </row>
    <row r="419" spans="1:9" ht="14.25" customHeight="1" x14ac:dyDescent="0.3">
      <c r="A419" s="6">
        <v>40136</v>
      </c>
      <c r="B419" s="7">
        <v>83.432400000000001</v>
      </c>
      <c r="C419" s="8">
        <f t="shared" si="3"/>
        <v>85.108457915601463</v>
      </c>
      <c r="D419" s="9">
        <f t="shared" si="2"/>
        <v>62.882543687597945</v>
      </c>
      <c r="E419" s="9"/>
      <c r="F419" s="9">
        <f ca="1">IFERROR(__xludf.DUMMYFUNCTION("""COMPUTED_VALUE"""),44888)</f>
        <v>44888</v>
      </c>
      <c r="G419" s="9" t="str">
        <f ca="1">IFERROR(__xludf.DUMMYFUNCTION("""COMPUTED_VALUE"""),"1 USD = 224.041 PKR")</f>
        <v>1 USD = 224.041 PKR</v>
      </c>
      <c r="H419" s="9" t="str">
        <f ca="1">IFERROR(__xludf.DUMMYFUNCTION("""COMPUTED_VALUE"""),"USD PKR rate for 23/11/2022")</f>
        <v>USD PKR rate for 23/11/2022</v>
      </c>
      <c r="I419" s="9"/>
    </row>
    <row r="420" spans="1:9" ht="14.25" customHeight="1" x14ac:dyDescent="0.3">
      <c r="A420" s="6">
        <v>40137</v>
      </c>
      <c r="B420" s="7">
        <v>83.505499999999998</v>
      </c>
      <c r="C420" s="8">
        <f t="shared" si="3"/>
        <v>85.123679543584998</v>
      </c>
      <c r="D420" s="9">
        <f t="shared" si="2"/>
        <v>62.88528152039521</v>
      </c>
      <c r="E420" s="9"/>
      <c r="F420" s="9">
        <f ca="1">IFERROR(__xludf.DUMMYFUNCTION("""COMPUTED_VALUE"""),44887)</f>
        <v>44887</v>
      </c>
      <c r="G420" s="9" t="str">
        <f ca="1">IFERROR(__xludf.DUMMYFUNCTION("""COMPUTED_VALUE"""),"1 USD = 224.1351 PKR")</f>
        <v>1 USD = 224.1351 PKR</v>
      </c>
      <c r="H420" s="9" t="str">
        <f ca="1">IFERROR(__xludf.DUMMYFUNCTION("""COMPUTED_VALUE"""),"USD PKR rate for 22/11/2022")</f>
        <v>USD PKR rate for 22/11/2022</v>
      </c>
      <c r="I420" s="9"/>
    </row>
    <row r="421" spans="1:9" ht="14.25" customHeight="1" x14ac:dyDescent="0.3">
      <c r="A421" s="6">
        <v>40138</v>
      </c>
      <c r="B421" s="7">
        <v>83.523499999999999</v>
      </c>
      <c r="C421" s="8">
        <f t="shared" si="3"/>
        <v>85.138903893953085</v>
      </c>
      <c r="D421" s="9">
        <f t="shared" si="2"/>
        <v>62.888019353192476</v>
      </c>
      <c r="E421" s="9"/>
      <c r="F421" s="9">
        <f ca="1">IFERROR(__xludf.DUMMYFUNCTION("""COMPUTED_VALUE"""),44886)</f>
        <v>44886</v>
      </c>
      <c r="G421" s="9" t="str">
        <f ca="1">IFERROR(__xludf.DUMMYFUNCTION("""COMPUTED_VALUE"""),"1 USD = 224.2311 PKR")</f>
        <v>1 USD = 224.2311 PKR</v>
      </c>
      <c r="H421" s="9" t="str">
        <f ca="1">IFERROR(__xludf.DUMMYFUNCTION("""COMPUTED_VALUE"""),"USD PKR rate for 21/11/2022")</f>
        <v>USD PKR rate for 21/11/2022</v>
      </c>
      <c r="I421" s="9"/>
    </row>
    <row r="422" spans="1:9" ht="14.25" customHeight="1" x14ac:dyDescent="0.3">
      <c r="A422" s="6">
        <v>40139</v>
      </c>
      <c r="B422" s="7">
        <v>83.521799999999999</v>
      </c>
      <c r="C422" s="8">
        <f t="shared" si="3"/>
        <v>85.154130967192785</v>
      </c>
      <c r="D422" s="9">
        <f t="shared" si="2"/>
        <v>62.890757185989742</v>
      </c>
      <c r="E422" s="9"/>
      <c r="F422" s="9">
        <f ca="1">IFERROR(__xludf.DUMMYFUNCTION("""COMPUTED_VALUE"""),44885)</f>
        <v>44885</v>
      </c>
      <c r="G422" s="9" t="str">
        <f ca="1">IFERROR(__xludf.DUMMYFUNCTION("""COMPUTED_VALUE"""),"1 USD = 223.2788 PKR")</f>
        <v>1 USD = 223.2788 PKR</v>
      </c>
      <c r="H422" s="9" t="str">
        <f ca="1">IFERROR(__xludf.DUMMYFUNCTION("""COMPUTED_VALUE"""),"USD PKR rate for 20/11/2022")</f>
        <v>USD PKR rate for 20/11/2022</v>
      </c>
      <c r="I422" s="9"/>
    </row>
    <row r="423" spans="1:9" ht="14.25" customHeight="1" x14ac:dyDescent="0.3">
      <c r="A423" s="6">
        <v>40140</v>
      </c>
      <c r="B423" s="7">
        <v>83.558300000000003</v>
      </c>
      <c r="C423" s="8">
        <f t="shared" si="3"/>
        <v>85.169360763791019</v>
      </c>
      <c r="D423" s="9">
        <f t="shared" si="2"/>
        <v>62.893495018787007</v>
      </c>
      <c r="E423" s="9"/>
      <c r="F423" s="9">
        <f ca="1">IFERROR(__xludf.DUMMYFUNCTION("""COMPUTED_VALUE"""),44884)</f>
        <v>44884</v>
      </c>
      <c r="G423" s="9" t="str">
        <f ca="1">IFERROR(__xludf.DUMMYFUNCTION("""COMPUTED_VALUE"""),"1 USD = 222.4407 PKR")</f>
        <v>1 USD = 222.4407 PKR</v>
      </c>
      <c r="H423" s="9" t="str">
        <f ca="1">IFERROR(__xludf.DUMMYFUNCTION("""COMPUTED_VALUE"""),"USD PKR rate for 19/11/2022")</f>
        <v>USD PKR rate for 19/11/2022</v>
      </c>
      <c r="I423" s="9"/>
    </row>
    <row r="424" spans="1:9" ht="14.25" customHeight="1" x14ac:dyDescent="0.3">
      <c r="A424" s="6">
        <v>40141</v>
      </c>
      <c r="B424" s="7">
        <v>83.495500000000007</v>
      </c>
      <c r="C424" s="8">
        <f t="shared" si="3"/>
        <v>85.184593284234836</v>
      </c>
      <c r="D424" s="9">
        <f t="shared" si="2"/>
        <v>62.896232851584273</v>
      </c>
      <c r="E424" s="9"/>
      <c r="F424" s="9">
        <f ca="1">IFERROR(__xludf.DUMMYFUNCTION("""COMPUTED_VALUE"""),44883)</f>
        <v>44883</v>
      </c>
      <c r="G424" s="9" t="str">
        <f ca="1">IFERROR(__xludf.DUMMYFUNCTION("""COMPUTED_VALUE"""),"1 USD = 222.45 PKR")</f>
        <v>1 USD = 222.45 PKR</v>
      </c>
      <c r="H424" s="9" t="str">
        <f ca="1">IFERROR(__xludf.DUMMYFUNCTION("""COMPUTED_VALUE"""),"USD PKR rate for 18/11/2022")</f>
        <v>USD PKR rate for 18/11/2022</v>
      </c>
      <c r="I424" s="9"/>
    </row>
    <row r="425" spans="1:9" ht="14.25" customHeight="1" x14ac:dyDescent="0.3">
      <c r="A425" s="6">
        <v>40142</v>
      </c>
      <c r="B425" s="7">
        <v>83.356399999999994</v>
      </c>
      <c r="C425" s="8">
        <f t="shared" si="3"/>
        <v>85.199828529011398</v>
      </c>
      <c r="D425" s="9">
        <f t="shared" si="2"/>
        <v>62.898970684381538</v>
      </c>
      <c r="E425" s="9"/>
      <c r="F425" s="9">
        <f ca="1">IFERROR(__xludf.DUMMYFUNCTION("""COMPUTED_VALUE"""),44882)</f>
        <v>44882</v>
      </c>
      <c r="G425" s="9" t="str">
        <f ca="1">IFERROR(__xludf.DUMMYFUNCTION("""COMPUTED_VALUE"""),"1 USD = 222.536 PKR")</f>
        <v>1 USD = 222.536 PKR</v>
      </c>
      <c r="H425" s="9" t="str">
        <f ca="1">IFERROR(__xludf.DUMMYFUNCTION("""COMPUTED_VALUE"""),"USD PKR rate for 17/11/2022")</f>
        <v>USD PKR rate for 17/11/2022</v>
      </c>
      <c r="I425" s="9"/>
    </row>
    <row r="426" spans="1:9" ht="14.25" customHeight="1" x14ac:dyDescent="0.3">
      <c r="A426" s="6">
        <v>40143</v>
      </c>
      <c r="B426" s="7">
        <v>83.579499999999996</v>
      </c>
      <c r="C426" s="8">
        <f t="shared" si="3"/>
        <v>85.215066498607982</v>
      </c>
      <c r="D426" s="9">
        <f t="shared" si="2"/>
        <v>62.901708517178804</v>
      </c>
      <c r="E426" s="9"/>
      <c r="F426" s="9">
        <f ca="1">IFERROR(__xludf.DUMMYFUNCTION("""COMPUTED_VALUE"""),44881)</f>
        <v>44881</v>
      </c>
      <c r="G426" s="9" t="str">
        <f ca="1">IFERROR(__xludf.DUMMYFUNCTION("""COMPUTED_VALUE"""),"1 USD = 222.277 PKR")</f>
        <v>1 USD = 222.277 PKR</v>
      </c>
      <c r="H426" s="9" t="str">
        <f ca="1">IFERROR(__xludf.DUMMYFUNCTION("""COMPUTED_VALUE"""),"USD PKR rate for 16/11/2022")</f>
        <v>USD PKR rate for 16/11/2022</v>
      </c>
      <c r="I426" s="9"/>
    </row>
    <row r="427" spans="1:9" ht="14.25" customHeight="1" x14ac:dyDescent="0.3">
      <c r="A427" s="6">
        <v>40144</v>
      </c>
      <c r="B427" s="7">
        <v>83.567499999999995</v>
      </c>
      <c r="C427" s="8">
        <f t="shared" si="3"/>
        <v>85.230307193511877</v>
      </c>
      <c r="D427" s="9">
        <f t="shared" si="2"/>
        <v>62.90444634997607</v>
      </c>
      <c r="E427" s="9"/>
      <c r="F427" s="9">
        <f ca="1">IFERROR(__xludf.DUMMYFUNCTION("""COMPUTED_VALUE"""),44880)</f>
        <v>44880</v>
      </c>
      <c r="G427" s="9" t="str">
        <f ca="1">IFERROR(__xludf.DUMMYFUNCTION("""COMPUTED_VALUE"""),"1 USD = 221.798 PKR")</f>
        <v>1 USD = 221.798 PKR</v>
      </c>
      <c r="H427" s="9" t="str">
        <f ca="1">IFERROR(__xludf.DUMMYFUNCTION("""COMPUTED_VALUE"""),"USD PKR rate for 15/11/2022")</f>
        <v>USD PKR rate for 15/11/2022</v>
      </c>
      <c r="I427" s="9"/>
    </row>
    <row r="428" spans="1:9" ht="14.25" customHeight="1" x14ac:dyDescent="0.3">
      <c r="A428" s="6">
        <v>40145</v>
      </c>
      <c r="B428" s="7">
        <v>83.549899999999994</v>
      </c>
      <c r="C428" s="8">
        <f t="shared" si="3"/>
        <v>85.245550614210529</v>
      </c>
      <c r="D428" s="9">
        <f t="shared" si="2"/>
        <v>62.907184182773335</v>
      </c>
      <c r="E428" s="9"/>
      <c r="F428" s="9">
        <f ca="1">IFERROR(__xludf.DUMMYFUNCTION("""COMPUTED_VALUE"""),44879)</f>
        <v>44879</v>
      </c>
      <c r="G428" s="9" t="str">
        <f ca="1">IFERROR(__xludf.DUMMYFUNCTION("""COMPUTED_VALUE"""),"1 USD = 221.6466 PKR")</f>
        <v>1 USD = 221.6466 PKR</v>
      </c>
      <c r="H428" s="9" t="str">
        <f ca="1">IFERROR(__xludf.DUMMYFUNCTION("""COMPUTED_VALUE"""),"USD PKR rate for 14/11/2022")</f>
        <v>USD PKR rate for 14/11/2022</v>
      </c>
      <c r="I428" s="9"/>
    </row>
    <row r="429" spans="1:9" ht="14.25" customHeight="1" x14ac:dyDescent="0.3">
      <c r="A429" s="6">
        <v>40146</v>
      </c>
      <c r="B429" s="7">
        <v>83.541100000000014</v>
      </c>
      <c r="C429" s="8">
        <f t="shared" si="3"/>
        <v>85.260796761191457</v>
      </c>
      <c r="D429" s="9">
        <f t="shared" si="2"/>
        <v>62.909922015570601</v>
      </c>
      <c r="E429" s="9"/>
      <c r="F429" s="9">
        <f ca="1">IFERROR(__xludf.DUMMYFUNCTION("""COMPUTED_VALUE"""),44878)</f>
        <v>44878</v>
      </c>
      <c r="G429" s="9" t="str">
        <f ca="1">IFERROR(__xludf.DUMMYFUNCTION("""COMPUTED_VALUE"""),"1 USD = 220.2066 PKR")</f>
        <v>1 USD = 220.2066 PKR</v>
      </c>
      <c r="H429" s="9" t="str">
        <f ca="1">IFERROR(__xludf.DUMMYFUNCTION("""COMPUTED_VALUE"""),"USD PKR rate for 13/11/2022")</f>
        <v>USD PKR rate for 13/11/2022</v>
      </c>
      <c r="I429" s="9"/>
    </row>
    <row r="430" spans="1:9" ht="14.25" customHeight="1" x14ac:dyDescent="0.3">
      <c r="A430" s="6">
        <v>40147</v>
      </c>
      <c r="B430" s="7">
        <v>83.522999999999996</v>
      </c>
      <c r="C430" s="8">
        <f t="shared" si="3"/>
        <v>85.27604563494215</v>
      </c>
      <c r="D430" s="9">
        <f t="shared" si="2"/>
        <v>62.912659848367866</v>
      </c>
      <c r="E430" s="9"/>
      <c r="F430" s="9">
        <f ca="1">IFERROR(__xludf.DUMMYFUNCTION("""COMPUTED_VALUE"""),44877)</f>
        <v>44877</v>
      </c>
      <c r="G430" s="9" t="str">
        <f ca="1">IFERROR(__xludf.DUMMYFUNCTION("""COMPUTED_VALUE"""),"1 USD = 219.7551 PKR")</f>
        <v>1 USD = 219.7551 PKR</v>
      </c>
      <c r="H430" s="9" t="str">
        <f ca="1">IFERROR(__xludf.DUMMYFUNCTION("""COMPUTED_VALUE"""),"USD PKR rate for 12/11/2022")</f>
        <v>USD PKR rate for 12/11/2022</v>
      </c>
      <c r="I430" s="9"/>
    </row>
    <row r="431" spans="1:9" ht="14.25" customHeight="1" x14ac:dyDescent="0.3">
      <c r="A431" s="6">
        <v>40148</v>
      </c>
      <c r="B431" s="7">
        <v>83.3155</v>
      </c>
      <c r="C431" s="8">
        <f t="shared" si="3"/>
        <v>85.291297235950452</v>
      </c>
      <c r="D431" s="9">
        <f t="shared" si="2"/>
        <v>62.915397681165132</v>
      </c>
      <c r="E431" s="9"/>
      <c r="F431" s="9">
        <f ca="1">IFERROR(__xludf.DUMMYFUNCTION("""COMPUTED_VALUE"""),44876)</f>
        <v>44876</v>
      </c>
      <c r="G431" s="9" t="str">
        <f ca="1">IFERROR(__xludf.DUMMYFUNCTION("""COMPUTED_VALUE"""),"1 USD = 221.8344 PKR")</f>
        <v>1 USD = 221.8344 PKR</v>
      </c>
      <c r="H431" s="9" t="str">
        <f ca="1">IFERROR(__xludf.DUMMYFUNCTION("""COMPUTED_VALUE"""),"USD PKR rate for 11/11/2022")</f>
        <v>USD PKR rate for 11/11/2022</v>
      </c>
      <c r="I431" s="9"/>
    </row>
    <row r="432" spans="1:9" ht="14.25" customHeight="1" x14ac:dyDescent="0.3">
      <c r="A432" s="6">
        <v>40149</v>
      </c>
      <c r="B432" s="7">
        <v>83.519300000000001</v>
      </c>
      <c r="C432" s="8">
        <f t="shared" si="3"/>
        <v>85.30655156470408</v>
      </c>
      <c r="D432" s="9">
        <f t="shared" si="2"/>
        <v>62.918135513962397</v>
      </c>
      <c r="E432" s="9"/>
      <c r="F432" s="9">
        <f ca="1">IFERROR(__xludf.DUMMYFUNCTION("""COMPUTED_VALUE"""),44875)</f>
        <v>44875</v>
      </c>
      <c r="G432" s="9" t="str">
        <f ca="1">IFERROR(__xludf.DUMMYFUNCTION("""COMPUTED_VALUE"""),"1 USD = 221.371 PKR")</f>
        <v>1 USD = 221.371 PKR</v>
      </c>
      <c r="H432" s="9" t="str">
        <f ca="1">IFERROR(__xludf.DUMMYFUNCTION("""COMPUTED_VALUE"""),"USD PKR rate for 10/11/2022")</f>
        <v>USD PKR rate for 10/11/2022</v>
      </c>
      <c r="I432" s="9"/>
    </row>
    <row r="433" spans="1:9" ht="14.25" customHeight="1" x14ac:dyDescent="0.3">
      <c r="A433" s="6">
        <v>40150</v>
      </c>
      <c r="B433" s="7">
        <v>83.564700000000002</v>
      </c>
      <c r="C433" s="8">
        <f t="shared" si="3"/>
        <v>85.321808621690863</v>
      </c>
      <c r="D433" s="9">
        <f t="shared" si="2"/>
        <v>62.920873346759663</v>
      </c>
      <c r="E433" s="9"/>
      <c r="F433" s="9">
        <f ca="1">IFERROR(__xludf.DUMMYFUNCTION("""COMPUTED_VALUE"""),44874)</f>
        <v>44874</v>
      </c>
      <c r="G433" s="9" t="str">
        <f ca="1">IFERROR(__xludf.DUMMYFUNCTION("""COMPUTED_VALUE"""),"1 USD = 221.4822 PKR")</f>
        <v>1 USD = 221.4822 PKR</v>
      </c>
      <c r="H433" s="9" t="str">
        <f ca="1">IFERROR(__xludf.DUMMYFUNCTION("""COMPUTED_VALUE"""),"USD PKR rate for 09/11/2022")</f>
        <v>USD PKR rate for 09/11/2022</v>
      </c>
      <c r="I433" s="9"/>
    </row>
    <row r="434" spans="1:9" ht="14.25" customHeight="1" x14ac:dyDescent="0.3">
      <c r="A434" s="6">
        <v>40151</v>
      </c>
      <c r="B434" s="7">
        <v>83.461399999999998</v>
      </c>
      <c r="C434" s="8">
        <f t="shared" si="3"/>
        <v>85.337068407398746</v>
      </c>
      <c r="D434" s="9">
        <f t="shared" si="2"/>
        <v>62.923611179556929</v>
      </c>
      <c r="E434" s="9"/>
      <c r="F434" s="9">
        <f ca="1">IFERROR(__xludf.DUMMYFUNCTION("""COMPUTED_VALUE"""),44873)</f>
        <v>44873</v>
      </c>
      <c r="G434" s="9" t="str">
        <f ca="1">IFERROR(__xludf.DUMMYFUNCTION("""COMPUTED_VALUE"""),"1 USD = 221.4876 PKR")</f>
        <v>1 USD = 221.4876 PKR</v>
      </c>
      <c r="H434" s="9" t="str">
        <f ca="1">IFERROR(__xludf.DUMMYFUNCTION("""COMPUTED_VALUE"""),"USD PKR rate for 08/11/2022")</f>
        <v>USD PKR rate for 08/11/2022</v>
      </c>
      <c r="I434" s="9"/>
    </row>
    <row r="435" spans="1:9" ht="14.25" customHeight="1" x14ac:dyDescent="0.3">
      <c r="A435" s="6">
        <v>40152</v>
      </c>
      <c r="B435" s="7">
        <v>83.667900000000017</v>
      </c>
      <c r="C435" s="8">
        <f t="shared" si="3"/>
        <v>85.352330922315772</v>
      </c>
      <c r="D435" s="9">
        <f t="shared" si="2"/>
        <v>62.926349012354194</v>
      </c>
      <c r="E435" s="9"/>
      <c r="F435" s="9">
        <f ca="1">IFERROR(__xludf.DUMMYFUNCTION("""COMPUTED_VALUE"""),44872)</f>
        <v>44872</v>
      </c>
      <c r="G435" s="9" t="str">
        <f ca="1">IFERROR(__xludf.DUMMYFUNCTION("""COMPUTED_VALUE"""),"1 USD = 221.5112 PKR")</f>
        <v>1 USD = 221.5112 PKR</v>
      </c>
      <c r="H435" s="9" t="str">
        <f ca="1">IFERROR(__xludf.DUMMYFUNCTION("""COMPUTED_VALUE"""),"USD PKR rate for 07/11/2022")</f>
        <v>USD PKR rate for 07/11/2022</v>
      </c>
      <c r="I435" s="9"/>
    </row>
    <row r="436" spans="1:9" ht="14.25" customHeight="1" x14ac:dyDescent="0.3">
      <c r="A436" s="6">
        <v>40153</v>
      </c>
      <c r="B436" s="7">
        <v>83.647599999999997</v>
      </c>
      <c r="C436" s="8">
        <f t="shared" si="3"/>
        <v>85.367596166930056</v>
      </c>
      <c r="D436" s="9">
        <f t="shared" si="2"/>
        <v>62.92908684515146</v>
      </c>
      <c r="E436" s="9"/>
      <c r="F436" s="9">
        <f ca="1">IFERROR(__xludf.DUMMYFUNCTION("""COMPUTED_VALUE"""),44871)</f>
        <v>44871</v>
      </c>
      <c r="G436" s="9" t="str">
        <f ca="1">IFERROR(__xludf.DUMMYFUNCTION("""COMPUTED_VALUE"""),"1 USD = 219.4128 PKR")</f>
        <v>1 USD = 219.4128 PKR</v>
      </c>
      <c r="H436" s="9" t="str">
        <f ca="1">IFERROR(__xludf.DUMMYFUNCTION("""COMPUTED_VALUE"""),"USD PKR rate for 06/11/2022")</f>
        <v>USD PKR rate for 06/11/2022</v>
      </c>
      <c r="I436" s="9"/>
    </row>
    <row r="437" spans="1:9" ht="14.25" customHeight="1" x14ac:dyDescent="0.3">
      <c r="A437" s="6">
        <v>40154</v>
      </c>
      <c r="B437" s="7">
        <v>83.66370000000002</v>
      </c>
      <c r="C437" s="8">
        <f t="shared" si="3"/>
        <v>85.382864141729812</v>
      </c>
      <c r="D437" s="9">
        <f t="shared" si="2"/>
        <v>62.931824677948725</v>
      </c>
      <c r="E437" s="9"/>
      <c r="F437" s="9">
        <f ca="1">IFERROR(__xludf.DUMMYFUNCTION("""COMPUTED_VALUE"""),44870)</f>
        <v>44870</v>
      </c>
      <c r="G437" s="9" t="str">
        <f ca="1">IFERROR(__xludf.DUMMYFUNCTION("""COMPUTED_VALUE"""),"1 USD = 221.5096 PKR")</f>
        <v>1 USD = 221.5096 PKR</v>
      </c>
      <c r="H437" s="9" t="str">
        <f ca="1">IFERROR(__xludf.DUMMYFUNCTION("""COMPUTED_VALUE"""),"USD PKR rate for 05/11/2022")</f>
        <v>USD PKR rate for 05/11/2022</v>
      </c>
      <c r="I437" s="9"/>
    </row>
    <row r="438" spans="1:9" ht="14.25" customHeight="1" x14ac:dyDescent="0.3">
      <c r="A438" s="6">
        <v>40155</v>
      </c>
      <c r="B438" s="7">
        <v>83.849000000000004</v>
      </c>
      <c r="C438" s="8">
        <f t="shared" si="3"/>
        <v>85.398134847203323</v>
      </c>
      <c r="D438" s="9">
        <f t="shared" si="2"/>
        <v>62.934562510745991</v>
      </c>
      <c r="E438" s="9"/>
      <c r="F438" s="9">
        <f ca="1">IFERROR(__xludf.DUMMYFUNCTION("""COMPUTED_VALUE"""),44869)</f>
        <v>44869</v>
      </c>
      <c r="G438" s="9" t="str">
        <f ca="1">IFERROR(__xludf.DUMMYFUNCTION("""COMPUTED_VALUE"""),"1 USD = 221.3351 PKR")</f>
        <v>1 USD = 221.3351 PKR</v>
      </c>
      <c r="H438" s="9" t="str">
        <f ca="1">IFERROR(__xludf.DUMMYFUNCTION("""COMPUTED_VALUE"""),"USD PKR rate for 04/11/2022")</f>
        <v>USD PKR rate for 04/11/2022</v>
      </c>
      <c r="I438" s="9"/>
    </row>
    <row r="439" spans="1:9" ht="14.25" customHeight="1" x14ac:dyDescent="0.3">
      <c r="A439" s="6">
        <v>40156</v>
      </c>
      <c r="B439" s="7">
        <v>84.036699999999996</v>
      </c>
      <c r="C439" s="8">
        <f t="shared" si="3"/>
        <v>85.413408283838891</v>
      </c>
      <c r="D439" s="9">
        <f t="shared" si="2"/>
        <v>62.937300343543257</v>
      </c>
      <c r="E439" s="9"/>
      <c r="F439" s="9">
        <f ca="1">IFERROR(__xludf.DUMMYFUNCTION("""COMPUTED_VALUE"""),44868)</f>
        <v>44868</v>
      </c>
      <c r="G439" s="9" t="str">
        <f ca="1">IFERROR(__xludf.DUMMYFUNCTION("""COMPUTED_VALUE"""),"1 USD = 221.4521 PKR")</f>
        <v>1 USD = 221.4521 PKR</v>
      </c>
      <c r="H439" s="9" t="str">
        <f ca="1">IFERROR(__xludf.DUMMYFUNCTION("""COMPUTED_VALUE"""),"USD PKR rate for 03/11/2022")</f>
        <v>USD PKR rate for 03/11/2022</v>
      </c>
      <c r="I439" s="9"/>
    </row>
    <row r="440" spans="1:9" ht="14.25" customHeight="1" x14ac:dyDescent="0.3">
      <c r="A440" s="6">
        <v>40157</v>
      </c>
      <c r="B440" s="7">
        <v>84.259100000000004</v>
      </c>
      <c r="C440" s="8">
        <f t="shared" si="3"/>
        <v>85.42868445212514</v>
      </c>
      <c r="D440" s="9">
        <f t="shared" si="2"/>
        <v>62.940038176340522</v>
      </c>
      <c r="E440" s="9"/>
      <c r="F440" s="9">
        <f ca="1">IFERROR(__xludf.DUMMYFUNCTION("""COMPUTED_VALUE"""),44867)</f>
        <v>44867</v>
      </c>
      <c r="G440" s="9" t="str">
        <f ca="1">IFERROR(__xludf.DUMMYFUNCTION("""COMPUTED_VALUE"""),"1 USD = 221.3366 PKR")</f>
        <v>1 USD = 221.3366 PKR</v>
      </c>
      <c r="H440" s="9" t="str">
        <f ca="1">IFERROR(__xludf.DUMMYFUNCTION("""COMPUTED_VALUE"""),"USD PKR rate for 02/11/2022")</f>
        <v>USD PKR rate for 02/11/2022</v>
      </c>
      <c r="I440" s="9"/>
    </row>
    <row r="441" spans="1:9" ht="14.25" customHeight="1" x14ac:dyDescent="0.3">
      <c r="A441" s="6">
        <v>40158</v>
      </c>
      <c r="B441" s="7">
        <v>84.241</v>
      </c>
      <c r="C441" s="8">
        <f t="shared" si="3"/>
        <v>85.44396335255054</v>
      </c>
      <c r="D441" s="9">
        <f t="shared" si="2"/>
        <v>62.942776009137788</v>
      </c>
      <c r="E441" s="9"/>
      <c r="F441" s="9">
        <f ca="1">IFERROR(__xludf.DUMMYFUNCTION("""COMPUTED_VALUE"""),44866)</f>
        <v>44866</v>
      </c>
      <c r="G441" s="9" t="str">
        <f ca="1">IFERROR(__xludf.DUMMYFUNCTION("""COMPUTED_VALUE"""),"1 USD = 220.5389 PKR")</f>
        <v>1 USD = 220.5389 PKR</v>
      </c>
      <c r="H441" s="9" t="str">
        <f ca="1">IFERROR(__xludf.DUMMYFUNCTION("""COMPUTED_VALUE"""),"USD PKR rate for 01/11/2022")</f>
        <v>USD PKR rate for 01/11/2022</v>
      </c>
      <c r="I441" s="9"/>
    </row>
    <row r="442" spans="1:9" ht="14.25" customHeight="1" x14ac:dyDescent="0.3">
      <c r="A442" s="6">
        <v>40159</v>
      </c>
      <c r="B442" s="7">
        <v>84.145300000000006</v>
      </c>
      <c r="C442" s="8">
        <f t="shared" si="3"/>
        <v>85.459244985603746</v>
      </c>
      <c r="D442" s="9">
        <f t="shared" si="2"/>
        <v>62.945513841935053</v>
      </c>
      <c r="E442" s="9"/>
      <c r="F442" s="9">
        <f ca="1">IFERROR(__xludf.DUMMYFUNCTION("""COMPUTED_VALUE"""),44865)</f>
        <v>44865</v>
      </c>
      <c r="G442" s="9" t="str">
        <f ca="1">IFERROR(__xludf.DUMMYFUNCTION("""COMPUTED_VALUE"""),"1 USD = 220.6734 PKR")</f>
        <v>1 USD = 220.6734 PKR</v>
      </c>
      <c r="H442" s="9" t="str">
        <f ca="1">IFERROR(__xludf.DUMMYFUNCTION("""COMPUTED_VALUE"""),"USD PKR rate for 31/10/2022")</f>
        <v>USD PKR rate for 31/10/2022</v>
      </c>
      <c r="I442" s="9"/>
    </row>
    <row r="443" spans="1:9" ht="14.25" customHeight="1" x14ac:dyDescent="0.3">
      <c r="A443" s="6">
        <v>40160</v>
      </c>
      <c r="B443" s="7">
        <v>84.129800000000003</v>
      </c>
      <c r="C443" s="8">
        <f t="shared" si="3"/>
        <v>85.474529351773498</v>
      </c>
      <c r="D443" s="9">
        <f t="shared" si="2"/>
        <v>62.948251674732319</v>
      </c>
      <c r="E443" s="9"/>
      <c r="F443" s="9">
        <f ca="1">IFERROR(__xludf.DUMMYFUNCTION("""COMPUTED_VALUE"""),44864)</f>
        <v>44864</v>
      </c>
      <c r="G443" s="9" t="str">
        <f ca="1">IFERROR(__xludf.DUMMYFUNCTION("""COMPUTED_VALUE"""),"1 USD = 221.6774 PKR")</f>
        <v>1 USD = 221.6774 PKR</v>
      </c>
      <c r="H443" s="9" t="str">
        <f ca="1">IFERROR(__xludf.DUMMYFUNCTION("""COMPUTED_VALUE"""),"USD PKR rate for 30/10/2022")</f>
        <v>USD PKR rate for 30/10/2022</v>
      </c>
      <c r="I443" s="9"/>
    </row>
    <row r="444" spans="1:9" ht="14.25" customHeight="1" x14ac:dyDescent="0.3">
      <c r="A444" s="6">
        <v>40161</v>
      </c>
      <c r="B444" s="7">
        <v>84.189499999999995</v>
      </c>
      <c r="C444" s="8">
        <f t="shared" si="3"/>
        <v>85.489816451548577</v>
      </c>
      <c r="D444" s="9">
        <f t="shared" si="2"/>
        <v>62.950989507529584</v>
      </c>
      <c r="E444" s="9"/>
      <c r="F444" s="9">
        <f ca="1">IFERROR(__xludf.DUMMYFUNCTION("""COMPUTED_VALUE"""),44863)</f>
        <v>44863</v>
      </c>
      <c r="G444" s="9" t="str">
        <f ca="1">IFERROR(__xludf.DUMMYFUNCTION("""COMPUTED_VALUE"""),"1 USD = 221.3845 PKR")</f>
        <v>1 USD = 221.3845 PKR</v>
      </c>
      <c r="H444" s="9" t="str">
        <f ca="1">IFERROR(__xludf.DUMMYFUNCTION("""COMPUTED_VALUE"""),"USD PKR rate for 29/10/2022")</f>
        <v>USD PKR rate for 29/10/2022</v>
      </c>
      <c r="I444" s="9"/>
    </row>
    <row r="445" spans="1:9" ht="14.25" customHeight="1" x14ac:dyDescent="0.3">
      <c r="A445" s="6">
        <v>40162</v>
      </c>
      <c r="B445" s="7">
        <v>84.346000000000004</v>
      </c>
      <c r="C445" s="8">
        <f t="shared" si="3"/>
        <v>85.505106285417924</v>
      </c>
      <c r="D445" s="9">
        <f t="shared" si="2"/>
        <v>62.95372734032685</v>
      </c>
      <c r="E445" s="9"/>
      <c r="F445" s="9">
        <f ca="1">IFERROR(__xludf.DUMMYFUNCTION("""COMPUTED_VALUE"""),44862)</f>
        <v>44862</v>
      </c>
      <c r="G445" s="9" t="str">
        <f ca="1">IFERROR(__xludf.DUMMYFUNCTION("""COMPUTED_VALUE"""),"1 USD = 221.3655 PKR")</f>
        <v>1 USD = 221.3655 PKR</v>
      </c>
      <c r="H445" s="9" t="str">
        <f ca="1">IFERROR(__xludf.DUMMYFUNCTION("""COMPUTED_VALUE"""),"USD PKR rate for 28/10/2022")</f>
        <v>USD PKR rate for 28/10/2022</v>
      </c>
      <c r="I445" s="9"/>
    </row>
    <row r="446" spans="1:9" ht="14.25" customHeight="1" x14ac:dyDescent="0.3">
      <c r="A446" s="6">
        <v>40163</v>
      </c>
      <c r="B446" s="7">
        <v>84.313699999999997</v>
      </c>
      <c r="C446" s="8">
        <f t="shared" si="3"/>
        <v>85.520398853870503</v>
      </c>
      <c r="D446" s="9">
        <f t="shared" si="2"/>
        <v>62.956465173124116</v>
      </c>
      <c r="E446" s="9"/>
      <c r="F446" s="9">
        <f ca="1">IFERROR(__xludf.DUMMYFUNCTION("""COMPUTED_VALUE"""),44861)</f>
        <v>44861</v>
      </c>
      <c r="G446" s="9" t="str">
        <f ca="1">IFERROR(__xludf.DUMMYFUNCTION("""COMPUTED_VALUE"""),"1 USD = 221.3324 PKR")</f>
        <v>1 USD = 221.3324 PKR</v>
      </c>
      <c r="H446" s="9" t="str">
        <f ca="1">IFERROR(__xludf.DUMMYFUNCTION("""COMPUTED_VALUE"""),"USD PKR rate for 27/10/2022")</f>
        <v>USD PKR rate for 27/10/2022</v>
      </c>
      <c r="I446" s="9"/>
    </row>
    <row r="447" spans="1:9" ht="14.25" customHeight="1" x14ac:dyDescent="0.3">
      <c r="A447" s="6">
        <v>40164</v>
      </c>
      <c r="B447" s="7">
        <v>84.328000000000003</v>
      </c>
      <c r="C447" s="8">
        <f t="shared" si="3"/>
        <v>85.535694157395426</v>
      </c>
      <c r="D447" s="9">
        <f t="shared" si="2"/>
        <v>62.959203005921381</v>
      </c>
      <c r="E447" s="9"/>
      <c r="F447" s="9">
        <f ca="1">IFERROR(__xludf.DUMMYFUNCTION("""COMPUTED_VALUE"""),44860)</f>
        <v>44860</v>
      </c>
      <c r="G447" s="9" t="str">
        <f ca="1">IFERROR(__xludf.DUMMYFUNCTION("""COMPUTED_VALUE"""),"1 USD = 218.4116 PKR")</f>
        <v>1 USD = 218.4116 PKR</v>
      </c>
      <c r="H447" s="9" t="str">
        <f ca="1">IFERROR(__xludf.DUMMYFUNCTION("""COMPUTED_VALUE"""),"USD PKR rate for 26/10/2022")</f>
        <v>USD PKR rate for 26/10/2022</v>
      </c>
      <c r="I447" s="9"/>
    </row>
    <row r="448" spans="1:9" ht="14.25" customHeight="1" x14ac:dyDescent="0.3">
      <c r="A448" s="6">
        <v>40165</v>
      </c>
      <c r="B448" s="7">
        <v>84.232399999999998</v>
      </c>
      <c r="C448" s="8">
        <f t="shared" si="3"/>
        <v>85.550992196481758</v>
      </c>
      <c r="D448" s="9">
        <f t="shared" si="2"/>
        <v>62.961940838718647</v>
      </c>
      <c r="E448" s="9"/>
      <c r="F448" s="9">
        <f ca="1">IFERROR(__xludf.DUMMYFUNCTION("""COMPUTED_VALUE"""),44859)</f>
        <v>44859</v>
      </c>
      <c r="G448" s="9" t="str">
        <f ca="1">IFERROR(__xludf.DUMMYFUNCTION("""COMPUTED_VALUE"""),"1 USD = 219.5426 PKR")</f>
        <v>1 USD = 219.5426 PKR</v>
      </c>
      <c r="H448" s="9" t="str">
        <f ca="1">IFERROR(__xludf.DUMMYFUNCTION("""COMPUTED_VALUE"""),"USD PKR rate for 25/10/2022")</f>
        <v>USD PKR rate for 25/10/2022</v>
      </c>
      <c r="I448" s="9"/>
    </row>
    <row r="449" spans="1:9" ht="14.25" customHeight="1" x14ac:dyDescent="0.3">
      <c r="A449" s="6">
        <v>40166</v>
      </c>
      <c r="B449" s="7">
        <v>84.194400000000016</v>
      </c>
      <c r="C449" s="8">
        <f t="shared" si="3"/>
        <v>85.566292971618907</v>
      </c>
      <c r="D449" s="9">
        <f t="shared" si="2"/>
        <v>62.964678671515912</v>
      </c>
      <c r="E449" s="9"/>
      <c r="F449" s="9">
        <f ca="1">IFERROR(__xludf.DUMMYFUNCTION("""COMPUTED_VALUE"""),44858)</f>
        <v>44858</v>
      </c>
      <c r="G449" s="9" t="str">
        <f ca="1">IFERROR(__xludf.DUMMYFUNCTION("""COMPUTED_VALUE"""),"1 USD = 219.3458 PKR")</f>
        <v>1 USD = 219.3458 PKR</v>
      </c>
      <c r="H449" s="9" t="str">
        <f ca="1">IFERROR(__xludf.DUMMYFUNCTION("""COMPUTED_VALUE"""),"USD PKR rate for 24/10/2022")</f>
        <v>USD PKR rate for 24/10/2022</v>
      </c>
      <c r="I449" s="9"/>
    </row>
    <row r="450" spans="1:9" ht="14.25" customHeight="1" x14ac:dyDescent="0.3">
      <c r="A450" s="6">
        <v>40167</v>
      </c>
      <c r="B450" s="7">
        <v>84.198800000000006</v>
      </c>
      <c r="C450" s="8">
        <f t="shared" si="3"/>
        <v>85.581596483296153</v>
      </c>
      <c r="D450" s="9">
        <f t="shared" si="2"/>
        <v>62.967416504313178</v>
      </c>
      <c r="E450" s="9"/>
      <c r="F450" s="9">
        <f ca="1">IFERROR(__xludf.DUMMYFUNCTION("""COMPUTED_VALUE"""),44857)</f>
        <v>44857</v>
      </c>
      <c r="G450" s="9" t="str">
        <f ca="1">IFERROR(__xludf.DUMMYFUNCTION("""COMPUTED_VALUE"""),"1 USD = 219.0589 PKR")</f>
        <v>1 USD = 219.0589 PKR</v>
      </c>
      <c r="H450" s="9" t="str">
        <f ca="1">IFERROR(__xludf.DUMMYFUNCTION("""COMPUTED_VALUE"""),"USD PKR rate for 23/10/2022")</f>
        <v>USD PKR rate for 23/10/2022</v>
      </c>
      <c r="I450" s="9"/>
    </row>
    <row r="451" spans="1:9" ht="14.25" customHeight="1" x14ac:dyDescent="0.3">
      <c r="A451" s="6">
        <v>40168</v>
      </c>
      <c r="B451" s="7">
        <v>84.282100000000014</v>
      </c>
      <c r="C451" s="8">
        <f t="shared" si="3"/>
        <v>85.596902732002917</v>
      </c>
      <c r="D451" s="9">
        <f t="shared" si="2"/>
        <v>62.970154337110444</v>
      </c>
      <c r="E451" s="9"/>
      <c r="F451" s="9">
        <f ca="1">IFERROR(__xludf.DUMMYFUNCTION("""COMPUTED_VALUE"""),44856)</f>
        <v>44856</v>
      </c>
      <c r="G451" s="9" t="str">
        <f ca="1">IFERROR(__xludf.DUMMYFUNCTION("""COMPUTED_VALUE"""),"1 USD = 218.3824 PKR")</f>
        <v>1 USD = 218.3824 PKR</v>
      </c>
      <c r="H451" s="9" t="str">
        <f ca="1">IFERROR(__xludf.DUMMYFUNCTION("""COMPUTED_VALUE"""),"USD PKR rate for 22/10/2022")</f>
        <v>USD PKR rate for 22/10/2022</v>
      </c>
      <c r="I451" s="9"/>
    </row>
    <row r="452" spans="1:9" ht="14.25" customHeight="1" x14ac:dyDescent="0.3">
      <c r="A452" s="6">
        <v>40169</v>
      </c>
      <c r="B452" s="7">
        <v>84.2363</v>
      </c>
      <c r="C452" s="8">
        <f t="shared" si="3"/>
        <v>85.612211718228707</v>
      </c>
      <c r="D452" s="9">
        <f t="shared" si="2"/>
        <v>62.972892169907709</v>
      </c>
      <c r="E452" s="9"/>
      <c r="F452" s="9">
        <f ca="1">IFERROR(__xludf.DUMMYFUNCTION("""COMPUTED_VALUE"""),44855)</f>
        <v>44855</v>
      </c>
      <c r="G452" s="9" t="str">
        <f ca="1">IFERROR(__xludf.DUMMYFUNCTION("""COMPUTED_VALUE"""),"1 USD = 221.1597 PKR")</f>
        <v>1 USD = 221.1597 PKR</v>
      </c>
      <c r="H452" s="9" t="str">
        <f ca="1">IFERROR(__xludf.DUMMYFUNCTION("""COMPUTED_VALUE"""),"USD PKR rate for 21/10/2022")</f>
        <v>USD PKR rate for 21/10/2022</v>
      </c>
      <c r="I452" s="9"/>
    </row>
    <row r="453" spans="1:9" ht="14.25" customHeight="1" x14ac:dyDescent="0.3">
      <c r="A453" s="6">
        <v>40170</v>
      </c>
      <c r="B453" s="7">
        <v>84.287899999999993</v>
      </c>
      <c r="C453" s="8">
        <f t="shared" si="3"/>
        <v>85.627523442463144</v>
      </c>
      <c r="D453" s="9">
        <f t="shared" si="2"/>
        <v>62.975630002704975</v>
      </c>
      <c r="E453" s="9"/>
      <c r="F453" s="9">
        <f ca="1">IFERROR(__xludf.DUMMYFUNCTION("""COMPUTED_VALUE"""),44854)</f>
        <v>44854</v>
      </c>
      <c r="G453" s="9" t="str">
        <f ca="1">IFERROR(__xludf.DUMMYFUNCTION("""COMPUTED_VALUE"""),"1 USD = 220.6325 PKR")</f>
        <v>1 USD = 220.6325 PKR</v>
      </c>
      <c r="H453" s="9" t="str">
        <f ca="1">IFERROR(__xludf.DUMMYFUNCTION("""COMPUTED_VALUE"""),"USD PKR rate for 20/10/2022")</f>
        <v>USD PKR rate for 20/10/2022</v>
      </c>
      <c r="I453" s="9"/>
    </row>
    <row r="454" spans="1:9" ht="14.25" customHeight="1" x14ac:dyDescent="0.3">
      <c r="A454" s="6">
        <v>40171</v>
      </c>
      <c r="B454" s="7">
        <v>84.244100000000003</v>
      </c>
      <c r="C454" s="8">
        <f t="shared" si="3"/>
        <v>85.642837905195918</v>
      </c>
      <c r="D454" s="9">
        <f t="shared" si="2"/>
        <v>62.97836783550224</v>
      </c>
      <c r="E454" s="9"/>
      <c r="F454" s="9">
        <f ca="1">IFERROR(__xludf.DUMMYFUNCTION("""COMPUTED_VALUE"""),44853)</f>
        <v>44853</v>
      </c>
      <c r="G454" s="9" t="str">
        <f ca="1">IFERROR(__xludf.DUMMYFUNCTION("""COMPUTED_VALUE"""),"1 USD = 220.9184 PKR")</f>
        <v>1 USD = 220.9184 PKR</v>
      </c>
      <c r="H454" s="9" t="str">
        <f ca="1">IFERROR(__xludf.DUMMYFUNCTION("""COMPUTED_VALUE"""),"USD PKR rate for 19/10/2022")</f>
        <v>USD PKR rate for 19/10/2022</v>
      </c>
      <c r="I454" s="9"/>
    </row>
    <row r="455" spans="1:9" ht="14.25" customHeight="1" x14ac:dyDescent="0.3">
      <c r="A455" s="6">
        <v>40172</v>
      </c>
      <c r="B455" s="7">
        <v>84.185000000000002</v>
      </c>
      <c r="C455" s="8">
        <f t="shared" si="3"/>
        <v>85.65815510691678</v>
      </c>
      <c r="D455" s="9">
        <f t="shared" si="2"/>
        <v>62.981105668299506</v>
      </c>
      <c r="E455" s="9"/>
      <c r="F455" s="9">
        <f ca="1">IFERROR(__xludf.DUMMYFUNCTION("""COMPUTED_VALUE"""),44852)</f>
        <v>44852</v>
      </c>
      <c r="G455" s="9" t="str">
        <f ca="1">IFERROR(__xludf.DUMMYFUNCTION("""COMPUTED_VALUE"""),"1 USD = 219.4915 PKR")</f>
        <v>1 USD = 219.4915 PKR</v>
      </c>
      <c r="H455" s="9" t="str">
        <f ca="1">IFERROR(__xludf.DUMMYFUNCTION("""COMPUTED_VALUE"""),"USD PKR rate for 18/10/2022")</f>
        <v>USD PKR rate for 18/10/2022</v>
      </c>
      <c r="I455" s="9"/>
    </row>
    <row r="456" spans="1:9" ht="14.25" customHeight="1" x14ac:dyDescent="0.3">
      <c r="A456" s="6">
        <v>40173</v>
      </c>
      <c r="B456" s="7">
        <v>84.179599999999994</v>
      </c>
      <c r="C456" s="8">
        <f t="shared" si="3"/>
        <v>85.673475048115648</v>
      </c>
      <c r="D456" s="9">
        <f t="shared" si="2"/>
        <v>62.983843501096771</v>
      </c>
      <c r="E456" s="9"/>
      <c r="F456" s="9">
        <f ca="1">IFERROR(__xludf.DUMMYFUNCTION("""COMPUTED_VALUE"""),44851)</f>
        <v>44851</v>
      </c>
      <c r="G456" s="9" t="str">
        <f ca="1">IFERROR(__xludf.DUMMYFUNCTION("""COMPUTED_VALUE"""),"1 USD = 219.3923 PKR")</f>
        <v>1 USD = 219.3923 PKR</v>
      </c>
      <c r="H456" s="9" t="str">
        <f ca="1">IFERROR(__xludf.DUMMYFUNCTION("""COMPUTED_VALUE"""),"USD PKR rate for 17/10/2022")</f>
        <v>USD PKR rate for 17/10/2022</v>
      </c>
      <c r="I456" s="9"/>
    </row>
    <row r="457" spans="1:9" ht="14.25" customHeight="1" x14ac:dyDescent="0.3">
      <c r="A457" s="6">
        <v>40174</v>
      </c>
      <c r="B457" s="7">
        <v>84.174300000000002</v>
      </c>
      <c r="C457" s="8">
        <f t="shared" si="3"/>
        <v>85.688797729282371</v>
      </c>
      <c r="D457" s="9">
        <f t="shared" si="2"/>
        <v>62.986581333894037</v>
      </c>
      <c r="E457" s="9"/>
      <c r="F457" s="9">
        <f ca="1">IFERROR(__xludf.DUMMYFUNCTION("""COMPUTED_VALUE"""),44850)</f>
        <v>44850</v>
      </c>
      <c r="G457" s="9" t="str">
        <f ca="1">IFERROR(__xludf.DUMMYFUNCTION("""COMPUTED_VALUE"""),"1 USD = 218.6684 PKR")</f>
        <v>1 USD = 218.6684 PKR</v>
      </c>
      <c r="H457" s="9" t="str">
        <f ca="1">IFERROR(__xludf.DUMMYFUNCTION("""COMPUTED_VALUE"""),"USD PKR rate for 16/10/2022")</f>
        <v>USD PKR rate for 16/10/2022</v>
      </c>
      <c r="I457" s="9"/>
    </row>
    <row r="458" spans="1:9" ht="14.25" customHeight="1" x14ac:dyDescent="0.3">
      <c r="A458" s="6">
        <v>40175</v>
      </c>
      <c r="B458" s="7">
        <v>84.149699999999996</v>
      </c>
      <c r="C458" s="8">
        <f t="shared" si="3"/>
        <v>85.704123150907151</v>
      </c>
      <c r="D458" s="9">
        <f t="shared" si="2"/>
        <v>62.989319166691303</v>
      </c>
      <c r="E458" s="9"/>
      <c r="F458" s="9">
        <f ca="1">IFERROR(__xludf.DUMMYFUNCTION("""COMPUTED_VALUE"""),44849)</f>
        <v>44849</v>
      </c>
      <c r="G458" s="9" t="str">
        <f ca="1">IFERROR(__xludf.DUMMYFUNCTION("""COMPUTED_VALUE"""),"1 USD = 218.2598 PKR")</f>
        <v>1 USD = 218.2598 PKR</v>
      </c>
      <c r="H458" s="9" t="str">
        <f ca="1">IFERROR(__xludf.DUMMYFUNCTION("""COMPUTED_VALUE"""),"USD PKR rate for 15/10/2022")</f>
        <v>USD PKR rate for 15/10/2022</v>
      </c>
      <c r="I458" s="9"/>
    </row>
    <row r="459" spans="1:9" ht="14.25" customHeight="1" x14ac:dyDescent="0.3">
      <c r="A459" s="6">
        <v>40176</v>
      </c>
      <c r="B459" s="7">
        <v>84.098299999999995</v>
      </c>
      <c r="C459" s="8">
        <f t="shared" si="3"/>
        <v>85.719451313480022</v>
      </c>
      <c r="D459" s="9">
        <f t="shared" si="2"/>
        <v>62.992056999488568</v>
      </c>
      <c r="E459" s="9"/>
      <c r="F459" s="9">
        <f ca="1">IFERROR(__xludf.DUMMYFUNCTION("""COMPUTED_VALUE"""),44848)</f>
        <v>44848</v>
      </c>
      <c r="G459" s="9" t="str">
        <f ca="1">IFERROR(__xludf.DUMMYFUNCTION("""COMPUTED_VALUE"""),"1 USD = 218.2598 PKR")</f>
        <v>1 USD = 218.2598 PKR</v>
      </c>
      <c r="H459" s="9" t="str">
        <f ca="1">IFERROR(__xludf.DUMMYFUNCTION("""COMPUTED_VALUE"""),"USD PKR rate for 14/10/2022")</f>
        <v>USD PKR rate for 14/10/2022</v>
      </c>
      <c r="I459" s="9"/>
    </row>
    <row r="460" spans="1:9" ht="14.25" customHeight="1" x14ac:dyDescent="0.3">
      <c r="A460" s="6">
        <v>40177</v>
      </c>
      <c r="B460" s="7">
        <v>84.187899999999999</v>
      </c>
      <c r="C460" s="8">
        <f t="shared" si="3"/>
        <v>85.73478221749123</v>
      </c>
      <c r="D460" s="9">
        <f t="shared" si="2"/>
        <v>62.994794832285834</v>
      </c>
      <c r="E460" s="9"/>
      <c r="F460" s="9">
        <f ca="1">IFERROR(__xludf.DUMMYFUNCTION("""COMPUTED_VALUE"""),44847)</f>
        <v>44847</v>
      </c>
      <c r="G460" s="9" t="str">
        <f ca="1">IFERROR(__xludf.DUMMYFUNCTION("""COMPUTED_VALUE"""),"1 USD = 218.3761 PKR")</f>
        <v>1 USD = 218.3761 PKR</v>
      </c>
      <c r="H460" s="9" t="str">
        <f ca="1">IFERROR(__xludf.DUMMYFUNCTION("""COMPUTED_VALUE"""),"USD PKR rate for 13/10/2022")</f>
        <v>USD PKR rate for 13/10/2022</v>
      </c>
      <c r="I460" s="9"/>
    </row>
    <row r="461" spans="1:9" ht="14.25" customHeight="1" x14ac:dyDescent="0.3">
      <c r="A461" s="6">
        <v>40178</v>
      </c>
      <c r="B461" s="7">
        <v>84.141400000000004</v>
      </c>
      <c r="C461" s="8">
        <f t="shared" si="3"/>
        <v>85.750115863431063</v>
      </c>
      <c r="D461" s="9">
        <f t="shared" si="2"/>
        <v>62.997532665083099</v>
      </c>
      <c r="E461" s="9"/>
      <c r="F461" s="9">
        <f ca="1">IFERROR(__xludf.DUMMYFUNCTION("""COMPUTED_VALUE"""),44846)</f>
        <v>44846</v>
      </c>
      <c r="G461" s="9" t="str">
        <f ca="1">IFERROR(__xludf.DUMMYFUNCTION("""COMPUTED_VALUE"""),"1 USD = 217.9525 PKR")</f>
        <v>1 USD = 217.9525 PKR</v>
      </c>
      <c r="H461" s="9" t="str">
        <f ca="1">IFERROR(__xludf.DUMMYFUNCTION("""COMPUTED_VALUE"""),"USD PKR rate for 12/10/2022")</f>
        <v>USD PKR rate for 12/10/2022</v>
      </c>
      <c r="I461" s="9"/>
    </row>
    <row r="462" spans="1:9" ht="14.25" customHeight="1" x14ac:dyDescent="0.3">
      <c r="A462" s="6">
        <v>40179</v>
      </c>
      <c r="B462" s="7">
        <v>84.389399999999995</v>
      </c>
      <c r="C462" s="8">
        <f t="shared" si="3"/>
        <v>85.765452251789924</v>
      </c>
      <c r="D462" s="9">
        <f t="shared" si="2"/>
        <v>63.000270497880365</v>
      </c>
      <c r="E462" s="9"/>
      <c r="F462" s="9">
        <f ca="1">IFERROR(__xludf.DUMMYFUNCTION("""COMPUTED_VALUE"""),44845)</f>
        <v>44845</v>
      </c>
      <c r="G462" s="9" t="str">
        <f ca="1">IFERROR(__xludf.DUMMYFUNCTION("""COMPUTED_VALUE"""),"1 USD = 217.1489 PKR")</f>
        <v>1 USD = 217.1489 PKR</v>
      </c>
      <c r="H462" s="9" t="str">
        <f ca="1">IFERROR(__xludf.DUMMYFUNCTION("""COMPUTED_VALUE"""),"USD PKR rate for 11/10/2022")</f>
        <v>USD PKR rate for 11/10/2022</v>
      </c>
      <c r="I462" s="9"/>
    </row>
    <row r="463" spans="1:9" ht="14.25" customHeight="1" x14ac:dyDescent="0.3">
      <c r="A463" s="6">
        <v>40180</v>
      </c>
      <c r="B463" s="7">
        <v>84.405100000000004</v>
      </c>
      <c r="C463" s="8">
        <f t="shared" si="3"/>
        <v>85.7807913830583</v>
      </c>
      <c r="D463" s="9">
        <f t="shared" si="2"/>
        <v>63.003008330677631</v>
      </c>
      <c r="E463" s="9"/>
      <c r="F463" s="9">
        <f ca="1">IFERROR(__xludf.DUMMYFUNCTION("""COMPUTED_VALUE"""),44844)</f>
        <v>44844</v>
      </c>
      <c r="G463" s="9" t="str">
        <f ca="1">IFERROR(__xludf.DUMMYFUNCTION("""COMPUTED_VALUE"""),"1 USD = 218.8363 PKR")</f>
        <v>1 USD = 218.8363 PKR</v>
      </c>
      <c r="H463" s="9" t="str">
        <f ca="1">IFERROR(__xludf.DUMMYFUNCTION("""COMPUTED_VALUE"""),"USD PKR rate for 10/10/2022")</f>
        <v>USD PKR rate for 10/10/2022</v>
      </c>
      <c r="I463" s="9"/>
    </row>
    <row r="464" spans="1:9" ht="14.25" customHeight="1" x14ac:dyDescent="0.3">
      <c r="A464" s="6">
        <v>40181</v>
      </c>
      <c r="B464" s="7">
        <v>84.4208</v>
      </c>
      <c r="C464" s="8">
        <f t="shared" si="3"/>
        <v>85.796133257726737</v>
      </c>
      <c r="D464" s="9">
        <f t="shared" si="2"/>
        <v>63.005746163474896</v>
      </c>
      <c r="E464" s="9"/>
      <c r="F464" s="9">
        <f ca="1">IFERROR(__xludf.DUMMYFUNCTION("""COMPUTED_VALUE"""),44843)</f>
        <v>44843</v>
      </c>
      <c r="G464" s="9" t="str">
        <f ca="1">IFERROR(__xludf.DUMMYFUNCTION("""COMPUTED_VALUE"""),"1 USD = 221.5057 PKR")</f>
        <v>1 USD = 221.5057 PKR</v>
      </c>
      <c r="H464" s="9" t="str">
        <f ca="1">IFERROR(__xludf.DUMMYFUNCTION("""COMPUTED_VALUE"""),"USD PKR rate for 09/10/2022")</f>
        <v>USD PKR rate for 09/10/2022</v>
      </c>
      <c r="I464" s="9"/>
    </row>
    <row r="465" spans="1:9" ht="14.25" customHeight="1" x14ac:dyDescent="0.3">
      <c r="A465" s="6">
        <v>40182</v>
      </c>
      <c r="B465" s="7">
        <v>84.436300000000003</v>
      </c>
      <c r="C465" s="8">
        <f t="shared" si="3"/>
        <v>85.811477876285906</v>
      </c>
      <c r="D465" s="9">
        <f t="shared" si="2"/>
        <v>63.008483996272162</v>
      </c>
      <c r="E465" s="9"/>
      <c r="F465" s="9">
        <f ca="1">IFERROR(__xludf.DUMMYFUNCTION("""COMPUTED_VALUE"""),44842)</f>
        <v>44842</v>
      </c>
      <c r="G465" s="9" t="str">
        <f ca="1">IFERROR(__xludf.DUMMYFUNCTION("""COMPUTED_VALUE"""),"1 USD = 223.01 PKR")</f>
        <v>1 USD = 223.01 PKR</v>
      </c>
      <c r="H465" s="9" t="str">
        <f ca="1">IFERROR(__xludf.DUMMYFUNCTION("""COMPUTED_VALUE"""),"USD PKR rate for 08/10/2022")</f>
        <v>USD PKR rate for 08/10/2022</v>
      </c>
      <c r="I465" s="9"/>
    </row>
    <row r="466" spans="1:9" ht="14.25" customHeight="1" x14ac:dyDescent="0.3">
      <c r="A466" s="6">
        <v>40183</v>
      </c>
      <c r="B466" s="7">
        <v>84.682199999999995</v>
      </c>
      <c r="C466" s="8">
        <f t="shared" si="3"/>
        <v>85.82682523922648</v>
      </c>
      <c r="D466" s="9">
        <f t="shared" si="2"/>
        <v>63.011221829069427</v>
      </c>
      <c r="E466" s="9"/>
      <c r="F466" s="9">
        <f ca="1">IFERROR(__xludf.DUMMYFUNCTION("""COMPUTED_VALUE"""),44841)</f>
        <v>44841</v>
      </c>
      <c r="G466" s="9" t="str">
        <f ca="1">IFERROR(__xludf.DUMMYFUNCTION("""COMPUTED_VALUE"""),"1 USD = 223.0059 PKR")</f>
        <v>1 USD = 223.0059 PKR</v>
      </c>
      <c r="H466" s="9" t="str">
        <f ca="1">IFERROR(__xludf.DUMMYFUNCTION("""COMPUTED_VALUE"""),"USD PKR rate for 07/10/2022")</f>
        <v>USD PKR rate for 07/10/2022</v>
      </c>
      <c r="I466" s="9"/>
    </row>
    <row r="467" spans="1:9" ht="14.25" customHeight="1" x14ac:dyDescent="0.3">
      <c r="A467" s="6">
        <v>40184</v>
      </c>
      <c r="B467" s="7">
        <v>84.729100000000003</v>
      </c>
      <c r="C467" s="8">
        <f t="shared" si="3"/>
        <v>85.842175347039429</v>
      </c>
      <c r="D467" s="9">
        <f t="shared" si="2"/>
        <v>63.013959661866693</v>
      </c>
      <c r="E467" s="9"/>
      <c r="F467" s="9">
        <f ca="1">IFERROR(__xludf.DUMMYFUNCTION("""COMPUTED_VALUE"""),44840)</f>
        <v>44840</v>
      </c>
      <c r="G467" s="9" t="str">
        <f ca="1">IFERROR(__xludf.DUMMYFUNCTION("""COMPUTED_VALUE"""),"1 USD = 221.8704 PKR")</f>
        <v>1 USD = 221.8704 PKR</v>
      </c>
      <c r="H467" s="9" t="str">
        <f ca="1">IFERROR(__xludf.DUMMYFUNCTION("""COMPUTED_VALUE"""),"USD PKR rate for 06/10/2022")</f>
        <v>USD PKR rate for 06/10/2022</v>
      </c>
      <c r="I467" s="9"/>
    </row>
    <row r="468" spans="1:9" ht="14.25" customHeight="1" x14ac:dyDescent="0.3">
      <c r="A468" s="6">
        <v>40185</v>
      </c>
      <c r="B468" s="7">
        <v>84.7453</v>
      </c>
      <c r="C468" s="8">
        <f t="shared" si="3"/>
        <v>85.857528200215611</v>
      </c>
      <c r="D468" s="9">
        <f t="shared" si="2"/>
        <v>63.016697494663958</v>
      </c>
      <c r="E468" s="9"/>
      <c r="F468" s="9">
        <f ca="1">IFERROR(__xludf.DUMMYFUNCTION("""COMPUTED_VALUE"""),44839)</f>
        <v>44839</v>
      </c>
      <c r="G468" s="9" t="str">
        <f ca="1">IFERROR(__xludf.DUMMYFUNCTION("""COMPUTED_VALUE"""),"1 USD = 224.2981 PKR")</f>
        <v>1 USD = 224.2981 PKR</v>
      </c>
      <c r="H468" s="9" t="str">
        <f ca="1">IFERROR(__xludf.DUMMYFUNCTION("""COMPUTED_VALUE"""),"USD PKR rate for 05/10/2022")</f>
        <v>USD PKR rate for 05/10/2022</v>
      </c>
      <c r="I468" s="9"/>
    </row>
    <row r="469" spans="1:9" ht="14.25" customHeight="1" x14ac:dyDescent="0.3">
      <c r="A469" s="6">
        <v>40186</v>
      </c>
      <c r="B469" s="7">
        <v>84.795699999999997</v>
      </c>
      <c r="C469" s="8">
        <f t="shared" si="3"/>
        <v>85.872883799246026</v>
      </c>
      <c r="D469" s="9">
        <f t="shared" si="2"/>
        <v>63.019435327461224</v>
      </c>
      <c r="E469" s="9"/>
      <c r="F469" s="9">
        <f ca="1">IFERROR(__xludf.DUMMYFUNCTION("""COMPUTED_VALUE"""),44838)</f>
        <v>44838</v>
      </c>
      <c r="G469" s="9" t="str">
        <f ca="1">IFERROR(__xludf.DUMMYFUNCTION("""COMPUTED_VALUE"""),"1 USD = 225.2484 PKR")</f>
        <v>1 USD = 225.2484 PKR</v>
      </c>
      <c r="H469" s="9" t="str">
        <f ca="1">IFERROR(__xludf.DUMMYFUNCTION("""COMPUTED_VALUE"""),"USD PKR rate for 04/10/2022")</f>
        <v>USD PKR rate for 04/10/2022</v>
      </c>
      <c r="I469" s="9"/>
    </row>
    <row r="470" spans="1:9" ht="14.25" customHeight="1" x14ac:dyDescent="0.3">
      <c r="A470" s="6">
        <v>40187</v>
      </c>
      <c r="B470" s="7">
        <v>84.746499999999997</v>
      </c>
      <c r="C470" s="8">
        <f t="shared" si="3"/>
        <v>85.888242144621771</v>
      </c>
      <c r="D470" s="9">
        <f t="shared" si="2"/>
        <v>63.02217316025849</v>
      </c>
      <c r="E470" s="9"/>
      <c r="F470" s="9">
        <f ca="1">IFERROR(__xludf.DUMMYFUNCTION("""COMPUTED_VALUE"""),44837)</f>
        <v>44837</v>
      </c>
      <c r="G470" s="9" t="str">
        <f ca="1">IFERROR(__xludf.DUMMYFUNCTION("""COMPUTED_VALUE"""),"1 USD = 228.1623 PKR")</f>
        <v>1 USD = 228.1623 PKR</v>
      </c>
      <c r="H470" s="9" t="str">
        <f ca="1">IFERROR(__xludf.DUMMYFUNCTION("""COMPUTED_VALUE"""),"USD PKR rate for 03/10/2022")</f>
        <v>USD PKR rate for 03/10/2022</v>
      </c>
      <c r="I470" s="9"/>
    </row>
    <row r="471" spans="1:9" ht="14.25" customHeight="1" x14ac:dyDescent="0.3">
      <c r="A471" s="6">
        <v>40188</v>
      </c>
      <c r="B471" s="7">
        <v>84.714800000000011</v>
      </c>
      <c r="C471" s="8">
        <f t="shared" si="3"/>
        <v>85.90360323683403</v>
      </c>
      <c r="D471" s="9">
        <f t="shared" si="2"/>
        <v>63.024910993055755</v>
      </c>
      <c r="E471" s="9"/>
      <c r="F471" s="9">
        <f ca="1">IFERROR(__xludf.DUMMYFUNCTION("""COMPUTED_VALUE"""),44836)</f>
        <v>44836</v>
      </c>
      <c r="G471" s="9" t="str">
        <f ca="1">IFERROR(__xludf.DUMMYFUNCTION("""COMPUTED_VALUE"""),"1 USD = 228.5928 PKR")</f>
        <v>1 USD = 228.5928 PKR</v>
      </c>
      <c r="H471" s="9" t="str">
        <f ca="1">IFERROR(__xludf.DUMMYFUNCTION("""COMPUTED_VALUE"""),"USD PKR rate for 02/10/2022")</f>
        <v>USD PKR rate for 02/10/2022</v>
      </c>
      <c r="I471" s="9"/>
    </row>
    <row r="472" spans="1:9" ht="14.25" customHeight="1" x14ac:dyDescent="0.3">
      <c r="A472" s="6">
        <v>40189</v>
      </c>
      <c r="B472" s="7">
        <v>84.793300000000002</v>
      </c>
      <c r="C472" s="8">
        <f t="shared" si="3"/>
        <v>85.918967076374059</v>
      </c>
      <c r="D472" s="9">
        <f t="shared" si="2"/>
        <v>63.027648825853021</v>
      </c>
      <c r="E472" s="9"/>
      <c r="F472" s="9">
        <f ca="1">IFERROR(__xludf.DUMMYFUNCTION("""COMPUTED_VALUE"""),44835)</f>
        <v>44835</v>
      </c>
      <c r="G472" s="9" t="str">
        <f ca="1">IFERROR(__xludf.DUMMYFUNCTION("""COMPUTED_VALUE"""),"1 USD = 228.1 PKR")</f>
        <v>1 USD = 228.1 PKR</v>
      </c>
      <c r="H472" s="9" t="str">
        <f ca="1">IFERROR(__xludf.DUMMYFUNCTION("""COMPUTED_VALUE"""),"USD PKR rate for 01/10/2022")</f>
        <v>USD PKR rate for 01/10/2022</v>
      </c>
      <c r="I472" s="9"/>
    </row>
    <row r="473" spans="1:9" ht="14.25" customHeight="1" x14ac:dyDescent="0.3">
      <c r="A473" s="6">
        <v>40190</v>
      </c>
      <c r="B473" s="7">
        <v>85.094300000000004</v>
      </c>
      <c r="C473" s="8">
        <f t="shared" si="3"/>
        <v>85.934333663733241</v>
      </c>
      <c r="D473" s="9">
        <f t="shared" si="2"/>
        <v>63.030386658650286</v>
      </c>
      <c r="E473" s="9"/>
      <c r="F473" s="9">
        <f ca="1">IFERROR(__xludf.DUMMYFUNCTION("""COMPUTED_VALUE"""),44834)</f>
        <v>44834</v>
      </c>
      <c r="G473" s="9" t="str">
        <f ca="1">IFERROR(__xludf.DUMMYFUNCTION("""COMPUTED_VALUE"""),"1 USD = 228.5639 PKR")</f>
        <v>1 USD = 228.5639 PKR</v>
      </c>
      <c r="H473" s="9" t="str">
        <f ca="1">IFERROR(__xludf.DUMMYFUNCTION("""COMPUTED_VALUE"""),"USD PKR rate for 30/09/2022")</f>
        <v>USD PKR rate for 30/09/2022</v>
      </c>
      <c r="I473" s="9"/>
    </row>
    <row r="474" spans="1:9" ht="14.25" customHeight="1" x14ac:dyDescent="0.3">
      <c r="A474" s="6">
        <v>40191</v>
      </c>
      <c r="B474" s="7">
        <v>84.952800000000011</v>
      </c>
      <c r="C474" s="8">
        <f t="shared" si="3"/>
        <v>85.949702999403016</v>
      </c>
      <c r="D474" s="9">
        <f t="shared" si="2"/>
        <v>63.033124491447552</v>
      </c>
      <c r="E474" s="9"/>
      <c r="F474" s="9">
        <f ca="1">IFERROR(__xludf.DUMMYFUNCTION("""COMPUTED_VALUE"""),44833)</f>
        <v>44833</v>
      </c>
      <c r="G474" s="9" t="str">
        <f ca="1">IFERROR(__xludf.DUMMYFUNCTION("""COMPUTED_VALUE"""),"1 USD = 230.3371 PKR")</f>
        <v>1 USD = 230.3371 PKR</v>
      </c>
      <c r="H474" s="9" t="str">
        <f ca="1">IFERROR(__xludf.DUMMYFUNCTION("""COMPUTED_VALUE"""),"USD PKR rate for 29/09/2022")</f>
        <v>USD PKR rate for 29/09/2022</v>
      </c>
      <c r="I474" s="9"/>
    </row>
    <row r="475" spans="1:9" ht="14.25" customHeight="1" x14ac:dyDescent="0.3">
      <c r="A475" s="6">
        <v>40192</v>
      </c>
      <c r="B475" s="7">
        <v>84.792000000000002</v>
      </c>
      <c r="C475" s="8">
        <f t="shared" si="3"/>
        <v>85.965075083874851</v>
      </c>
      <c r="D475" s="9">
        <f t="shared" si="2"/>
        <v>63.035862324244818</v>
      </c>
      <c r="E475" s="9"/>
      <c r="F475" s="9">
        <f ca="1">IFERROR(__xludf.DUMMYFUNCTION("""COMPUTED_VALUE"""),44832)</f>
        <v>44832</v>
      </c>
      <c r="G475" s="9" t="str">
        <f ca="1">IFERROR(__xludf.DUMMYFUNCTION("""COMPUTED_VALUE"""),"1 USD = 233.1048 PKR")</f>
        <v>1 USD = 233.1048 PKR</v>
      </c>
      <c r="H475" s="9" t="str">
        <f ca="1">IFERROR(__xludf.DUMMYFUNCTION("""COMPUTED_VALUE"""),"USD PKR rate for 28/09/2022")</f>
        <v>USD PKR rate for 28/09/2022</v>
      </c>
      <c r="I475" s="9"/>
    </row>
    <row r="476" spans="1:9" ht="14.25" customHeight="1" x14ac:dyDescent="0.3">
      <c r="A476" s="6">
        <v>40193</v>
      </c>
      <c r="B476" s="7">
        <v>84.699100000000001</v>
      </c>
      <c r="C476" s="8">
        <f t="shared" si="3"/>
        <v>85.980449917640485</v>
      </c>
      <c r="D476" s="9">
        <f t="shared" si="2"/>
        <v>63.038600157042083</v>
      </c>
      <c r="E476" s="9"/>
      <c r="F476" s="9">
        <f ca="1">IFERROR(__xludf.DUMMYFUNCTION("""COMPUTED_VALUE"""),44831)</f>
        <v>44831</v>
      </c>
      <c r="G476" s="9" t="str">
        <f ca="1">IFERROR(__xludf.DUMMYFUNCTION("""COMPUTED_VALUE"""),"1 USD = 235.102 PKR")</f>
        <v>1 USD = 235.102 PKR</v>
      </c>
      <c r="H476" s="9" t="str">
        <f ca="1">IFERROR(__xludf.DUMMYFUNCTION("""COMPUTED_VALUE"""),"USD PKR rate for 27/09/2022")</f>
        <v>USD PKR rate for 27/09/2022</v>
      </c>
      <c r="I476" s="9"/>
    </row>
    <row r="477" spans="1:9" ht="14.25" customHeight="1" x14ac:dyDescent="0.3">
      <c r="A477" s="6">
        <v>40194</v>
      </c>
      <c r="B477" s="7">
        <v>84.5762</v>
      </c>
      <c r="C477" s="8">
        <f t="shared" si="3"/>
        <v>85.995827501191584</v>
      </c>
      <c r="D477" s="9">
        <f t="shared" si="2"/>
        <v>63.041337989839349</v>
      </c>
      <c r="E477" s="9"/>
      <c r="F477" s="9">
        <f ca="1">IFERROR(__xludf.DUMMYFUNCTION("""COMPUTED_VALUE"""),44830)</f>
        <v>44830</v>
      </c>
      <c r="G477" s="9" t="str">
        <f ca="1">IFERROR(__xludf.DUMMYFUNCTION("""COMPUTED_VALUE"""),"1 USD = 236.9933 PKR")</f>
        <v>1 USD = 236.9933 PKR</v>
      </c>
      <c r="H477" s="9" t="str">
        <f ca="1">IFERROR(__xludf.DUMMYFUNCTION("""COMPUTED_VALUE"""),"USD PKR rate for 26/09/2022")</f>
        <v>USD PKR rate for 26/09/2022</v>
      </c>
      <c r="I477" s="9"/>
    </row>
    <row r="478" spans="1:9" ht="14.25" customHeight="1" x14ac:dyDescent="0.3">
      <c r="A478" s="6">
        <v>40195</v>
      </c>
      <c r="B478" s="7">
        <v>84.617800000000003</v>
      </c>
      <c r="C478" s="8">
        <f t="shared" si="3"/>
        <v>86.011207835019945</v>
      </c>
      <c r="D478" s="9">
        <f t="shared" si="2"/>
        <v>63.044075822636614</v>
      </c>
      <c r="E478" s="9"/>
      <c r="F478" s="9">
        <f ca="1">IFERROR(__xludf.DUMMYFUNCTION("""COMPUTED_VALUE"""),44829)</f>
        <v>44829</v>
      </c>
      <c r="G478" s="9" t="str">
        <f ca="1">IFERROR(__xludf.DUMMYFUNCTION("""COMPUTED_VALUE"""),"1 USD = 240.5432 PKR")</f>
        <v>1 USD = 240.5432 PKR</v>
      </c>
      <c r="H478" s="9" t="str">
        <f ca="1">IFERROR(__xludf.DUMMYFUNCTION("""COMPUTED_VALUE"""),"USD PKR rate for 25/09/2022")</f>
        <v>USD PKR rate for 25/09/2022</v>
      </c>
      <c r="I478" s="9"/>
    </row>
    <row r="479" spans="1:9" ht="14.25" customHeight="1" x14ac:dyDescent="0.3">
      <c r="A479" s="6">
        <v>40196</v>
      </c>
      <c r="B479" s="7">
        <v>84.339100000000002</v>
      </c>
      <c r="C479" s="8">
        <f t="shared" si="3"/>
        <v>86.026590919617448</v>
      </c>
      <c r="D479" s="9">
        <f t="shared" si="2"/>
        <v>63.04681365543388</v>
      </c>
      <c r="E479" s="9"/>
      <c r="F479" s="9">
        <f ca="1">IFERROR(__xludf.DUMMYFUNCTION("""COMPUTED_VALUE"""),44828)</f>
        <v>44828</v>
      </c>
      <c r="G479" s="9" t="str">
        <f ca="1">IFERROR(__xludf.DUMMYFUNCTION("""COMPUTED_VALUE"""),"1 USD = 240.7709 PKR")</f>
        <v>1 USD = 240.7709 PKR</v>
      </c>
      <c r="H479" s="9" t="str">
        <f ca="1">IFERROR(__xludf.DUMMYFUNCTION("""COMPUTED_VALUE"""),"USD PKR rate for 24/09/2022")</f>
        <v>USD PKR rate for 24/09/2022</v>
      </c>
      <c r="I479" s="9"/>
    </row>
    <row r="480" spans="1:9" ht="14.25" customHeight="1" x14ac:dyDescent="0.3">
      <c r="A480" s="6">
        <v>40197</v>
      </c>
      <c r="B480" s="7">
        <v>84.453900000000004</v>
      </c>
      <c r="C480" s="8">
        <f t="shared" si="3"/>
        <v>86.041976755476071</v>
      </c>
      <c r="D480" s="9">
        <f t="shared" si="2"/>
        <v>63.049551488231145</v>
      </c>
      <c r="E480" s="9"/>
      <c r="F480" s="9">
        <f ca="1">IFERROR(__xludf.DUMMYFUNCTION("""COMPUTED_VALUE"""),44827)</f>
        <v>44827</v>
      </c>
      <c r="G480" s="9" t="str">
        <f ca="1">IFERROR(__xludf.DUMMYFUNCTION("""COMPUTED_VALUE"""),"1 USD = 239.8109 PKR")</f>
        <v>1 USD = 239.8109 PKR</v>
      </c>
      <c r="H480" s="9" t="str">
        <f ca="1">IFERROR(__xludf.DUMMYFUNCTION("""COMPUTED_VALUE"""),"USD PKR rate for 23/09/2022")</f>
        <v>USD PKR rate for 23/09/2022</v>
      </c>
      <c r="I480" s="9"/>
    </row>
    <row r="481" spans="1:9" ht="14.25" customHeight="1" x14ac:dyDescent="0.3">
      <c r="A481" s="6">
        <v>40198</v>
      </c>
      <c r="B481" s="7">
        <v>84.633300000000006</v>
      </c>
      <c r="C481" s="8">
        <f t="shared" si="3"/>
        <v>86.057365343087866</v>
      </c>
      <c r="D481" s="9">
        <f t="shared" si="2"/>
        <v>63.052289321028411</v>
      </c>
      <c r="E481" s="9"/>
      <c r="F481" s="9">
        <f ca="1">IFERROR(__xludf.DUMMYFUNCTION("""COMPUTED_VALUE"""),44826)</f>
        <v>44826</v>
      </c>
      <c r="G481" s="9" t="str">
        <f ca="1">IFERROR(__xludf.DUMMYFUNCTION("""COMPUTED_VALUE"""),"1 USD = 239.4834 PKR")</f>
        <v>1 USD = 239.4834 PKR</v>
      </c>
      <c r="H481" s="9" t="str">
        <f ca="1">IFERROR(__xludf.DUMMYFUNCTION("""COMPUTED_VALUE"""),"USD PKR rate for 22/09/2022")</f>
        <v>USD PKR rate for 22/09/2022</v>
      </c>
      <c r="I481" s="9"/>
    </row>
    <row r="482" spans="1:9" ht="14.25" customHeight="1" x14ac:dyDescent="0.3">
      <c r="A482" s="6">
        <v>40199</v>
      </c>
      <c r="B482" s="7">
        <v>84.570499999999996</v>
      </c>
      <c r="C482" s="8">
        <f t="shared" si="3"/>
        <v>86.072756682944998</v>
      </c>
      <c r="D482" s="9">
        <f t="shared" si="2"/>
        <v>63.055027153825677</v>
      </c>
      <c r="E482" s="9"/>
      <c r="F482" s="9">
        <f ca="1">IFERROR(__xludf.DUMMYFUNCTION("""COMPUTED_VALUE"""),44825)</f>
        <v>44825</v>
      </c>
      <c r="G482" s="9" t="str">
        <f ca="1">IFERROR(__xludf.DUMMYFUNCTION("""COMPUTED_VALUE"""),"1 USD = 239.9189 PKR")</f>
        <v>1 USD = 239.9189 PKR</v>
      </c>
      <c r="H482" s="9" t="str">
        <f ca="1">IFERROR(__xludf.DUMMYFUNCTION("""COMPUTED_VALUE"""),"USD PKR rate for 21/09/2022")</f>
        <v>USD PKR rate for 21/09/2022</v>
      </c>
      <c r="I482" s="9"/>
    </row>
    <row r="483" spans="1:9" ht="14.25" customHeight="1" x14ac:dyDescent="0.3">
      <c r="A483" s="6">
        <v>40200</v>
      </c>
      <c r="B483" s="7">
        <v>84.603300000000004</v>
      </c>
      <c r="C483" s="8">
        <f t="shared" si="3"/>
        <v>86.088150775539688</v>
      </c>
      <c r="D483" s="9">
        <f t="shared" si="2"/>
        <v>63.057764986622942</v>
      </c>
      <c r="E483" s="9"/>
      <c r="F483" s="9">
        <f ca="1">IFERROR(__xludf.DUMMYFUNCTION("""COMPUTED_VALUE"""),44824)</f>
        <v>44824</v>
      </c>
      <c r="G483" s="9" t="str">
        <f ca="1">IFERROR(__xludf.DUMMYFUNCTION("""COMPUTED_VALUE"""),"1 USD = 239.2616 PKR")</f>
        <v>1 USD = 239.2616 PKR</v>
      </c>
      <c r="H483" s="9" t="str">
        <f ca="1">IFERROR(__xludf.DUMMYFUNCTION("""COMPUTED_VALUE"""),"USD PKR rate for 20/09/2022")</f>
        <v>USD PKR rate for 20/09/2022</v>
      </c>
      <c r="I483" s="9"/>
    </row>
    <row r="484" spans="1:9" ht="14.25" customHeight="1" x14ac:dyDescent="0.3">
      <c r="A484" s="6">
        <v>40201</v>
      </c>
      <c r="B484" s="7">
        <v>84.637799999999999</v>
      </c>
      <c r="C484" s="8">
        <f t="shared" si="3"/>
        <v>86.1035476213642</v>
      </c>
      <c r="D484" s="9">
        <f t="shared" si="2"/>
        <v>63.060502819420208</v>
      </c>
      <c r="E484" s="9"/>
      <c r="F484" s="9">
        <f ca="1">IFERROR(__xludf.DUMMYFUNCTION("""COMPUTED_VALUE"""),44823)</f>
        <v>44823</v>
      </c>
      <c r="G484" s="9" t="str">
        <f ca="1">IFERROR(__xludf.DUMMYFUNCTION("""COMPUTED_VALUE"""),"1 USD = 238.2001 PKR")</f>
        <v>1 USD = 238.2001 PKR</v>
      </c>
      <c r="H484" s="9" t="str">
        <f ca="1">IFERROR(__xludf.DUMMYFUNCTION("""COMPUTED_VALUE"""),"USD PKR rate for 19/09/2022")</f>
        <v>USD PKR rate for 19/09/2022</v>
      </c>
      <c r="I484" s="9"/>
    </row>
    <row r="485" spans="1:9" ht="14.25" customHeight="1" x14ac:dyDescent="0.3">
      <c r="A485" s="6">
        <v>40202</v>
      </c>
      <c r="B485" s="7">
        <v>84.590900000000005</v>
      </c>
      <c r="C485" s="8">
        <f t="shared" si="3"/>
        <v>86.118947220911096</v>
      </c>
      <c r="D485" s="9">
        <f t="shared" si="2"/>
        <v>63.063240652217473</v>
      </c>
      <c r="E485" s="9"/>
      <c r="F485" s="9">
        <f ca="1">IFERROR(__xludf.DUMMYFUNCTION("""COMPUTED_VALUE"""),44822)</f>
        <v>44822</v>
      </c>
      <c r="G485" s="9" t="str">
        <f ca="1">IFERROR(__xludf.DUMMYFUNCTION("""COMPUTED_VALUE"""),"1 USD = 221.8574 PKR")</f>
        <v>1 USD = 221.8574 PKR</v>
      </c>
      <c r="H485" s="9" t="str">
        <f ca="1">IFERROR(__xludf.DUMMYFUNCTION("""COMPUTED_VALUE"""),"USD PKR rate for 18/09/2022")</f>
        <v>USD PKR rate for 18/09/2022</v>
      </c>
      <c r="I485" s="9"/>
    </row>
    <row r="486" spans="1:9" ht="14.25" customHeight="1" x14ac:dyDescent="0.3">
      <c r="A486" s="6">
        <v>40203</v>
      </c>
      <c r="B486" s="7">
        <v>84.631699999999995</v>
      </c>
      <c r="C486" s="8">
        <f t="shared" si="3"/>
        <v>86.134349574672811</v>
      </c>
      <c r="D486" s="9">
        <f t="shared" si="2"/>
        <v>63.065978485014739</v>
      </c>
      <c r="E486" s="9"/>
      <c r="F486" s="9">
        <f ca="1">IFERROR(__xludf.DUMMYFUNCTION("""COMPUTED_VALUE"""),44821)</f>
        <v>44821</v>
      </c>
      <c r="G486" s="9" t="str">
        <f ca="1">IFERROR(__xludf.DUMMYFUNCTION("""COMPUTED_VALUE"""),"1 USD = 236.91 PKR")</f>
        <v>1 USD = 236.91 PKR</v>
      </c>
      <c r="H486" s="9" t="str">
        <f ca="1">IFERROR(__xludf.DUMMYFUNCTION("""COMPUTED_VALUE"""),"USD PKR rate for 17/09/2022")</f>
        <v>USD PKR rate for 17/09/2022</v>
      </c>
      <c r="I486" s="9"/>
    </row>
    <row r="487" spans="1:9" ht="14.25" customHeight="1" x14ac:dyDescent="0.3">
      <c r="A487" s="6">
        <v>40204</v>
      </c>
      <c r="B487" s="7">
        <v>84.585000000000008</v>
      </c>
      <c r="C487" s="8">
        <f t="shared" si="3"/>
        <v>86.149754683141921</v>
      </c>
      <c r="D487" s="9">
        <f t="shared" si="2"/>
        <v>63.068716317812004</v>
      </c>
      <c r="E487" s="9"/>
      <c r="F487" s="9">
        <f ca="1">IFERROR(__xludf.DUMMYFUNCTION("""COMPUTED_VALUE"""),44820)</f>
        <v>44820</v>
      </c>
      <c r="G487" s="9" t="str">
        <f ca="1">IFERROR(__xludf.DUMMYFUNCTION("""COMPUTED_VALUE"""),"1 USD = 236.914 PKR")</f>
        <v>1 USD = 236.914 PKR</v>
      </c>
      <c r="H487" s="9" t="str">
        <f ca="1">IFERROR(__xludf.DUMMYFUNCTION("""COMPUTED_VALUE"""),"USD PKR rate for 16/09/2022")</f>
        <v>USD PKR rate for 16/09/2022</v>
      </c>
      <c r="I487" s="9"/>
    </row>
    <row r="488" spans="1:9" ht="14.25" customHeight="1" x14ac:dyDescent="0.3">
      <c r="A488" s="6">
        <v>40205</v>
      </c>
      <c r="B488" s="7">
        <v>84.478999999999999</v>
      </c>
      <c r="C488" s="8">
        <f t="shared" si="3"/>
        <v>86.165162546811118</v>
      </c>
      <c r="D488" s="9">
        <f t="shared" si="2"/>
        <v>63.07145415060927</v>
      </c>
      <c r="E488" s="9"/>
      <c r="F488" s="9">
        <f ca="1">IFERROR(__xludf.DUMMYFUNCTION("""COMPUTED_VALUE"""),44819)</f>
        <v>44819</v>
      </c>
      <c r="G488" s="9" t="str">
        <f ca="1">IFERROR(__xludf.DUMMYFUNCTION("""COMPUTED_VALUE"""),"1 USD = 236.7015 PKR")</f>
        <v>1 USD = 236.7015 PKR</v>
      </c>
      <c r="H488" s="9" t="str">
        <f ca="1">IFERROR(__xludf.DUMMYFUNCTION("""COMPUTED_VALUE"""),"USD PKR rate for 15/09/2022")</f>
        <v>USD PKR rate for 15/09/2022</v>
      </c>
      <c r="I488" s="9"/>
    </row>
    <row r="489" spans="1:9" ht="14.25" customHeight="1" x14ac:dyDescent="0.3">
      <c r="A489" s="6">
        <v>40206</v>
      </c>
      <c r="B489" s="7">
        <v>84.623800000000003</v>
      </c>
      <c r="C489" s="8">
        <f t="shared" si="3"/>
        <v>86.180573166173147</v>
      </c>
      <c r="D489" s="9">
        <f t="shared" si="2"/>
        <v>63.074191983406536</v>
      </c>
      <c r="E489" s="9"/>
      <c r="F489" s="9">
        <f ca="1">IFERROR(__xludf.DUMMYFUNCTION("""COMPUTED_VALUE"""),44818)</f>
        <v>44818</v>
      </c>
      <c r="G489" s="9" t="str">
        <f ca="1">IFERROR(__xludf.DUMMYFUNCTION("""COMPUTED_VALUE"""),"1 USD = 234.8855 PKR")</f>
        <v>1 USD = 234.8855 PKR</v>
      </c>
      <c r="H489" s="9" t="str">
        <f ca="1">IFERROR(__xludf.DUMMYFUNCTION("""COMPUTED_VALUE"""),"USD PKR rate for 14/09/2022")</f>
        <v>USD PKR rate for 14/09/2022</v>
      </c>
      <c r="I489" s="9"/>
    </row>
    <row r="490" spans="1:9" ht="14.25" customHeight="1" x14ac:dyDescent="0.3">
      <c r="A490" s="6">
        <v>40207</v>
      </c>
      <c r="B490" s="7">
        <v>84.702100000000002</v>
      </c>
      <c r="C490" s="8">
        <f t="shared" si="3"/>
        <v>86.195986541720899</v>
      </c>
      <c r="D490" s="9">
        <f t="shared" si="2"/>
        <v>63.076929816203801</v>
      </c>
      <c r="E490" s="9"/>
      <c r="F490" s="9">
        <f ca="1">IFERROR(__xludf.DUMMYFUNCTION("""COMPUTED_VALUE"""),44817)</f>
        <v>44817</v>
      </c>
      <c r="G490" s="9" t="str">
        <f ca="1">IFERROR(__xludf.DUMMYFUNCTION("""COMPUTED_VALUE"""),"1 USD = 231.5817 PKR")</f>
        <v>1 USD = 231.5817 PKR</v>
      </c>
      <c r="H490" s="9" t="str">
        <f ca="1">IFERROR(__xludf.DUMMYFUNCTION("""COMPUTED_VALUE"""),"USD PKR rate for 13/09/2022")</f>
        <v>USD PKR rate for 13/09/2022</v>
      </c>
      <c r="I490" s="9"/>
    </row>
    <row r="491" spans="1:9" ht="14.25" customHeight="1" x14ac:dyDescent="0.3">
      <c r="A491" s="6">
        <v>40208</v>
      </c>
      <c r="B491" s="7">
        <v>84.6875</v>
      </c>
      <c r="C491" s="8">
        <f t="shared" si="3"/>
        <v>86.211402673947291</v>
      </c>
      <c r="D491" s="9">
        <f t="shared" si="2"/>
        <v>63.079667649001074</v>
      </c>
      <c r="E491" s="9"/>
      <c r="F491" s="9">
        <f ca="1">IFERROR(__xludf.DUMMYFUNCTION("""COMPUTED_VALUE"""),44816)</f>
        <v>44816</v>
      </c>
      <c r="G491" s="9" t="str">
        <f ca="1">IFERROR(__xludf.DUMMYFUNCTION("""COMPUTED_VALUE"""),"1 USD = 230.787 PKR")</f>
        <v>1 USD = 230.787 PKR</v>
      </c>
      <c r="H491" s="9" t="str">
        <f ca="1">IFERROR(__xludf.DUMMYFUNCTION("""COMPUTED_VALUE"""),"USD PKR rate for 12/09/2022")</f>
        <v>USD PKR rate for 12/09/2022</v>
      </c>
      <c r="I491" s="9"/>
    </row>
    <row r="492" spans="1:9" ht="14.25" customHeight="1" x14ac:dyDescent="0.3">
      <c r="A492" s="6">
        <v>40209</v>
      </c>
      <c r="B492" s="7">
        <v>84.677199999999999</v>
      </c>
      <c r="C492" s="8">
        <f t="shared" si="3"/>
        <v>86.226821563345354</v>
      </c>
      <c r="D492" s="9">
        <f t="shared" si="2"/>
        <v>63.08240548179834</v>
      </c>
      <c r="E492" s="9"/>
      <c r="F492" s="9">
        <f ca="1">IFERROR(__xludf.DUMMYFUNCTION("""COMPUTED_VALUE"""),44815)</f>
        <v>44815</v>
      </c>
      <c r="G492" s="9" t="str">
        <f ca="1">IFERROR(__xludf.DUMMYFUNCTION("""COMPUTED_VALUE"""),"1 USD = 226.3223 PKR")</f>
        <v>1 USD = 226.3223 PKR</v>
      </c>
      <c r="H492" s="9" t="str">
        <f ca="1">IFERROR(__xludf.DUMMYFUNCTION("""COMPUTED_VALUE"""),"USD PKR rate for 11/09/2022")</f>
        <v>USD PKR rate for 11/09/2022</v>
      </c>
      <c r="I492" s="9"/>
    </row>
    <row r="493" spans="1:9" ht="14.25" customHeight="1" x14ac:dyDescent="0.3">
      <c r="A493" s="6">
        <v>40210</v>
      </c>
      <c r="B493" s="7">
        <v>84.590199999999996</v>
      </c>
      <c r="C493" s="8">
        <f t="shared" si="3"/>
        <v>86.242243210408233</v>
      </c>
      <c r="D493" s="9">
        <f t="shared" si="2"/>
        <v>63.085143314595605</v>
      </c>
      <c r="E493" s="9"/>
      <c r="F493" s="9">
        <f ca="1">IFERROR(__xludf.DUMMYFUNCTION("""COMPUTED_VALUE"""),44814)</f>
        <v>44814</v>
      </c>
      <c r="G493" s="9" t="str">
        <f ca="1">IFERROR(__xludf.DUMMYFUNCTION("""COMPUTED_VALUE"""),"1 USD = 226.4904 PKR")</f>
        <v>1 USD = 226.4904 PKR</v>
      </c>
      <c r="H493" s="9" t="str">
        <f ca="1">IFERROR(__xludf.DUMMYFUNCTION("""COMPUTED_VALUE"""),"USD PKR rate for 10/09/2022")</f>
        <v>USD PKR rate for 10/09/2022</v>
      </c>
      <c r="I493" s="9"/>
    </row>
    <row r="494" spans="1:9" ht="14.25" customHeight="1" x14ac:dyDescent="0.3">
      <c r="A494" s="6">
        <v>40211</v>
      </c>
      <c r="B494" s="7">
        <v>84.94080000000001</v>
      </c>
      <c r="C494" s="8">
        <f t="shared" si="3"/>
        <v>86.257667615629089</v>
      </c>
      <c r="D494" s="9">
        <f t="shared" si="2"/>
        <v>63.087881147392871</v>
      </c>
      <c r="E494" s="9"/>
      <c r="F494" s="9">
        <f ca="1">IFERROR(__xludf.DUMMYFUNCTION("""COMPUTED_VALUE"""),44813)</f>
        <v>44813</v>
      </c>
      <c r="G494" s="9" t="str">
        <f ca="1">IFERROR(__xludf.DUMMYFUNCTION("""COMPUTED_VALUE"""),"1 USD = 225.6281 PKR")</f>
        <v>1 USD = 225.6281 PKR</v>
      </c>
      <c r="H494" s="9" t="str">
        <f ca="1">IFERROR(__xludf.DUMMYFUNCTION("""COMPUTED_VALUE"""),"USD PKR rate for 09/09/2022")</f>
        <v>USD PKR rate for 09/09/2022</v>
      </c>
      <c r="I494" s="9"/>
    </row>
    <row r="495" spans="1:9" ht="14.25" customHeight="1" x14ac:dyDescent="0.3">
      <c r="A495" s="6">
        <v>40212</v>
      </c>
      <c r="B495" s="7">
        <v>85.094800000000006</v>
      </c>
      <c r="C495" s="8">
        <f t="shared" si="3"/>
        <v>86.273094779501264</v>
      </c>
      <c r="D495" s="9">
        <f t="shared" si="2"/>
        <v>63.090618980190136</v>
      </c>
      <c r="E495" s="9"/>
      <c r="F495" s="9">
        <f ca="1">IFERROR(__xludf.DUMMYFUNCTION("""COMPUTED_VALUE"""),44812)</f>
        <v>44812</v>
      </c>
      <c r="G495" s="9" t="str">
        <f ca="1">IFERROR(__xludf.DUMMYFUNCTION("""COMPUTED_VALUE"""),"1 USD = 224.1349 PKR")</f>
        <v>1 USD = 224.1349 PKR</v>
      </c>
      <c r="H495" s="9" t="str">
        <f ca="1">IFERROR(__xludf.DUMMYFUNCTION("""COMPUTED_VALUE"""),"USD PKR rate for 08/09/2022")</f>
        <v>USD PKR rate for 08/09/2022</v>
      </c>
      <c r="I495" s="9"/>
    </row>
    <row r="496" spans="1:9" ht="14.25" customHeight="1" x14ac:dyDescent="0.3">
      <c r="A496" s="6">
        <v>40213</v>
      </c>
      <c r="B496" s="7">
        <v>85.018500000000003</v>
      </c>
      <c r="C496" s="8">
        <f t="shared" si="3"/>
        <v>86.288524702518117</v>
      </c>
      <c r="D496" s="9">
        <f t="shared" si="2"/>
        <v>63.093356812987402</v>
      </c>
      <c r="E496" s="9"/>
      <c r="F496" s="9">
        <f ca="1">IFERROR(__xludf.DUMMYFUNCTION("""COMPUTED_VALUE"""),44811)</f>
        <v>44811</v>
      </c>
      <c r="G496" s="9" t="str">
        <f ca="1">IFERROR(__xludf.DUMMYFUNCTION("""COMPUTED_VALUE"""),"1 USD = 224.1212 PKR")</f>
        <v>1 USD = 224.1212 PKR</v>
      </c>
      <c r="H496" s="9" t="str">
        <f ca="1">IFERROR(__xludf.DUMMYFUNCTION("""COMPUTED_VALUE"""),"USD PKR rate for 07/09/2022")</f>
        <v>USD PKR rate for 07/09/2022</v>
      </c>
      <c r="I496" s="9"/>
    </row>
    <row r="497" spans="1:9" ht="14.25" customHeight="1" x14ac:dyDescent="0.3">
      <c r="A497" s="6">
        <v>40214</v>
      </c>
      <c r="B497" s="7">
        <v>85.156999999999996</v>
      </c>
      <c r="C497" s="8">
        <f t="shared" si="3"/>
        <v>86.303957385173135</v>
      </c>
      <c r="D497" s="9">
        <f t="shared" si="2"/>
        <v>63.096094645784667</v>
      </c>
      <c r="E497" s="9"/>
      <c r="F497" s="9">
        <f ca="1">IFERROR(__xludf.DUMMYFUNCTION("""COMPUTED_VALUE"""),44810)</f>
        <v>44810</v>
      </c>
      <c r="G497" s="9" t="str">
        <f ca="1">IFERROR(__xludf.DUMMYFUNCTION("""COMPUTED_VALUE"""),"1 USD = 222.1003 PKR")</f>
        <v>1 USD = 222.1003 PKR</v>
      </c>
      <c r="H497" s="9" t="str">
        <f ca="1">IFERROR(__xludf.DUMMYFUNCTION("""COMPUTED_VALUE"""),"USD PKR rate for 06/09/2022")</f>
        <v>USD PKR rate for 06/09/2022</v>
      </c>
      <c r="I497" s="9"/>
    </row>
    <row r="498" spans="1:9" ht="14.25" customHeight="1" x14ac:dyDescent="0.3">
      <c r="A498" s="6">
        <v>40215</v>
      </c>
      <c r="B498" s="7">
        <v>85.011200000000002</v>
      </c>
      <c r="C498" s="8">
        <f t="shared" si="3"/>
        <v>86.319392827959788</v>
      </c>
      <c r="D498" s="9">
        <f t="shared" si="2"/>
        <v>63.098832478581933</v>
      </c>
      <c r="E498" s="9"/>
      <c r="F498" s="9">
        <f ca="1">IFERROR(__xludf.DUMMYFUNCTION("""COMPUTED_VALUE"""),44809)</f>
        <v>44809</v>
      </c>
      <c r="G498" s="9" t="str">
        <f ca="1">IFERROR(__xludf.DUMMYFUNCTION("""COMPUTED_VALUE"""),"1 USD = 219.6271 PKR")</f>
        <v>1 USD = 219.6271 PKR</v>
      </c>
      <c r="H498" s="9" t="str">
        <f ca="1">IFERROR(__xludf.DUMMYFUNCTION("""COMPUTED_VALUE"""),"USD PKR rate for 05/09/2022")</f>
        <v>USD PKR rate for 05/09/2022</v>
      </c>
      <c r="I498" s="9"/>
    </row>
    <row r="499" spans="1:9" ht="14.25" customHeight="1" x14ac:dyDescent="0.3">
      <c r="A499" s="6">
        <v>40216</v>
      </c>
      <c r="B499" s="7">
        <v>84.962400000000017</v>
      </c>
      <c r="C499" s="8">
        <f t="shared" si="3"/>
        <v>86.334831031371891</v>
      </c>
      <c r="D499" s="9">
        <f t="shared" si="2"/>
        <v>63.101570311379199</v>
      </c>
      <c r="E499" s="9"/>
      <c r="F499" s="9">
        <f ca="1">IFERROR(__xludf.DUMMYFUNCTION("""COMPUTED_VALUE"""),44808)</f>
        <v>44808</v>
      </c>
      <c r="G499" s="9" t="str">
        <f ca="1">IFERROR(__xludf.DUMMYFUNCTION("""COMPUTED_VALUE"""),"1 USD = 218.7187 PKR")</f>
        <v>1 USD = 218.7187 PKR</v>
      </c>
      <c r="H499" s="9" t="str">
        <f ca="1">IFERROR(__xludf.DUMMYFUNCTION("""COMPUTED_VALUE"""),"USD PKR rate for 04/09/2022")</f>
        <v>USD PKR rate for 04/09/2022</v>
      </c>
      <c r="I499" s="9"/>
    </row>
    <row r="500" spans="1:9" ht="14.25" customHeight="1" x14ac:dyDescent="0.3">
      <c r="A500" s="6">
        <v>40217</v>
      </c>
      <c r="B500" s="7">
        <v>84.978700000000003</v>
      </c>
      <c r="C500" s="8">
        <f t="shared" si="3"/>
        <v>86.3502719959031</v>
      </c>
      <c r="D500" s="9">
        <f t="shared" si="2"/>
        <v>63.104308144176464</v>
      </c>
      <c r="E500" s="9"/>
      <c r="F500" s="9">
        <f ca="1">IFERROR(__xludf.DUMMYFUNCTION("""COMPUTED_VALUE"""),44807)</f>
        <v>44807</v>
      </c>
      <c r="G500" s="9" t="str">
        <f ca="1">IFERROR(__xludf.DUMMYFUNCTION("""COMPUTED_VALUE"""),"1 USD = 219.2905 PKR")</f>
        <v>1 USD = 219.2905 PKR</v>
      </c>
      <c r="H500" s="9" t="str">
        <f ca="1">IFERROR(__xludf.DUMMYFUNCTION("""COMPUTED_VALUE"""),"USD PKR rate for 03/09/2022")</f>
        <v>USD PKR rate for 03/09/2022</v>
      </c>
      <c r="I500" s="9"/>
    </row>
    <row r="501" spans="1:9" ht="14.25" customHeight="1" x14ac:dyDescent="0.3">
      <c r="A501" s="6">
        <v>40218</v>
      </c>
      <c r="B501" s="7">
        <v>84.907499999999999</v>
      </c>
      <c r="C501" s="8">
        <f t="shared" si="3"/>
        <v>86.365715722047227</v>
      </c>
      <c r="D501" s="9">
        <f t="shared" si="2"/>
        <v>63.10704597697373</v>
      </c>
      <c r="E501" s="9"/>
      <c r="F501" s="9">
        <f ca="1">IFERROR(__xludf.DUMMYFUNCTION("""COMPUTED_VALUE"""),44806)</f>
        <v>44806</v>
      </c>
      <c r="G501" s="9" t="str">
        <f ca="1">IFERROR(__xludf.DUMMYFUNCTION("""COMPUTED_VALUE"""),"1 USD = 219.2084 PKR")</f>
        <v>1 USD = 219.2084 PKR</v>
      </c>
      <c r="H501" s="9" t="str">
        <f ca="1">IFERROR(__xludf.DUMMYFUNCTION("""COMPUTED_VALUE"""),"USD PKR rate for 02/09/2022")</f>
        <v>USD PKR rate for 02/09/2022</v>
      </c>
      <c r="I501" s="9"/>
    </row>
    <row r="502" spans="1:9" ht="14.25" customHeight="1" x14ac:dyDescent="0.3">
      <c r="A502" s="6">
        <v>40219</v>
      </c>
      <c r="B502" s="7">
        <v>84.8857</v>
      </c>
      <c r="C502" s="8">
        <f t="shared" si="3"/>
        <v>86.3811622102982</v>
      </c>
      <c r="D502" s="9">
        <f t="shared" si="2"/>
        <v>63.109783809770995</v>
      </c>
      <c r="E502" s="9"/>
      <c r="F502" s="9">
        <f ca="1">IFERROR(__xludf.DUMMYFUNCTION("""COMPUTED_VALUE"""),44805)</f>
        <v>44805</v>
      </c>
      <c r="G502" s="9" t="str">
        <f ca="1">IFERROR(__xludf.DUMMYFUNCTION("""COMPUTED_VALUE"""),"1 USD = 218.0559 PKR")</f>
        <v>1 USD = 218.0559 PKR</v>
      </c>
      <c r="H502" s="9" t="str">
        <f ca="1">IFERROR(__xludf.DUMMYFUNCTION("""COMPUTED_VALUE"""),"USD PKR rate for 01/09/2022")</f>
        <v>USD PKR rate for 01/09/2022</v>
      </c>
      <c r="I502" s="9"/>
    </row>
    <row r="503" spans="1:9" ht="14.25" customHeight="1" x14ac:dyDescent="0.3">
      <c r="A503" s="6">
        <v>40220</v>
      </c>
      <c r="B503" s="7">
        <v>84.862899999999996</v>
      </c>
      <c r="C503" s="8">
        <f t="shared" si="3"/>
        <v>86.39661146115003</v>
      </c>
      <c r="D503" s="9">
        <f t="shared" si="2"/>
        <v>63.112521642568261</v>
      </c>
      <c r="E503" s="9"/>
      <c r="F503" s="9">
        <f ca="1">IFERROR(__xludf.DUMMYFUNCTION("""COMPUTED_VALUE"""),44804)</f>
        <v>44804</v>
      </c>
      <c r="G503" s="9" t="str">
        <f ca="1">IFERROR(__xludf.DUMMYFUNCTION("""COMPUTED_VALUE"""),"1 USD = 218.1839 PKR")</f>
        <v>1 USD = 218.1839 PKR</v>
      </c>
      <c r="H503" s="9" t="str">
        <f ca="1">IFERROR(__xludf.DUMMYFUNCTION("""COMPUTED_VALUE"""),"USD PKR rate for 31/08/2022")</f>
        <v>USD PKR rate for 31/08/2022</v>
      </c>
      <c r="I503" s="9"/>
    </row>
    <row r="504" spans="1:9" ht="14.25" customHeight="1" x14ac:dyDescent="0.3">
      <c r="A504" s="6">
        <v>40221</v>
      </c>
      <c r="B504" s="7">
        <v>84.916399999999996</v>
      </c>
      <c r="C504" s="8">
        <f t="shared" si="3"/>
        <v>86.412063475096787</v>
      </c>
      <c r="D504" s="9">
        <f t="shared" si="2"/>
        <v>63.115259475365526</v>
      </c>
      <c r="E504" s="9"/>
      <c r="F504" s="9">
        <f ca="1">IFERROR(__xludf.DUMMYFUNCTION("""COMPUTED_VALUE"""),44803)</f>
        <v>44803</v>
      </c>
      <c r="G504" s="9" t="str">
        <f ca="1">IFERROR(__xludf.DUMMYFUNCTION("""COMPUTED_VALUE"""),"1 USD = 219.7368 PKR")</f>
        <v>1 USD = 219.7368 PKR</v>
      </c>
      <c r="H504" s="9" t="str">
        <f ca="1">IFERROR(__xludf.DUMMYFUNCTION("""COMPUTED_VALUE"""),"USD PKR rate for 30/08/2022")</f>
        <v>USD PKR rate for 30/08/2022</v>
      </c>
      <c r="I504" s="9"/>
    </row>
    <row r="505" spans="1:9" ht="14.25" customHeight="1" x14ac:dyDescent="0.3">
      <c r="A505" s="6">
        <v>40222</v>
      </c>
      <c r="B505" s="7">
        <v>84.943100000000001</v>
      </c>
      <c r="C505" s="8">
        <f t="shared" si="3"/>
        <v>86.427518252632666</v>
      </c>
      <c r="D505" s="9">
        <f t="shared" si="2"/>
        <v>63.117997308162792</v>
      </c>
      <c r="E505" s="9"/>
      <c r="F505" s="9">
        <f ca="1">IFERROR(__xludf.DUMMYFUNCTION("""COMPUTED_VALUE"""),44802)</f>
        <v>44802</v>
      </c>
      <c r="G505" s="9" t="str">
        <f ca="1">IFERROR(__xludf.DUMMYFUNCTION("""COMPUTED_VALUE"""),"1 USD = 222.2076 PKR")</f>
        <v>1 USD = 222.2076 PKR</v>
      </c>
      <c r="H505" s="9" t="str">
        <f ca="1">IFERROR(__xludf.DUMMYFUNCTION("""COMPUTED_VALUE"""),"USD PKR rate for 29/08/2022")</f>
        <v>USD PKR rate for 29/08/2022</v>
      </c>
      <c r="I505" s="9"/>
    </row>
    <row r="506" spans="1:9" ht="14.25" customHeight="1" x14ac:dyDescent="0.3">
      <c r="A506" s="6">
        <v>40223</v>
      </c>
      <c r="B506" s="7">
        <v>84.97020000000002</v>
      </c>
      <c r="C506" s="8">
        <f t="shared" si="3"/>
        <v>86.442975794251907</v>
      </c>
      <c r="D506" s="9">
        <f t="shared" si="2"/>
        <v>63.120735140960058</v>
      </c>
      <c r="E506" s="9"/>
      <c r="F506" s="9">
        <f ca="1">IFERROR(__xludf.DUMMYFUNCTION("""COMPUTED_VALUE"""),44801)</f>
        <v>44801</v>
      </c>
      <c r="G506" s="9" t="str">
        <f ca="1">IFERROR(__xludf.DUMMYFUNCTION("""COMPUTED_VALUE"""),"1 USD = 221.3423 PKR")</f>
        <v>1 USD = 221.3423 PKR</v>
      </c>
      <c r="H506" s="9" t="str">
        <f ca="1">IFERROR(__xludf.DUMMYFUNCTION("""COMPUTED_VALUE"""),"USD PKR rate for 28/08/2022")</f>
        <v>USD PKR rate for 28/08/2022</v>
      </c>
      <c r="I506" s="9"/>
    </row>
    <row r="507" spans="1:9" ht="14.25" customHeight="1" x14ac:dyDescent="0.3">
      <c r="A507" s="6">
        <v>40224</v>
      </c>
      <c r="B507" s="7">
        <v>84.947000000000003</v>
      </c>
      <c r="C507" s="8">
        <f t="shared" si="3"/>
        <v>86.458436100448836</v>
      </c>
      <c r="D507" s="9">
        <f t="shared" si="2"/>
        <v>63.123472973757323</v>
      </c>
      <c r="E507" s="9"/>
      <c r="F507" s="9">
        <f ca="1">IFERROR(__xludf.DUMMYFUNCTION("""COMPUTED_VALUE"""),44800)</f>
        <v>44800</v>
      </c>
      <c r="G507" s="9" t="str">
        <f ca="1">IFERROR(__xludf.DUMMYFUNCTION("""COMPUTED_VALUE"""),"1 USD = 219.4906 PKR")</f>
        <v>1 USD = 219.4906 PKR</v>
      </c>
      <c r="H507" s="9" t="str">
        <f ca="1">IFERROR(__xludf.DUMMYFUNCTION("""COMPUTED_VALUE"""),"USD PKR rate for 27/08/2022")</f>
        <v>USD PKR rate for 27/08/2022</v>
      </c>
      <c r="I507" s="9"/>
    </row>
    <row r="508" spans="1:9" ht="14.25" customHeight="1" x14ac:dyDescent="0.3">
      <c r="A508" s="6">
        <v>40225</v>
      </c>
      <c r="B508" s="7">
        <v>84.861699999999999</v>
      </c>
      <c r="C508" s="8">
        <f t="shared" si="3"/>
        <v>86.473899171718003</v>
      </c>
      <c r="D508" s="9">
        <f t="shared" si="2"/>
        <v>63.126210806554589</v>
      </c>
      <c r="E508" s="9"/>
      <c r="F508" s="9">
        <f ca="1">IFERROR(__xludf.DUMMYFUNCTION("""COMPUTED_VALUE"""),44799)</f>
        <v>44799</v>
      </c>
      <c r="G508" s="9" t="str">
        <f ca="1">IFERROR(__xludf.DUMMYFUNCTION("""COMPUTED_VALUE"""),"1 USD = 220.6503 PKR")</f>
        <v>1 USD = 220.6503 PKR</v>
      </c>
      <c r="H508" s="9" t="str">
        <f ca="1">IFERROR(__xludf.DUMMYFUNCTION("""COMPUTED_VALUE"""),"USD PKR rate for 26/08/2022")</f>
        <v>USD PKR rate for 26/08/2022</v>
      </c>
      <c r="I508" s="9"/>
    </row>
    <row r="509" spans="1:9" ht="14.25" customHeight="1" x14ac:dyDescent="0.3">
      <c r="A509" s="6">
        <v>40226</v>
      </c>
      <c r="B509" s="7">
        <v>84.847700000000003</v>
      </c>
      <c r="C509" s="8">
        <f t="shared" si="3"/>
        <v>86.489365008553904</v>
      </c>
      <c r="D509" s="9">
        <f t="shared" si="2"/>
        <v>63.128948639351854</v>
      </c>
      <c r="E509" s="9"/>
      <c r="F509" s="9">
        <f ca="1">IFERROR(__xludf.DUMMYFUNCTION("""COMPUTED_VALUE"""),44798)</f>
        <v>44798</v>
      </c>
      <c r="G509" s="9" t="str">
        <f ca="1">IFERROR(__xludf.DUMMYFUNCTION("""COMPUTED_VALUE"""),"1 USD = 219.2553 PKR")</f>
        <v>1 USD = 219.2553 PKR</v>
      </c>
      <c r="H509" s="9" t="str">
        <f ca="1">IFERROR(__xludf.DUMMYFUNCTION("""COMPUTED_VALUE"""),"USD PKR rate for 25/08/2022")</f>
        <v>USD PKR rate for 25/08/2022</v>
      </c>
      <c r="I509" s="9"/>
    </row>
    <row r="510" spans="1:9" ht="14.25" customHeight="1" x14ac:dyDescent="0.3">
      <c r="A510" s="6">
        <v>40227</v>
      </c>
      <c r="B510" s="7">
        <v>84.830800000000011</v>
      </c>
      <c r="C510" s="8">
        <f t="shared" si="3"/>
        <v>86.504833611451133</v>
      </c>
      <c r="D510" s="9">
        <f t="shared" si="2"/>
        <v>63.13168647214912</v>
      </c>
      <c r="E510" s="9"/>
      <c r="F510" s="9">
        <f ca="1">IFERROR(__xludf.DUMMYFUNCTION("""COMPUTED_VALUE"""),44797)</f>
        <v>44797</v>
      </c>
      <c r="G510" s="9" t="str">
        <f ca="1">IFERROR(__xludf.DUMMYFUNCTION("""COMPUTED_VALUE"""),"1 USD = 218.3464 PKR")</f>
        <v>1 USD = 218.3464 PKR</v>
      </c>
      <c r="H510" s="9" t="str">
        <f ca="1">IFERROR(__xludf.DUMMYFUNCTION("""COMPUTED_VALUE"""),"USD PKR rate for 24/08/2022")</f>
        <v>USD PKR rate for 24/08/2022</v>
      </c>
      <c r="I510" s="9"/>
    </row>
    <row r="511" spans="1:9" ht="14.25" customHeight="1" x14ac:dyDescent="0.3">
      <c r="A511" s="6">
        <v>40228</v>
      </c>
      <c r="B511" s="7">
        <v>84.788399999999996</v>
      </c>
      <c r="C511" s="8">
        <f t="shared" si="3"/>
        <v>86.520304980904399</v>
      </c>
      <c r="D511" s="9">
        <f t="shared" si="2"/>
        <v>63.134424304946386</v>
      </c>
      <c r="E511" s="9"/>
      <c r="F511" s="9">
        <f ca="1">IFERROR(__xludf.DUMMYFUNCTION("""COMPUTED_VALUE"""),44796)</f>
        <v>44796</v>
      </c>
      <c r="G511" s="9" t="str">
        <f ca="1">IFERROR(__xludf.DUMMYFUNCTION("""COMPUTED_VALUE"""),"1 USD = 217.1284 PKR")</f>
        <v>1 USD = 217.1284 PKR</v>
      </c>
      <c r="H511" s="9" t="str">
        <f ca="1">IFERROR(__xludf.DUMMYFUNCTION("""COMPUTED_VALUE"""),"USD PKR rate for 23/08/2022")</f>
        <v>USD PKR rate for 23/08/2022</v>
      </c>
      <c r="I511" s="9"/>
    </row>
    <row r="512" spans="1:9" ht="14.25" customHeight="1" x14ac:dyDescent="0.3">
      <c r="A512" s="6">
        <v>40229</v>
      </c>
      <c r="B512" s="7">
        <v>84.691100000000006</v>
      </c>
      <c r="C512" s="8">
        <f t="shared" si="3"/>
        <v>86.535779117408509</v>
      </c>
      <c r="D512" s="9">
        <f t="shared" si="2"/>
        <v>63.137162137743651</v>
      </c>
      <c r="E512" s="9"/>
      <c r="F512" s="9">
        <f ca="1">IFERROR(__xludf.DUMMYFUNCTION("""COMPUTED_VALUE"""),44795)</f>
        <v>44795</v>
      </c>
      <c r="G512" s="9" t="str">
        <f ca="1">IFERROR(__xludf.DUMMYFUNCTION("""COMPUTED_VALUE"""),"1 USD = 215.5424 PKR")</f>
        <v>1 USD = 215.5424 PKR</v>
      </c>
      <c r="H512" s="9" t="str">
        <f ca="1">IFERROR(__xludf.DUMMYFUNCTION("""COMPUTED_VALUE"""),"USD PKR rate for 22/08/2022")</f>
        <v>USD PKR rate for 22/08/2022</v>
      </c>
      <c r="I512" s="9"/>
    </row>
    <row r="513" spans="1:9" ht="14.25" customHeight="1" x14ac:dyDescent="0.3">
      <c r="A513" s="6">
        <v>40230</v>
      </c>
      <c r="B513" s="7">
        <v>84.691100000000006</v>
      </c>
      <c r="C513" s="8">
        <f t="shared" si="3"/>
        <v>86.551256021458357</v>
      </c>
      <c r="D513" s="9">
        <f t="shared" ref="D513:D767" si="4">(A513-$A$3)/365.2524</f>
        <v>63.139899970540917</v>
      </c>
      <c r="E513" s="9"/>
      <c r="F513" s="9">
        <f ca="1">IFERROR(__xludf.DUMMYFUNCTION("""COMPUTED_VALUE"""),44794)</f>
        <v>44794</v>
      </c>
      <c r="G513" s="9" t="str">
        <f ca="1">IFERROR(__xludf.DUMMYFUNCTION("""COMPUTED_VALUE"""),"1 USD = 216.024 PKR")</f>
        <v>1 USD = 216.024 PKR</v>
      </c>
      <c r="H513" s="9" t="str">
        <f ca="1">IFERROR(__xludf.DUMMYFUNCTION("""COMPUTED_VALUE"""),"USD PKR rate for 21/08/2022")</f>
        <v>USD PKR rate for 21/08/2022</v>
      </c>
      <c r="I513" s="9"/>
    </row>
    <row r="514" spans="1:9" ht="14.25" customHeight="1" x14ac:dyDescent="0.3">
      <c r="A514" s="6">
        <v>40231</v>
      </c>
      <c r="B514" s="7">
        <v>85.124899999999997</v>
      </c>
      <c r="C514" s="8">
        <f t="shared" ref="C514:C768" si="5">(1+$C$1)^D514*$C$3</f>
        <v>86.566735693548907</v>
      </c>
      <c r="D514" s="9">
        <f t="shared" si="4"/>
        <v>63.142637803338182</v>
      </c>
      <c r="E514" s="9"/>
      <c r="F514" s="9">
        <f ca="1">IFERROR(__xludf.DUMMYFUNCTION("""COMPUTED_VALUE"""),44793)</f>
        <v>44793</v>
      </c>
      <c r="G514" s="9" t="str">
        <f ca="1">IFERROR(__xludf.DUMMYFUNCTION("""COMPUTED_VALUE"""),"1 USD = 215.9824 PKR")</f>
        <v>1 USD = 215.9824 PKR</v>
      </c>
      <c r="H514" s="9" t="str">
        <f ca="1">IFERROR(__xludf.DUMMYFUNCTION("""COMPUTED_VALUE"""),"USD PKR rate for 20/08/2022")</f>
        <v>USD PKR rate for 20/08/2022</v>
      </c>
      <c r="I514" s="9"/>
    </row>
    <row r="515" spans="1:9" ht="14.25" customHeight="1" x14ac:dyDescent="0.3">
      <c r="A515" s="6">
        <v>40232</v>
      </c>
      <c r="B515" s="7">
        <v>84.97</v>
      </c>
      <c r="C515" s="8">
        <f t="shared" si="5"/>
        <v>86.582218134175207</v>
      </c>
      <c r="D515" s="9">
        <f t="shared" si="4"/>
        <v>63.145375636135448</v>
      </c>
      <c r="E515" s="9"/>
      <c r="F515" s="9">
        <f ca="1">IFERROR(__xludf.DUMMYFUNCTION("""COMPUTED_VALUE"""),44792)</f>
        <v>44792</v>
      </c>
      <c r="G515" s="9" t="str">
        <f ca="1">IFERROR(__xludf.DUMMYFUNCTION("""COMPUTED_VALUE"""),"1 USD = 214.8587 PKR")</f>
        <v>1 USD = 214.8587 PKR</v>
      </c>
      <c r="H515" s="9" t="str">
        <f ca="1">IFERROR(__xludf.DUMMYFUNCTION("""COMPUTED_VALUE"""),"USD PKR rate for 19/08/2022")</f>
        <v>USD PKR rate for 19/08/2022</v>
      </c>
      <c r="I515" s="9"/>
    </row>
    <row r="516" spans="1:9" ht="14.25" customHeight="1" x14ac:dyDescent="0.3">
      <c r="A516" s="6">
        <v>40233</v>
      </c>
      <c r="B516" s="7">
        <v>84.871099999999998</v>
      </c>
      <c r="C516" s="8">
        <f t="shared" si="5"/>
        <v>86.597703343832364</v>
      </c>
      <c r="D516" s="9">
        <f t="shared" si="4"/>
        <v>63.148113468932713</v>
      </c>
      <c r="E516" s="9"/>
      <c r="F516" s="9">
        <f ca="1">IFERROR(__xludf.DUMMYFUNCTION("""COMPUTED_VALUE"""),44791)</f>
        <v>44791</v>
      </c>
      <c r="G516" s="9" t="str">
        <f ca="1">IFERROR(__xludf.DUMMYFUNCTION("""COMPUTED_VALUE"""),"1 USD = 214.875 PKR")</f>
        <v>1 USD = 214.875 PKR</v>
      </c>
      <c r="H516" s="9" t="str">
        <f ca="1">IFERROR(__xludf.DUMMYFUNCTION("""COMPUTED_VALUE"""),"USD PKR rate for 18/08/2022")</f>
        <v>USD PKR rate for 18/08/2022</v>
      </c>
      <c r="I516" s="9"/>
    </row>
    <row r="517" spans="1:9" ht="14.25" customHeight="1" x14ac:dyDescent="0.3">
      <c r="A517" s="6">
        <v>40234</v>
      </c>
      <c r="B517" s="7">
        <v>84.858900000000006</v>
      </c>
      <c r="C517" s="8">
        <f t="shared" si="5"/>
        <v>86.613191323015769</v>
      </c>
      <c r="D517" s="9">
        <f t="shared" si="4"/>
        <v>63.150851301729979</v>
      </c>
      <c r="E517" s="9"/>
      <c r="F517" s="9">
        <f ca="1">IFERROR(__xludf.DUMMYFUNCTION("""COMPUTED_VALUE"""),44790)</f>
        <v>44790</v>
      </c>
      <c r="G517" s="9" t="str">
        <f ca="1">IFERROR(__xludf.DUMMYFUNCTION("""COMPUTED_VALUE"""),"1 USD = 214.9401 PKR")</f>
        <v>1 USD = 214.9401 PKR</v>
      </c>
      <c r="H517" s="9" t="str">
        <f ca="1">IFERROR(__xludf.DUMMYFUNCTION("""COMPUTED_VALUE"""),"USD PKR rate for 17/08/2022")</f>
        <v>USD PKR rate for 17/08/2022</v>
      </c>
      <c r="I517" s="9"/>
    </row>
    <row r="518" spans="1:9" ht="14.25" customHeight="1" x14ac:dyDescent="0.3">
      <c r="A518" s="6">
        <v>40235</v>
      </c>
      <c r="B518" s="7">
        <v>84.866799999999998</v>
      </c>
      <c r="C518" s="8">
        <f t="shared" si="5"/>
        <v>86.628682072220641</v>
      </c>
      <c r="D518" s="9">
        <f t="shared" si="4"/>
        <v>63.153589134527245</v>
      </c>
      <c r="E518" s="9"/>
      <c r="F518" s="9">
        <f ca="1">IFERROR(__xludf.DUMMYFUNCTION("""COMPUTED_VALUE"""),44789)</f>
        <v>44789</v>
      </c>
      <c r="G518" s="9" t="str">
        <f ca="1">IFERROR(__xludf.DUMMYFUNCTION("""COMPUTED_VALUE"""),"1 USD = 213.7469 PKR")</f>
        <v>1 USD = 213.7469 PKR</v>
      </c>
      <c r="H518" s="9" t="str">
        <f ca="1">IFERROR(__xludf.DUMMYFUNCTION("""COMPUTED_VALUE"""),"USD PKR rate for 16/08/2022")</f>
        <v>USD PKR rate for 16/08/2022</v>
      </c>
      <c r="I518" s="9"/>
    </row>
    <row r="519" spans="1:9" ht="14.25" customHeight="1" x14ac:dyDescent="0.3">
      <c r="A519" s="6">
        <v>40236</v>
      </c>
      <c r="B519" s="7">
        <v>84.896699999999996</v>
      </c>
      <c r="C519" s="8">
        <f t="shared" si="5"/>
        <v>86.644175591942442</v>
      </c>
      <c r="D519" s="9">
        <f t="shared" si="4"/>
        <v>63.15632696732451</v>
      </c>
      <c r="E519" s="9"/>
      <c r="F519" s="9">
        <f ca="1">IFERROR(__xludf.DUMMYFUNCTION("""COMPUTED_VALUE"""),44788)</f>
        <v>44788</v>
      </c>
      <c r="G519" s="9" t="str">
        <f ca="1">IFERROR(__xludf.DUMMYFUNCTION("""COMPUTED_VALUE"""),"1 USD = 213.5439 PKR")</f>
        <v>1 USD = 213.5439 PKR</v>
      </c>
      <c r="H519" s="9" t="str">
        <f ca="1">IFERROR(__xludf.DUMMYFUNCTION("""COMPUTED_VALUE"""),"USD PKR rate for 15/08/2022")</f>
        <v>USD PKR rate for 15/08/2022</v>
      </c>
      <c r="I519" s="9"/>
    </row>
    <row r="520" spans="1:9" ht="14.25" customHeight="1" x14ac:dyDescent="0.3">
      <c r="A520" s="6">
        <v>40237</v>
      </c>
      <c r="B520" s="7">
        <v>84.868499999999997</v>
      </c>
      <c r="C520" s="8">
        <f t="shared" si="5"/>
        <v>86.659671882676648</v>
      </c>
      <c r="D520" s="9">
        <f t="shared" si="4"/>
        <v>63.159064800121776</v>
      </c>
      <c r="E520" s="9"/>
      <c r="F520" s="9">
        <f ca="1">IFERROR(__xludf.DUMMYFUNCTION("""COMPUTED_VALUE"""),44787)</f>
        <v>44787</v>
      </c>
      <c r="G520" s="9" t="str">
        <f ca="1">IFERROR(__xludf.DUMMYFUNCTION("""COMPUTED_VALUE"""),"1 USD = 216.5206 PKR")</f>
        <v>1 USD = 216.5206 PKR</v>
      </c>
      <c r="H520" s="9" t="str">
        <f ca="1">IFERROR(__xludf.DUMMYFUNCTION("""COMPUTED_VALUE"""),"USD PKR rate for 14/08/2022")</f>
        <v>USD PKR rate for 14/08/2022</v>
      </c>
      <c r="I520" s="9"/>
    </row>
    <row r="521" spans="1:9" ht="14.25" customHeight="1" x14ac:dyDescent="0.3">
      <c r="A521" s="6">
        <v>40238</v>
      </c>
      <c r="B521" s="7">
        <v>85.048599999999993</v>
      </c>
      <c r="C521" s="8">
        <f t="shared" si="5"/>
        <v>86.675170944918861</v>
      </c>
      <c r="D521" s="9">
        <f t="shared" si="4"/>
        <v>63.161802632919041</v>
      </c>
      <c r="E521" s="9"/>
      <c r="F521" s="9">
        <f ca="1">IFERROR(__xludf.DUMMYFUNCTION("""COMPUTED_VALUE"""),44786)</f>
        <v>44786</v>
      </c>
      <c r="G521" s="9" t="str">
        <f ca="1">IFERROR(__xludf.DUMMYFUNCTION("""COMPUTED_VALUE"""),"1 USD = 218.4954 PKR")</f>
        <v>1 USD = 218.4954 PKR</v>
      </c>
      <c r="H521" s="9" t="str">
        <f ca="1">IFERROR(__xludf.DUMMYFUNCTION("""COMPUTED_VALUE"""),"USD PKR rate for 13/08/2022")</f>
        <v>USD PKR rate for 13/08/2022</v>
      </c>
      <c r="I521" s="9"/>
    </row>
    <row r="522" spans="1:9" ht="14.25" customHeight="1" x14ac:dyDescent="0.3">
      <c r="A522" s="6">
        <v>40239</v>
      </c>
      <c r="B522" s="7">
        <v>85.145899999999997</v>
      </c>
      <c r="C522" s="8">
        <f t="shared" si="5"/>
        <v>86.690672779164771</v>
      </c>
      <c r="D522" s="9">
        <f t="shared" si="4"/>
        <v>63.164540465716307</v>
      </c>
      <c r="E522" s="9"/>
      <c r="F522" s="9">
        <f ca="1">IFERROR(__xludf.DUMMYFUNCTION("""COMPUTED_VALUE"""),44785)</f>
        <v>44785</v>
      </c>
      <c r="G522" s="9" t="str">
        <f ca="1">IFERROR(__xludf.DUMMYFUNCTION("""COMPUTED_VALUE"""),"1 USD = 218.4954 PKR")</f>
        <v>1 USD = 218.4954 PKR</v>
      </c>
      <c r="H522" s="9" t="str">
        <f ca="1">IFERROR(__xludf.DUMMYFUNCTION("""COMPUTED_VALUE"""),"USD PKR rate for 12/08/2022")</f>
        <v>USD PKR rate for 12/08/2022</v>
      </c>
      <c r="I522" s="9"/>
    </row>
    <row r="523" spans="1:9" ht="14.25" customHeight="1" x14ac:dyDescent="0.3">
      <c r="A523" s="6">
        <v>40240</v>
      </c>
      <c r="B523" s="7">
        <v>84.952500000000001</v>
      </c>
      <c r="C523" s="8">
        <f t="shared" si="5"/>
        <v>86.706177385910124</v>
      </c>
      <c r="D523" s="9">
        <f t="shared" si="4"/>
        <v>63.167278298513573</v>
      </c>
      <c r="E523" s="9"/>
      <c r="F523" s="9">
        <f ca="1">IFERROR(__xludf.DUMMYFUNCTION("""COMPUTED_VALUE"""),44784)</f>
        <v>44784</v>
      </c>
      <c r="G523" s="9" t="str">
        <f ca="1">IFERROR(__xludf.DUMMYFUNCTION("""COMPUTED_VALUE"""),"1 USD = 219.5974 PKR")</f>
        <v>1 USD = 219.5974 PKR</v>
      </c>
      <c r="H523" s="9" t="str">
        <f ca="1">IFERROR(__xludf.DUMMYFUNCTION("""COMPUTED_VALUE"""),"USD PKR rate for 11/08/2022")</f>
        <v>USD PKR rate for 11/08/2022</v>
      </c>
      <c r="I523" s="9"/>
    </row>
    <row r="524" spans="1:9" ht="14.25" customHeight="1" x14ac:dyDescent="0.3">
      <c r="A524" s="6">
        <v>40241</v>
      </c>
      <c r="B524" s="7">
        <v>85.066100000000006</v>
      </c>
      <c r="C524" s="8">
        <f t="shared" si="5"/>
        <v>86.721684765650821</v>
      </c>
      <c r="D524" s="9">
        <f t="shared" si="4"/>
        <v>63.170016131310838</v>
      </c>
      <c r="E524" s="9"/>
      <c r="F524" s="9">
        <f ca="1">IFERROR(__xludf.DUMMYFUNCTION("""COMPUTED_VALUE"""),44783)</f>
        <v>44783</v>
      </c>
      <c r="G524" s="9" t="str">
        <f ca="1">IFERROR(__xludf.DUMMYFUNCTION("""COMPUTED_VALUE"""),"1 USD = 221.4626 PKR")</f>
        <v>1 USD = 221.4626 PKR</v>
      </c>
      <c r="H524" s="9" t="str">
        <f ca="1">IFERROR(__xludf.DUMMYFUNCTION("""COMPUTED_VALUE"""),"USD PKR rate for 10/08/2022")</f>
        <v>USD PKR rate for 10/08/2022</v>
      </c>
      <c r="I524" s="9"/>
    </row>
    <row r="525" spans="1:9" ht="14.25" customHeight="1" x14ac:dyDescent="0.3">
      <c r="A525" s="6">
        <v>40242</v>
      </c>
      <c r="B525" s="7">
        <v>84.907100000000014</v>
      </c>
      <c r="C525" s="8">
        <f t="shared" si="5"/>
        <v>86.737194918882722</v>
      </c>
      <c r="D525" s="9">
        <f t="shared" si="4"/>
        <v>63.172753964108104</v>
      </c>
      <c r="E525" s="9"/>
      <c r="F525" s="9">
        <f ca="1">IFERROR(__xludf.DUMMYFUNCTION("""COMPUTED_VALUE"""),44782)</f>
        <v>44782</v>
      </c>
      <c r="G525" s="9" t="str">
        <f ca="1">IFERROR(__xludf.DUMMYFUNCTION("""COMPUTED_VALUE"""),"1 USD = 224.3309 PKR")</f>
        <v>1 USD = 224.3309 PKR</v>
      </c>
      <c r="H525" s="9" t="str">
        <f ca="1">IFERROR(__xludf.DUMMYFUNCTION("""COMPUTED_VALUE"""),"USD PKR rate for 09/08/2022")</f>
        <v>USD PKR rate for 09/08/2022</v>
      </c>
      <c r="I525" s="9"/>
    </row>
    <row r="526" spans="1:9" ht="14.25" customHeight="1" x14ac:dyDescent="0.3">
      <c r="A526" s="6">
        <v>40243</v>
      </c>
      <c r="B526" s="7">
        <v>84.798000000000002</v>
      </c>
      <c r="C526" s="8">
        <f t="shared" si="5"/>
        <v>86.752707846101998</v>
      </c>
      <c r="D526" s="9">
        <f t="shared" si="4"/>
        <v>63.175491796905369</v>
      </c>
      <c r="E526" s="9"/>
      <c r="F526" s="9">
        <f ca="1">IFERROR(__xludf.DUMMYFUNCTION("""COMPUTED_VALUE"""),44781)</f>
        <v>44781</v>
      </c>
      <c r="G526" s="9" t="str">
        <f ca="1">IFERROR(__xludf.DUMMYFUNCTION("""COMPUTED_VALUE"""),"1 USD = 224.2362 PKR")</f>
        <v>1 USD = 224.2362 PKR</v>
      </c>
      <c r="H526" s="9" t="str">
        <f ca="1">IFERROR(__xludf.DUMMYFUNCTION("""COMPUTED_VALUE"""),"USD PKR rate for 08/08/2022")</f>
        <v>USD PKR rate for 08/08/2022</v>
      </c>
      <c r="I526" s="9"/>
    </row>
    <row r="527" spans="1:9" ht="14.25" customHeight="1" x14ac:dyDescent="0.3">
      <c r="A527" s="6">
        <v>40244</v>
      </c>
      <c r="B527" s="7">
        <v>84.802499999999995</v>
      </c>
      <c r="C527" s="8">
        <f t="shared" si="5"/>
        <v>86.768223547804709</v>
      </c>
      <c r="D527" s="9">
        <f t="shared" si="4"/>
        <v>63.178229629702635</v>
      </c>
      <c r="E527" s="9"/>
      <c r="F527" s="9">
        <f ca="1">IFERROR(__xludf.DUMMYFUNCTION("""COMPUTED_VALUE"""),44780)</f>
        <v>44780</v>
      </c>
      <c r="G527" s="9" t="str">
        <f ca="1">IFERROR(__xludf.DUMMYFUNCTION("""COMPUTED_VALUE"""),"1 USD = 224.7063 PKR")</f>
        <v>1 USD = 224.7063 PKR</v>
      </c>
      <c r="H527" s="9" t="str">
        <f ca="1">IFERROR(__xludf.DUMMYFUNCTION("""COMPUTED_VALUE"""),"USD PKR rate for 07/08/2022")</f>
        <v>USD PKR rate for 07/08/2022</v>
      </c>
      <c r="I527" s="9"/>
    </row>
    <row r="528" spans="1:9" ht="14.25" customHeight="1" x14ac:dyDescent="0.3">
      <c r="A528" s="6">
        <v>40245</v>
      </c>
      <c r="B528" s="7">
        <v>84.868200000000002</v>
      </c>
      <c r="C528" s="8">
        <f t="shared" si="5"/>
        <v>86.783742024487097</v>
      </c>
      <c r="D528" s="9">
        <f t="shared" si="4"/>
        <v>63.1809674624999</v>
      </c>
      <c r="E528" s="9"/>
      <c r="F528" s="9">
        <f ca="1">IFERROR(__xludf.DUMMYFUNCTION("""COMPUTED_VALUE"""),44779)</f>
        <v>44779</v>
      </c>
      <c r="G528" s="9" t="str">
        <f ca="1">IFERROR(__xludf.DUMMYFUNCTION("""COMPUTED_VALUE"""),"1 USD = 224.7893 PKR")</f>
        <v>1 USD = 224.7893 PKR</v>
      </c>
      <c r="H528" s="9" t="str">
        <f ca="1">IFERROR(__xludf.DUMMYFUNCTION("""COMPUTED_VALUE"""),"USD PKR rate for 06/08/2022")</f>
        <v>USD PKR rate for 06/08/2022</v>
      </c>
      <c r="I528" s="9"/>
    </row>
    <row r="529" spans="1:9" ht="14.25" customHeight="1" x14ac:dyDescent="0.3">
      <c r="A529" s="6">
        <v>40246</v>
      </c>
      <c r="B529" s="7">
        <v>84.525500000000008</v>
      </c>
      <c r="C529" s="8">
        <f t="shared" si="5"/>
        <v>86.799263276645419</v>
      </c>
      <c r="D529" s="9">
        <f t="shared" si="4"/>
        <v>63.183705295297166</v>
      </c>
      <c r="E529" s="9"/>
      <c r="F529" s="9">
        <f ca="1">IFERROR(__xludf.DUMMYFUNCTION("""COMPUTED_VALUE"""),44778)</f>
        <v>44778</v>
      </c>
      <c r="G529" s="9" t="str">
        <f ca="1">IFERROR(__xludf.DUMMYFUNCTION("""COMPUTED_VALUE"""),"1 USD = 224.4092 PKR")</f>
        <v>1 USD = 224.4092 PKR</v>
      </c>
      <c r="H529" s="9" t="str">
        <f ca="1">IFERROR(__xludf.DUMMYFUNCTION("""COMPUTED_VALUE"""),"USD PKR rate for 05/08/2022")</f>
        <v>USD PKR rate for 05/08/2022</v>
      </c>
      <c r="I529" s="9"/>
    </row>
    <row r="530" spans="1:9" ht="14.25" customHeight="1" x14ac:dyDescent="0.3">
      <c r="A530" s="6">
        <v>40247</v>
      </c>
      <c r="B530" s="7">
        <v>84.626099999999994</v>
      </c>
      <c r="C530" s="8">
        <f t="shared" si="5"/>
        <v>86.814787304776104</v>
      </c>
      <c r="D530" s="9">
        <f t="shared" si="4"/>
        <v>63.186443128094432</v>
      </c>
      <c r="E530" s="9"/>
      <c r="F530" s="9">
        <f ca="1">IFERROR(__xludf.DUMMYFUNCTION("""COMPUTED_VALUE"""),44777)</f>
        <v>44777</v>
      </c>
      <c r="G530" s="9" t="str">
        <f ca="1">IFERROR(__xludf.DUMMYFUNCTION("""COMPUTED_VALUE"""),"1 USD = 226.4088 PKR")</f>
        <v>1 USD = 226.4088 PKR</v>
      </c>
      <c r="H530" s="9" t="str">
        <f ca="1">IFERROR(__xludf.DUMMYFUNCTION("""COMPUTED_VALUE"""),"USD PKR rate for 04/08/2022")</f>
        <v>USD PKR rate for 04/08/2022</v>
      </c>
      <c r="I530" s="9"/>
    </row>
    <row r="531" spans="1:9" ht="14.25" customHeight="1" x14ac:dyDescent="0.3">
      <c r="A531" s="6">
        <v>40248</v>
      </c>
      <c r="B531" s="7">
        <v>84.239599999999996</v>
      </c>
      <c r="C531" s="8">
        <f t="shared" si="5"/>
        <v>86.830314109375635</v>
      </c>
      <c r="D531" s="9">
        <f t="shared" si="4"/>
        <v>63.189180960891697</v>
      </c>
      <c r="E531" s="9"/>
      <c r="F531" s="9">
        <f ca="1">IFERROR(__xludf.DUMMYFUNCTION("""COMPUTED_VALUE"""),44776)</f>
        <v>44776</v>
      </c>
      <c r="G531" s="9" t="str">
        <f ca="1">IFERROR(__xludf.DUMMYFUNCTION("""COMPUTED_VALUE"""),"1 USD = 230.0157 PKR")</f>
        <v>1 USD = 230.0157 PKR</v>
      </c>
      <c r="H531" s="9" t="str">
        <f ca="1">IFERROR(__xludf.DUMMYFUNCTION("""COMPUTED_VALUE"""),"USD PKR rate for 03/08/2022")</f>
        <v>USD PKR rate for 03/08/2022</v>
      </c>
      <c r="I531" s="9"/>
    </row>
    <row r="532" spans="1:9" ht="14.25" customHeight="1" x14ac:dyDescent="0.3">
      <c r="A532" s="6">
        <v>40249</v>
      </c>
      <c r="B532" s="7">
        <v>84.261799999999994</v>
      </c>
      <c r="C532" s="8">
        <f t="shared" si="5"/>
        <v>86.845843690940569</v>
      </c>
      <c r="D532" s="9">
        <f t="shared" si="4"/>
        <v>63.191918793688963</v>
      </c>
      <c r="E532" s="9"/>
      <c r="F532" s="9">
        <f ca="1">IFERROR(__xludf.DUMMYFUNCTION("""COMPUTED_VALUE"""),44775)</f>
        <v>44775</v>
      </c>
      <c r="G532" s="9" t="str">
        <f ca="1">IFERROR(__xludf.DUMMYFUNCTION("""COMPUTED_VALUE"""),"1 USD = 238.1684 PKR")</f>
        <v>1 USD = 238.1684 PKR</v>
      </c>
      <c r="H532" s="9" t="str">
        <f ca="1">IFERROR(__xludf.DUMMYFUNCTION("""COMPUTED_VALUE"""),"USD PKR rate for 02/08/2022")</f>
        <v>USD PKR rate for 02/08/2022</v>
      </c>
      <c r="I532" s="9"/>
    </row>
    <row r="533" spans="1:9" ht="14.25" customHeight="1" x14ac:dyDescent="0.3">
      <c r="A533" s="6">
        <v>40250</v>
      </c>
      <c r="B533" s="7">
        <v>84.465599999999995</v>
      </c>
      <c r="C533" s="8">
        <f t="shared" si="5"/>
        <v>86.861376049967561</v>
      </c>
      <c r="D533" s="9">
        <f t="shared" si="4"/>
        <v>63.194656626486228</v>
      </c>
      <c r="E533" s="9"/>
      <c r="F533" s="9">
        <f ca="1">IFERROR(__xludf.DUMMYFUNCTION("""COMPUTED_VALUE"""),44774)</f>
        <v>44774</v>
      </c>
      <c r="G533" s="9" t="str">
        <f ca="1">IFERROR(__xludf.DUMMYFUNCTION("""COMPUTED_VALUE"""),"1 USD = 238.9634 PKR")</f>
        <v>1 USD = 238.9634 PKR</v>
      </c>
      <c r="H533" s="9" t="str">
        <f ca="1">IFERROR(__xludf.DUMMYFUNCTION("""COMPUTED_VALUE"""),"USD PKR rate for 01/08/2022")</f>
        <v>USD PKR rate for 01/08/2022</v>
      </c>
      <c r="I533" s="9"/>
    </row>
    <row r="534" spans="1:9" ht="14.25" customHeight="1" x14ac:dyDescent="0.3">
      <c r="A534" s="6">
        <v>40251</v>
      </c>
      <c r="B534" s="7">
        <v>84.465800000000002</v>
      </c>
      <c r="C534" s="8">
        <f t="shared" si="5"/>
        <v>86.876911186953294</v>
      </c>
      <c r="D534" s="9">
        <f t="shared" si="4"/>
        <v>63.197394459283494</v>
      </c>
      <c r="E534" s="9"/>
      <c r="F534" s="9">
        <f ca="1">IFERROR(__xludf.DUMMYFUNCTION("""COMPUTED_VALUE"""),44773)</f>
        <v>44773</v>
      </c>
      <c r="G534" s="9" t="str">
        <f ca="1">IFERROR(__xludf.DUMMYFUNCTION("""COMPUTED_VALUE"""),"1 USD = 239.0994 PKR")</f>
        <v>1 USD = 239.0994 PKR</v>
      </c>
      <c r="H534" s="9" t="str">
        <f ca="1">IFERROR(__xludf.DUMMYFUNCTION("""COMPUTED_VALUE"""),"USD PKR rate for 31/07/2022")</f>
        <v>USD PKR rate for 31/07/2022</v>
      </c>
      <c r="I534" s="9"/>
    </row>
    <row r="535" spans="1:9" ht="14.25" customHeight="1" x14ac:dyDescent="0.3">
      <c r="A535" s="6">
        <v>40252</v>
      </c>
      <c r="B535" s="7">
        <v>84.002899999999997</v>
      </c>
      <c r="C535" s="8">
        <f t="shared" si="5"/>
        <v>86.89244910239475</v>
      </c>
      <c r="D535" s="9">
        <f t="shared" si="4"/>
        <v>63.20013229208076</v>
      </c>
      <c r="E535" s="9"/>
      <c r="F535" s="9">
        <f ca="1">IFERROR(__xludf.DUMMYFUNCTION("""COMPUTED_VALUE"""),44772)</f>
        <v>44772</v>
      </c>
      <c r="G535" s="9" t="str">
        <f ca="1">IFERROR(__xludf.DUMMYFUNCTION("""COMPUTED_VALUE"""),"1 USD = 239.1074 PKR")</f>
        <v>1 USD = 239.1074 PKR</v>
      </c>
      <c r="H535" s="9" t="str">
        <f ca="1">IFERROR(__xludf.DUMMYFUNCTION("""COMPUTED_VALUE"""),"USD PKR rate for 30/07/2022")</f>
        <v>USD PKR rate for 30/07/2022</v>
      </c>
      <c r="I535" s="9"/>
    </row>
    <row r="536" spans="1:9" ht="14.25" customHeight="1" x14ac:dyDescent="0.3">
      <c r="A536" s="6">
        <v>40253</v>
      </c>
      <c r="B536" s="7">
        <v>84.229500000000002</v>
      </c>
      <c r="C536" s="8">
        <f t="shared" si="5"/>
        <v>86.907989796788783</v>
      </c>
      <c r="D536" s="9">
        <f t="shared" si="4"/>
        <v>63.202870124878025</v>
      </c>
      <c r="E536" s="9"/>
      <c r="F536" s="9">
        <f ca="1">IFERROR(__xludf.DUMMYFUNCTION("""COMPUTED_VALUE"""),44771)</f>
        <v>44771</v>
      </c>
      <c r="G536" s="9" t="str">
        <f ca="1">IFERROR(__xludf.DUMMYFUNCTION("""COMPUTED_VALUE"""),"1 USD = 207.0458 PKR")</f>
        <v>1 USD = 207.0458 PKR</v>
      </c>
      <c r="H536" s="9" t="str">
        <f ca="1">IFERROR(__xludf.DUMMYFUNCTION("""COMPUTED_VALUE"""),"USD PKR rate for 29/07/2022")</f>
        <v>USD PKR rate for 29/07/2022</v>
      </c>
      <c r="I536" s="9"/>
    </row>
    <row r="537" spans="1:9" ht="14.25" customHeight="1" x14ac:dyDescent="0.3">
      <c r="A537" s="6">
        <v>40254</v>
      </c>
      <c r="B537" s="7">
        <v>84.380799999999994</v>
      </c>
      <c r="C537" s="8">
        <f t="shared" si="5"/>
        <v>86.923533270632419</v>
      </c>
      <c r="D537" s="9">
        <f t="shared" si="4"/>
        <v>63.205607957675291</v>
      </c>
      <c r="E537" s="9"/>
      <c r="F537" s="9">
        <f ca="1">IFERROR(__xludf.DUMMYFUNCTION("""COMPUTED_VALUE"""),44770)</f>
        <v>44770</v>
      </c>
      <c r="G537" s="9" t="str">
        <f ca="1">IFERROR(__xludf.DUMMYFUNCTION("""COMPUTED_VALUE"""),"1 USD = 239.252 PKR")</f>
        <v>1 USD = 239.252 PKR</v>
      </c>
      <c r="H537" s="9" t="str">
        <f ca="1">IFERROR(__xludf.DUMMYFUNCTION("""COMPUTED_VALUE"""),"USD PKR rate for 28/07/2022")</f>
        <v>USD PKR rate for 28/07/2022</v>
      </c>
      <c r="I537" s="9"/>
    </row>
    <row r="538" spans="1:9" ht="14.25" customHeight="1" x14ac:dyDescent="0.3">
      <c r="A538" s="6">
        <v>40255</v>
      </c>
      <c r="B538" s="7">
        <v>84.399500000000003</v>
      </c>
      <c r="C538" s="8">
        <f t="shared" si="5"/>
        <v>86.939079524422752</v>
      </c>
      <c r="D538" s="9">
        <f t="shared" si="4"/>
        <v>63.208345790472556</v>
      </c>
      <c r="E538" s="9"/>
      <c r="F538" s="9">
        <f ca="1">IFERROR(__xludf.DUMMYFUNCTION("""COMPUTED_VALUE"""),44769)</f>
        <v>44769</v>
      </c>
      <c r="G538" s="9" t="str">
        <f ca="1">IFERROR(__xludf.DUMMYFUNCTION("""COMPUTED_VALUE"""),"1 USD = 236.0292 PKR")</f>
        <v>1 USD = 236.0292 PKR</v>
      </c>
      <c r="H538" s="9" t="str">
        <f ca="1">IFERROR(__xludf.DUMMYFUNCTION("""COMPUTED_VALUE"""),"USD PKR rate for 27/07/2022")</f>
        <v>USD PKR rate for 27/07/2022</v>
      </c>
      <c r="I538" s="9"/>
    </row>
    <row r="539" spans="1:9" ht="14.25" customHeight="1" x14ac:dyDescent="0.3">
      <c r="A539" s="6">
        <v>40256</v>
      </c>
      <c r="B539" s="7">
        <v>85.023799999999994</v>
      </c>
      <c r="C539" s="8">
        <f t="shared" si="5"/>
        <v>86.954628558656964</v>
      </c>
      <c r="D539" s="9">
        <f t="shared" si="4"/>
        <v>63.211083623269822</v>
      </c>
      <c r="E539" s="9"/>
      <c r="F539" s="9">
        <f ca="1">IFERROR(__xludf.DUMMYFUNCTION("""COMPUTED_VALUE"""),44768)</f>
        <v>44768</v>
      </c>
      <c r="G539" s="9" t="str">
        <f ca="1">IFERROR(__xludf.DUMMYFUNCTION("""COMPUTED_VALUE"""),"1 USD = 232.8543 PKR")</f>
        <v>1 USD = 232.8543 PKR</v>
      </c>
      <c r="H539" s="9" t="str">
        <f ca="1">IFERROR(__xludf.DUMMYFUNCTION("""COMPUTED_VALUE"""),"USD PKR rate for 26/07/2022")</f>
        <v>USD PKR rate for 26/07/2022</v>
      </c>
      <c r="I539" s="9"/>
    </row>
    <row r="540" spans="1:9" ht="14.25" customHeight="1" x14ac:dyDescent="0.3">
      <c r="A540" s="6">
        <v>40257</v>
      </c>
      <c r="B540" s="7">
        <v>83.943100000000001</v>
      </c>
      <c r="C540" s="8">
        <f t="shared" si="5"/>
        <v>86.970180373832349</v>
      </c>
      <c r="D540" s="9">
        <f t="shared" si="4"/>
        <v>63.213821456067087</v>
      </c>
      <c r="E540" s="9"/>
      <c r="F540" s="9">
        <f ca="1">IFERROR(__xludf.DUMMYFUNCTION("""COMPUTED_VALUE"""),44767)</f>
        <v>44767</v>
      </c>
      <c r="G540" s="9" t="str">
        <f ca="1">IFERROR(__xludf.DUMMYFUNCTION("""COMPUTED_VALUE"""),"1 USD = 229.8054 PKR")</f>
        <v>1 USD = 229.8054 PKR</v>
      </c>
      <c r="H540" s="9" t="str">
        <f ca="1">IFERROR(__xludf.DUMMYFUNCTION("""COMPUTED_VALUE"""),"USD PKR rate for 25/07/2022")</f>
        <v>USD PKR rate for 25/07/2022</v>
      </c>
      <c r="I540" s="9"/>
    </row>
    <row r="541" spans="1:9" ht="14.25" customHeight="1" x14ac:dyDescent="0.3">
      <c r="A541" s="6">
        <v>40258</v>
      </c>
      <c r="B541" s="7">
        <v>83.959699999999998</v>
      </c>
      <c r="C541" s="8">
        <f t="shared" si="5"/>
        <v>86.985734970446273</v>
      </c>
      <c r="D541" s="9">
        <f t="shared" si="4"/>
        <v>63.216559288864353</v>
      </c>
      <c r="E541" s="9"/>
      <c r="F541" s="9">
        <f ca="1">IFERROR(__xludf.DUMMYFUNCTION("""COMPUTED_VALUE"""),44766)</f>
        <v>44766</v>
      </c>
      <c r="G541" s="9" t="str">
        <f ca="1">IFERROR(__xludf.DUMMYFUNCTION("""COMPUTED_VALUE"""),"1 USD = 227.305 PKR")</f>
        <v>1 USD = 227.305 PKR</v>
      </c>
      <c r="H541" s="9" t="str">
        <f ca="1">IFERROR(__xludf.DUMMYFUNCTION("""COMPUTED_VALUE"""),"USD PKR rate for 24/07/2022")</f>
        <v>USD PKR rate for 24/07/2022</v>
      </c>
      <c r="I541" s="9"/>
    </row>
    <row r="542" spans="1:9" ht="14.25" customHeight="1" x14ac:dyDescent="0.3">
      <c r="A542" s="6">
        <v>40259</v>
      </c>
      <c r="B542" s="7">
        <v>84.007099999999994</v>
      </c>
      <c r="C542" s="8">
        <f t="shared" si="5"/>
        <v>87.001292348996216</v>
      </c>
      <c r="D542" s="9">
        <f t="shared" si="4"/>
        <v>63.219297121661619</v>
      </c>
      <c r="E542" s="9"/>
      <c r="F542" s="9">
        <f ca="1">IFERROR(__xludf.DUMMYFUNCTION("""COMPUTED_VALUE"""),44765)</f>
        <v>44765</v>
      </c>
      <c r="G542" s="9" t="str">
        <f ca="1">IFERROR(__xludf.DUMMYFUNCTION("""COMPUTED_VALUE"""),"1 USD = 227.3054 PKR")</f>
        <v>1 USD = 227.3054 PKR</v>
      </c>
      <c r="H542" s="9" t="str">
        <f ca="1">IFERROR(__xludf.DUMMYFUNCTION("""COMPUTED_VALUE"""),"USD PKR rate for 23/07/2022")</f>
        <v>USD PKR rate for 23/07/2022</v>
      </c>
      <c r="I542" s="9"/>
    </row>
    <row r="543" spans="1:9" ht="14.25" customHeight="1" x14ac:dyDescent="0.3">
      <c r="A543" s="6">
        <v>40260</v>
      </c>
      <c r="B543" s="7">
        <v>84.021199999999993</v>
      </c>
      <c r="C543" s="8">
        <f t="shared" si="5"/>
        <v>87.016852509979614</v>
      </c>
      <c r="D543" s="9">
        <f t="shared" si="4"/>
        <v>63.222034954458884</v>
      </c>
      <c r="E543" s="9"/>
      <c r="F543" s="9">
        <f ca="1">IFERROR(__xludf.DUMMYFUNCTION("""COMPUTED_VALUE"""),44764)</f>
        <v>44764</v>
      </c>
      <c r="G543" s="9" t="str">
        <f ca="1">IFERROR(__xludf.DUMMYFUNCTION("""COMPUTED_VALUE"""),"1 USD = 228.3701 PKR")</f>
        <v>1 USD = 228.3701 PKR</v>
      </c>
      <c r="H543" s="9" t="str">
        <f ca="1">IFERROR(__xludf.DUMMYFUNCTION("""COMPUTED_VALUE"""),"USD PKR rate for 22/07/2022")</f>
        <v>USD PKR rate for 22/07/2022</v>
      </c>
      <c r="I543" s="9"/>
    </row>
    <row r="544" spans="1:9" ht="14.25" customHeight="1" x14ac:dyDescent="0.3">
      <c r="A544" s="6">
        <v>40261</v>
      </c>
      <c r="B544" s="7">
        <v>84.254500000000007</v>
      </c>
      <c r="C544" s="8">
        <f t="shared" si="5"/>
        <v>87.032415453894274</v>
      </c>
      <c r="D544" s="9">
        <f t="shared" si="4"/>
        <v>63.22477278725615</v>
      </c>
      <c r="E544" s="9"/>
      <c r="F544" s="9">
        <f ca="1">IFERROR(__xludf.DUMMYFUNCTION("""COMPUTED_VALUE"""),44763)</f>
        <v>44763</v>
      </c>
      <c r="G544" s="9" t="str">
        <f ca="1">IFERROR(__xludf.DUMMYFUNCTION("""COMPUTED_VALUE"""),"1 USD = 226.6616 PKR")</f>
        <v>1 USD = 226.6616 PKR</v>
      </c>
      <c r="H544" s="9" t="str">
        <f ca="1">IFERROR(__xludf.DUMMYFUNCTION("""COMPUTED_VALUE"""),"USD PKR rate for 21/07/2022")</f>
        <v>USD PKR rate for 21/07/2022</v>
      </c>
      <c r="I544" s="9"/>
    </row>
    <row r="545" spans="1:9" ht="14.25" customHeight="1" x14ac:dyDescent="0.3">
      <c r="A545" s="6">
        <v>40262</v>
      </c>
      <c r="B545" s="7">
        <v>84.003100000000003</v>
      </c>
      <c r="C545" s="8">
        <f t="shared" si="5"/>
        <v>87.047981181237873</v>
      </c>
      <c r="D545" s="9">
        <f t="shared" si="4"/>
        <v>63.227510620053415</v>
      </c>
      <c r="E545" s="9"/>
      <c r="F545" s="9">
        <f ca="1">IFERROR(__xludf.DUMMYFUNCTION("""COMPUTED_VALUE"""),44762)</f>
        <v>44762</v>
      </c>
      <c r="G545" s="9" t="str">
        <f ca="1">IFERROR(__xludf.DUMMYFUNCTION("""COMPUTED_VALUE"""),"1 USD = 224.9989 PKR")</f>
        <v>1 USD = 224.9989 PKR</v>
      </c>
      <c r="H545" s="9" t="str">
        <f ca="1">IFERROR(__xludf.DUMMYFUNCTION("""COMPUTED_VALUE"""),"USD PKR rate for 20/07/2022")</f>
        <v>USD PKR rate for 20/07/2022</v>
      </c>
      <c r="I545" s="9"/>
    </row>
    <row r="546" spans="1:9" ht="14.25" customHeight="1" x14ac:dyDescent="0.3">
      <c r="A546" s="6">
        <v>40263</v>
      </c>
      <c r="B546" s="7">
        <v>83.685299999999998</v>
      </c>
      <c r="C546" s="8">
        <f t="shared" si="5"/>
        <v>87.063549692508175</v>
      </c>
      <c r="D546" s="9">
        <f t="shared" si="4"/>
        <v>63.230248452850681</v>
      </c>
      <c r="E546" s="9"/>
      <c r="F546" s="9">
        <f ca="1">IFERROR(__xludf.DUMMYFUNCTION("""COMPUTED_VALUE"""),44761)</f>
        <v>44761</v>
      </c>
      <c r="G546" s="9" t="str">
        <f ca="1">IFERROR(__xludf.DUMMYFUNCTION("""COMPUTED_VALUE"""),"1 USD = 221.3308 PKR")</f>
        <v>1 USD = 221.3308 PKR</v>
      </c>
      <c r="H546" s="9" t="str">
        <f ca="1">IFERROR(__xludf.DUMMYFUNCTION("""COMPUTED_VALUE"""),"USD PKR rate for 19/07/2022")</f>
        <v>USD PKR rate for 19/07/2022</v>
      </c>
      <c r="I546" s="9"/>
    </row>
    <row r="547" spans="1:9" ht="14.25" customHeight="1" x14ac:dyDescent="0.3">
      <c r="A547" s="6">
        <v>40264</v>
      </c>
      <c r="B547" s="7">
        <v>83.784500000000008</v>
      </c>
      <c r="C547" s="8">
        <f t="shared" si="5"/>
        <v>87.079120988203115</v>
      </c>
      <c r="D547" s="9">
        <f t="shared" si="4"/>
        <v>63.232986285647947</v>
      </c>
      <c r="E547" s="9"/>
      <c r="F547" s="9">
        <f ca="1">IFERROR(__xludf.DUMMYFUNCTION("""COMPUTED_VALUE"""),44760)</f>
        <v>44760</v>
      </c>
      <c r="G547" s="9" t="str">
        <f ca="1">IFERROR(__xludf.DUMMYFUNCTION("""COMPUTED_VALUE"""),"1 USD = 215.694 PKR")</f>
        <v>1 USD = 215.694 PKR</v>
      </c>
      <c r="H547" s="9" t="str">
        <f ca="1">IFERROR(__xludf.DUMMYFUNCTION("""COMPUTED_VALUE"""),"USD PKR rate for 18/07/2022")</f>
        <v>USD PKR rate for 18/07/2022</v>
      </c>
      <c r="I547" s="9"/>
    </row>
    <row r="548" spans="1:9" ht="14.25" customHeight="1" x14ac:dyDescent="0.3">
      <c r="A548" s="6">
        <v>40265</v>
      </c>
      <c r="B548" s="7">
        <v>83.785300000000007</v>
      </c>
      <c r="C548" s="8">
        <f t="shared" si="5"/>
        <v>87.094695068820698</v>
      </c>
      <c r="D548" s="9">
        <f t="shared" si="4"/>
        <v>63.235724118445212</v>
      </c>
      <c r="E548" s="9"/>
      <c r="F548" s="9">
        <f ca="1">IFERROR(__xludf.DUMMYFUNCTION("""COMPUTED_VALUE"""),44759)</f>
        <v>44759</v>
      </c>
      <c r="G548" s="9" t="str">
        <f ca="1">IFERROR(__xludf.DUMMYFUNCTION("""COMPUTED_VALUE"""),"1 USD = 210.3887 PKR")</f>
        <v>1 USD = 210.3887 PKR</v>
      </c>
      <c r="H548" s="9" t="str">
        <f ca="1">IFERROR(__xludf.DUMMYFUNCTION("""COMPUTED_VALUE"""),"USD PKR rate for 17/07/2022")</f>
        <v>USD PKR rate for 17/07/2022</v>
      </c>
      <c r="I548" s="9"/>
    </row>
    <row r="549" spans="1:9" ht="14.25" customHeight="1" x14ac:dyDescent="0.3">
      <c r="A549" s="6">
        <v>40266</v>
      </c>
      <c r="B549" s="7">
        <v>83.839699999999993</v>
      </c>
      <c r="C549" s="8">
        <f t="shared" si="5"/>
        <v>87.110271934858986</v>
      </c>
      <c r="D549" s="9">
        <f t="shared" si="4"/>
        <v>63.238461951242478</v>
      </c>
      <c r="E549" s="9"/>
      <c r="F549" s="9">
        <f ca="1">IFERROR(__xludf.DUMMYFUNCTION("""COMPUTED_VALUE"""),44758)</f>
        <v>44758</v>
      </c>
      <c r="G549" s="9" t="str">
        <f ca="1">IFERROR(__xludf.DUMMYFUNCTION("""COMPUTED_VALUE"""),"1 USD = 210.4199 PKR")</f>
        <v>1 USD = 210.4199 PKR</v>
      </c>
      <c r="H549" s="9" t="str">
        <f ca="1">IFERROR(__xludf.DUMMYFUNCTION("""COMPUTED_VALUE"""),"USD PKR rate for 16/07/2022")</f>
        <v>USD PKR rate for 16/07/2022</v>
      </c>
      <c r="I549" s="9"/>
    </row>
    <row r="550" spans="1:9" ht="14.25" customHeight="1" x14ac:dyDescent="0.3">
      <c r="A550" s="6">
        <v>40267</v>
      </c>
      <c r="B550" s="7">
        <v>84.070000000000007</v>
      </c>
      <c r="C550" s="8">
        <f t="shared" si="5"/>
        <v>87.125851586816154</v>
      </c>
      <c r="D550" s="9">
        <f t="shared" si="4"/>
        <v>63.241199784039743</v>
      </c>
      <c r="E550" s="9"/>
      <c r="F550" s="9">
        <f ca="1">IFERROR(__xludf.DUMMYFUNCTION("""COMPUTED_VALUE"""),44757)</f>
        <v>44757</v>
      </c>
      <c r="G550" s="9" t="str">
        <f ca="1">IFERROR(__xludf.DUMMYFUNCTION("""COMPUTED_VALUE"""),"1 USD = 210.7836 PKR")</f>
        <v>1 USD = 210.7836 PKR</v>
      </c>
      <c r="H550" s="9" t="str">
        <f ca="1">IFERROR(__xludf.DUMMYFUNCTION("""COMPUTED_VALUE"""),"USD PKR rate for 15/07/2022")</f>
        <v>USD PKR rate for 15/07/2022</v>
      </c>
      <c r="I550" s="9"/>
    </row>
    <row r="551" spans="1:9" ht="14.25" customHeight="1" x14ac:dyDescent="0.3">
      <c r="A551" s="6">
        <v>40268</v>
      </c>
      <c r="B551" s="7">
        <v>84.132099999999994</v>
      </c>
      <c r="C551" s="8">
        <f t="shared" si="5"/>
        <v>87.141434025190449</v>
      </c>
      <c r="D551" s="9">
        <f t="shared" si="4"/>
        <v>63.243937616837009</v>
      </c>
      <c r="E551" s="9"/>
      <c r="F551" s="9">
        <f ca="1">IFERROR(__xludf.DUMMYFUNCTION("""COMPUTED_VALUE"""),44756)</f>
        <v>44756</v>
      </c>
      <c r="G551" s="9" t="str">
        <f ca="1">IFERROR(__xludf.DUMMYFUNCTION("""COMPUTED_VALUE"""),"1 USD = 209.613 PKR")</f>
        <v>1 USD = 209.613 PKR</v>
      </c>
      <c r="H551" s="9" t="str">
        <f ca="1">IFERROR(__xludf.DUMMYFUNCTION("""COMPUTED_VALUE"""),"USD PKR rate for 14/07/2022")</f>
        <v>USD PKR rate for 14/07/2022</v>
      </c>
      <c r="I551" s="9"/>
    </row>
    <row r="552" spans="1:9" ht="14.25" customHeight="1" x14ac:dyDescent="0.3">
      <c r="A552" s="6">
        <v>40269</v>
      </c>
      <c r="B552" s="7">
        <v>84.026100000000014</v>
      </c>
      <c r="C552" s="8">
        <f t="shared" si="5"/>
        <v>87.157019250480175</v>
      </c>
      <c r="D552" s="9">
        <f t="shared" si="4"/>
        <v>63.246675449634274</v>
      </c>
      <c r="E552" s="9"/>
      <c r="F552" s="9">
        <f ca="1">IFERROR(__xludf.DUMMYFUNCTION("""COMPUTED_VALUE"""),44755)</f>
        <v>44755</v>
      </c>
      <c r="G552" s="9" t="str">
        <f ca="1">IFERROR(__xludf.DUMMYFUNCTION("""COMPUTED_VALUE"""),"1 USD = 210.8866 PKR")</f>
        <v>1 USD = 210.8866 PKR</v>
      </c>
      <c r="H552" s="9" t="str">
        <f ca="1">IFERROR(__xludf.DUMMYFUNCTION("""COMPUTED_VALUE"""),"USD PKR rate for 13/07/2022")</f>
        <v>USD PKR rate for 13/07/2022</v>
      </c>
      <c r="I552" s="9"/>
    </row>
    <row r="553" spans="1:9" ht="14.25" customHeight="1" x14ac:dyDescent="0.3">
      <c r="A553" s="6">
        <v>40270</v>
      </c>
      <c r="B553" s="7">
        <v>83.917000000000002</v>
      </c>
      <c r="C553" s="8">
        <f t="shared" si="5"/>
        <v>87.17260726318392</v>
      </c>
      <c r="D553" s="9">
        <f t="shared" si="4"/>
        <v>63.24941328243154</v>
      </c>
      <c r="E553" s="9"/>
      <c r="F553" s="9">
        <f ca="1">IFERROR(__xludf.DUMMYFUNCTION("""COMPUTED_VALUE"""),44754)</f>
        <v>44754</v>
      </c>
      <c r="G553" s="9" t="str">
        <f ca="1">IFERROR(__xludf.DUMMYFUNCTION("""COMPUTED_VALUE"""),"1 USD = 207.356 PKR")</f>
        <v>1 USD = 207.356 PKR</v>
      </c>
      <c r="H553" s="9" t="str">
        <f ca="1">IFERROR(__xludf.DUMMYFUNCTION("""COMPUTED_VALUE"""),"USD PKR rate for 12/07/2022")</f>
        <v>USD PKR rate for 12/07/2022</v>
      </c>
      <c r="I553" s="9"/>
    </row>
    <row r="554" spans="1:9" ht="14.25" customHeight="1" x14ac:dyDescent="0.3">
      <c r="A554" s="6">
        <v>40271</v>
      </c>
      <c r="B554" s="7">
        <v>84.152100000000004</v>
      </c>
      <c r="C554" s="8">
        <f t="shared" si="5"/>
        <v>87.188198063800129</v>
      </c>
      <c r="D554" s="9">
        <f t="shared" si="4"/>
        <v>63.252151115228806</v>
      </c>
      <c r="E554" s="9"/>
      <c r="F554" s="9">
        <f ca="1">IFERROR(__xludf.DUMMYFUNCTION("""COMPUTED_VALUE"""),44753)</f>
        <v>44753</v>
      </c>
      <c r="G554" s="9" t="str">
        <f ca="1">IFERROR(__xludf.DUMMYFUNCTION("""COMPUTED_VALUE"""),"1 USD = 207.9277 PKR")</f>
        <v>1 USD = 207.9277 PKR</v>
      </c>
      <c r="H554" s="9" t="str">
        <f ca="1">IFERROR(__xludf.DUMMYFUNCTION("""COMPUTED_VALUE"""),"USD PKR rate for 11/07/2022")</f>
        <v>USD PKR rate for 11/07/2022</v>
      </c>
      <c r="I554" s="9"/>
    </row>
    <row r="555" spans="1:9" ht="14.25" customHeight="1" x14ac:dyDescent="0.3">
      <c r="A555" s="6">
        <v>40272</v>
      </c>
      <c r="B555" s="7">
        <v>84.1477</v>
      </c>
      <c r="C555" s="8">
        <f t="shared" si="5"/>
        <v>87.203791652827405</v>
      </c>
      <c r="D555" s="9">
        <f t="shared" si="4"/>
        <v>63.254888948026071</v>
      </c>
      <c r="E555" s="9"/>
      <c r="F555" s="9">
        <f ca="1">IFERROR(__xludf.DUMMYFUNCTION("""COMPUTED_VALUE"""),44752)</f>
        <v>44752</v>
      </c>
      <c r="G555" s="9" t="str">
        <f ca="1">IFERROR(__xludf.DUMMYFUNCTION("""COMPUTED_VALUE"""),"1 USD = 206.41 PKR")</f>
        <v>1 USD = 206.41 PKR</v>
      </c>
      <c r="H555" s="9" t="str">
        <f ca="1">IFERROR(__xludf.DUMMYFUNCTION("""COMPUTED_VALUE"""),"USD PKR rate for 10/07/2022")</f>
        <v>USD PKR rate for 10/07/2022</v>
      </c>
      <c r="I555" s="9"/>
    </row>
    <row r="556" spans="1:9" ht="14.25" customHeight="1" x14ac:dyDescent="0.3">
      <c r="A556" s="6">
        <v>40273</v>
      </c>
      <c r="B556" s="7">
        <v>84.216899999999995</v>
      </c>
      <c r="C556" s="8">
        <f t="shared" si="5"/>
        <v>87.219388030764463</v>
      </c>
      <c r="D556" s="9">
        <f t="shared" si="4"/>
        <v>63.257626780823337</v>
      </c>
      <c r="E556" s="9"/>
      <c r="F556" s="9">
        <f ca="1">IFERROR(__xludf.DUMMYFUNCTION("""COMPUTED_VALUE"""),44751)</f>
        <v>44751</v>
      </c>
      <c r="G556" s="9" t="str">
        <f ca="1">IFERROR(__xludf.DUMMYFUNCTION("""COMPUTED_VALUE"""),"1 USD = 206.4188 PKR")</f>
        <v>1 USD = 206.4188 PKR</v>
      </c>
      <c r="H556" s="9" t="str">
        <f ca="1">IFERROR(__xludf.DUMMYFUNCTION("""COMPUTED_VALUE"""),"USD PKR rate for 09/07/2022")</f>
        <v>USD PKR rate for 09/07/2022</v>
      </c>
      <c r="I556" s="9"/>
    </row>
    <row r="557" spans="1:9" ht="14.25" customHeight="1" x14ac:dyDescent="0.3">
      <c r="A557" s="6">
        <v>40274</v>
      </c>
      <c r="B557" s="7">
        <v>84.1357</v>
      </c>
      <c r="C557" s="8">
        <f t="shared" si="5"/>
        <v>87.234987198110105</v>
      </c>
      <c r="D557" s="9">
        <f t="shared" si="4"/>
        <v>63.260364613620602</v>
      </c>
      <c r="E557" s="9"/>
      <c r="F557" s="9">
        <f ca="1">IFERROR(__xludf.DUMMYFUNCTION("""COMPUTED_VALUE"""),44750)</f>
        <v>44750</v>
      </c>
      <c r="G557" s="9" t="str">
        <f ca="1">IFERROR(__xludf.DUMMYFUNCTION("""COMPUTED_VALUE"""),"1 USD = 206.5862 PKR")</f>
        <v>1 USD = 206.5862 PKR</v>
      </c>
      <c r="H557" s="9" t="str">
        <f ca="1">IFERROR(__xludf.DUMMYFUNCTION("""COMPUTED_VALUE"""),"USD PKR rate for 08/07/2022")</f>
        <v>USD PKR rate for 08/07/2022</v>
      </c>
      <c r="I557" s="9"/>
    </row>
    <row r="558" spans="1:9" ht="14.25" customHeight="1" x14ac:dyDescent="0.3">
      <c r="A558" s="6">
        <v>40275</v>
      </c>
      <c r="B558" s="7">
        <v>84.070600000000013</v>
      </c>
      <c r="C558" s="8">
        <f t="shared" si="5"/>
        <v>87.250589155363215</v>
      </c>
      <c r="D558" s="9">
        <f t="shared" si="4"/>
        <v>63.263102446417868</v>
      </c>
      <c r="E558" s="9"/>
      <c r="F558" s="9">
        <f ca="1">IFERROR(__xludf.DUMMYFUNCTION("""COMPUTED_VALUE"""),44749)</f>
        <v>44749</v>
      </c>
      <c r="G558" s="9" t="str">
        <f ca="1">IFERROR(__xludf.DUMMYFUNCTION("""COMPUTED_VALUE"""),"1 USD = 207.3535 PKR")</f>
        <v>1 USD = 207.3535 PKR</v>
      </c>
      <c r="H558" s="9" t="str">
        <f ca="1">IFERROR(__xludf.DUMMYFUNCTION("""COMPUTED_VALUE"""),"USD PKR rate for 07/07/2022")</f>
        <v>USD PKR rate for 07/07/2022</v>
      </c>
      <c r="I558" s="9"/>
    </row>
    <row r="559" spans="1:9" ht="14.25" customHeight="1" x14ac:dyDescent="0.3">
      <c r="A559" s="6">
        <v>40276</v>
      </c>
      <c r="B559" s="7">
        <v>83.512500000000003</v>
      </c>
      <c r="C559" s="8">
        <f t="shared" si="5"/>
        <v>87.266193903022767</v>
      </c>
      <c r="D559" s="9">
        <f t="shared" si="4"/>
        <v>63.265840279215134</v>
      </c>
      <c r="E559" s="9"/>
      <c r="F559" s="9">
        <f ca="1">IFERROR(__xludf.DUMMYFUNCTION("""COMPUTED_VALUE"""),44748)</f>
        <v>44748</v>
      </c>
      <c r="G559" s="9" t="str">
        <f ca="1">IFERROR(__xludf.DUMMYFUNCTION("""COMPUTED_VALUE"""),"1 USD = 207.78 PKR")</f>
        <v>1 USD = 207.78 PKR</v>
      </c>
      <c r="H559" s="9" t="str">
        <f ca="1">IFERROR(__xludf.DUMMYFUNCTION("""COMPUTED_VALUE"""),"USD PKR rate for 06/07/2022")</f>
        <v>USD PKR rate for 06/07/2022</v>
      </c>
      <c r="I559" s="9"/>
    </row>
    <row r="560" spans="1:9" ht="14.25" customHeight="1" x14ac:dyDescent="0.3">
      <c r="A560" s="6">
        <v>40277</v>
      </c>
      <c r="B560" s="7">
        <v>83.645100000000014</v>
      </c>
      <c r="C560" s="8">
        <f t="shared" si="5"/>
        <v>87.281801441587831</v>
      </c>
      <c r="D560" s="9">
        <f t="shared" si="4"/>
        <v>63.268578112012399</v>
      </c>
      <c r="E560" s="9"/>
      <c r="F560" s="9">
        <f ca="1">IFERROR(__xludf.DUMMYFUNCTION("""COMPUTED_VALUE"""),44747)</f>
        <v>44747</v>
      </c>
      <c r="G560" s="9" t="str">
        <f ca="1">IFERROR(__xludf.DUMMYFUNCTION("""COMPUTED_VALUE"""),"1 USD = 206.369 PKR")</f>
        <v>1 USD = 206.369 PKR</v>
      </c>
      <c r="H560" s="9" t="str">
        <f ca="1">IFERROR(__xludf.DUMMYFUNCTION("""COMPUTED_VALUE"""),"USD PKR rate for 05/07/2022")</f>
        <v>USD PKR rate for 05/07/2022</v>
      </c>
      <c r="I560" s="9"/>
    </row>
    <row r="561" spans="1:9" ht="14.25" customHeight="1" x14ac:dyDescent="0.3">
      <c r="A561" s="6">
        <v>40278</v>
      </c>
      <c r="B561" s="7">
        <v>83.268799999999999</v>
      </c>
      <c r="C561" s="8">
        <f t="shared" si="5"/>
        <v>87.297411771557464</v>
      </c>
      <c r="D561" s="9">
        <f t="shared" si="4"/>
        <v>63.271315944809665</v>
      </c>
      <c r="E561" s="9"/>
      <c r="F561" s="9">
        <f ca="1">IFERROR(__xludf.DUMMYFUNCTION("""COMPUTED_VALUE"""),44746)</f>
        <v>44746</v>
      </c>
      <c r="G561" s="9" t="str">
        <f ca="1">IFERROR(__xludf.DUMMYFUNCTION("""COMPUTED_VALUE"""),"1 USD = 204.6084 PKR")</f>
        <v>1 USD = 204.6084 PKR</v>
      </c>
      <c r="H561" s="9" t="str">
        <f ca="1">IFERROR(__xludf.DUMMYFUNCTION("""COMPUTED_VALUE"""),"USD PKR rate for 04/07/2022")</f>
        <v>USD PKR rate for 04/07/2022</v>
      </c>
      <c r="I561" s="9"/>
    </row>
    <row r="562" spans="1:9" ht="14.25" customHeight="1" x14ac:dyDescent="0.3">
      <c r="A562" s="6">
        <v>40279</v>
      </c>
      <c r="B562" s="7">
        <v>83.249600000000001</v>
      </c>
      <c r="C562" s="8">
        <f t="shared" si="5"/>
        <v>87.313024893431063</v>
      </c>
      <c r="D562" s="9">
        <f t="shared" si="4"/>
        <v>63.27405377760693</v>
      </c>
      <c r="E562" s="9"/>
      <c r="F562" s="9">
        <f ca="1">IFERROR(__xludf.DUMMYFUNCTION("""COMPUTED_VALUE"""),44745)</f>
        <v>44745</v>
      </c>
      <c r="G562" s="9" t="str">
        <f ca="1">IFERROR(__xludf.DUMMYFUNCTION("""COMPUTED_VALUE"""),"1 USD = 204.5069 PKR")</f>
        <v>1 USD = 204.5069 PKR</v>
      </c>
      <c r="H562" s="9" t="str">
        <f ca="1">IFERROR(__xludf.DUMMYFUNCTION("""COMPUTED_VALUE"""),"USD PKR rate for 03/07/2022")</f>
        <v>USD PKR rate for 03/07/2022</v>
      </c>
      <c r="I562" s="9"/>
    </row>
    <row r="563" spans="1:9" ht="14.25" customHeight="1" x14ac:dyDescent="0.3">
      <c r="A563" s="6">
        <v>40280</v>
      </c>
      <c r="B563" s="7">
        <v>83.342600000000004</v>
      </c>
      <c r="C563" s="8">
        <f t="shared" si="5"/>
        <v>87.328640807707913</v>
      </c>
      <c r="D563" s="9">
        <f t="shared" si="4"/>
        <v>63.276791610404196</v>
      </c>
      <c r="E563" s="9"/>
      <c r="F563" s="9">
        <f ca="1">IFERROR(__xludf.DUMMYFUNCTION("""COMPUTED_VALUE"""),44744)</f>
        <v>44744</v>
      </c>
      <c r="G563" s="9" t="str">
        <f ca="1">IFERROR(__xludf.DUMMYFUNCTION("""COMPUTED_VALUE"""),"1 USD = 204.5713 PKR")</f>
        <v>1 USD = 204.5713 PKR</v>
      </c>
      <c r="H563" s="9" t="str">
        <f ca="1">IFERROR(__xludf.DUMMYFUNCTION("""COMPUTED_VALUE"""),"USD PKR rate for 02/07/2022")</f>
        <v>USD PKR rate for 02/07/2022</v>
      </c>
      <c r="I563" s="9"/>
    </row>
    <row r="564" spans="1:9" ht="14.25" customHeight="1" x14ac:dyDescent="0.3">
      <c r="A564" s="6">
        <v>40281</v>
      </c>
      <c r="B564" s="7">
        <v>83.636899999999997</v>
      </c>
      <c r="C564" s="8">
        <f t="shared" si="5"/>
        <v>87.344259514887398</v>
      </c>
      <c r="D564" s="9">
        <f t="shared" si="4"/>
        <v>63.279529443201461</v>
      </c>
      <c r="E564" s="9"/>
      <c r="F564" s="9">
        <f ca="1">IFERROR(__xludf.DUMMYFUNCTION("""COMPUTED_VALUE"""),44743)</f>
        <v>44743</v>
      </c>
      <c r="G564" s="9" t="str">
        <f ca="1">IFERROR(__xludf.DUMMYFUNCTION("""COMPUTED_VALUE"""),"1 USD = 204.5713 PKR")</f>
        <v>1 USD = 204.5713 PKR</v>
      </c>
      <c r="H564" s="9" t="str">
        <f ca="1">IFERROR(__xludf.DUMMYFUNCTION("""COMPUTED_VALUE"""),"USD PKR rate for 01/07/2022")</f>
        <v>USD PKR rate for 01/07/2022</v>
      </c>
      <c r="I564" s="9"/>
    </row>
    <row r="565" spans="1:9" ht="14.25" customHeight="1" x14ac:dyDescent="0.3">
      <c r="A565" s="6">
        <v>40282</v>
      </c>
      <c r="B565" s="7">
        <v>83.870199999999997</v>
      </c>
      <c r="C565" s="8">
        <f t="shared" si="5"/>
        <v>87.359881015469057</v>
      </c>
      <c r="D565" s="9">
        <f t="shared" si="4"/>
        <v>63.282267275998727</v>
      </c>
      <c r="E565" s="9"/>
      <c r="F565" s="9">
        <f ca="1">IFERROR(__xludf.DUMMYFUNCTION("""COMPUTED_VALUE"""),44742)</f>
        <v>44742</v>
      </c>
      <c r="G565" s="9" t="str">
        <f ca="1">IFERROR(__xludf.DUMMYFUNCTION("""COMPUTED_VALUE"""),"1 USD = 204.0315 PKR")</f>
        <v>1 USD = 204.0315 PKR</v>
      </c>
      <c r="H565" s="9" t="str">
        <f ca="1">IFERROR(__xludf.DUMMYFUNCTION("""COMPUTED_VALUE"""),"USD PKR rate for 30/06/2022")</f>
        <v>USD PKR rate for 30/06/2022</v>
      </c>
      <c r="I565" s="9"/>
    </row>
    <row r="566" spans="1:9" ht="14.25" customHeight="1" x14ac:dyDescent="0.3">
      <c r="A566" s="6">
        <v>40283</v>
      </c>
      <c r="B566" s="7">
        <v>84.111099999999993</v>
      </c>
      <c r="C566" s="8">
        <f t="shared" si="5"/>
        <v>87.375505309952473</v>
      </c>
      <c r="D566" s="9">
        <f t="shared" si="4"/>
        <v>63.285005108795993</v>
      </c>
      <c r="E566" s="9"/>
      <c r="F566" s="9">
        <f ca="1">IFERROR(__xludf.DUMMYFUNCTION("""COMPUTED_VALUE"""),44741)</f>
        <v>44741</v>
      </c>
      <c r="G566" s="9" t="str">
        <f ca="1">IFERROR(__xludf.DUMMYFUNCTION("""COMPUTED_VALUE"""),"1 USD = 204.8911 PKR")</f>
        <v>1 USD = 204.8911 PKR</v>
      </c>
      <c r="H566" s="9" t="str">
        <f ca="1">IFERROR(__xludf.DUMMYFUNCTION("""COMPUTED_VALUE"""),"USD PKR rate for 29/06/2022")</f>
        <v>USD PKR rate for 29/06/2022</v>
      </c>
      <c r="I566" s="9"/>
    </row>
    <row r="567" spans="1:9" ht="14.25" customHeight="1" x14ac:dyDescent="0.3">
      <c r="A567" s="6">
        <v>40284</v>
      </c>
      <c r="B567" s="7">
        <v>84.040300000000002</v>
      </c>
      <c r="C567" s="8">
        <f t="shared" si="5"/>
        <v>87.391132398837343</v>
      </c>
      <c r="D567" s="9">
        <f t="shared" si="4"/>
        <v>63.287742941593258</v>
      </c>
      <c r="E567" s="9"/>
      <c r="F567" s="9">
        <f ca="1">IFERROR(__xludf.DUMMYFUNCTION("""COMPUTED_VALUE"""),44740)</f>
        <v>44740</v>
      </c>
      <c r="G567" s="9" t="str">
        <f ca="1">IFERROR(__xludf.DUMMYFUNCTION("""COMPUTED_VALUE"""),"1 USD = 205.7393 PKR")</f>
        <v>1 USD = 205.7393 PKR</v>
      </c>
      <c r="H567" s="9" t="str">
        <f ca="1">IFERROR(__xludf.DUMMYFUNCTION("""COMPUTED_VALUE"""),"USD PKR rate for 28/06/2022")</f>
        <v>USD PKR rate for 28/06/2022</v>
      </c>
      <c r="I567" s="9"/>
    </row>
    <row r="568" spans="1:9" ht="14.25" customHeight="1" x14ac:dyDescent="0.3">
      <c r="A568" s="6">
        <v>40285</v>
      </c>
      <c r="B568" s="7">
        <v>84.168000000000006</v>
      </c>
      <c r="C568" s="8">
        <f t="shared" si="5"/>
        <v>87.406762282623433</v>
      </c>
      <c r="D568" s="9">
        <f t="shared" si="4"/>
        <v>63.290480774390524</v>
      </c>
      <c r="E568" s="9"/>
      <c r="F568" s="9">
        <f ca="1">IFERROR(__xludf.DUMMYFUNCTION("""COMPUTED_VALUE"""),44739)</f>
        <v>44739</v>
      </c>
      <c r="G568" s="9" t="str">
        <f ca="1">IFERROR(__xludf.DUMMYFUNCTION("""COMPUTED_VALUE"""),"1 USD = 207.3088 PKR")</f>
        <v>1 USD = 207.3088 PKR</v>
      </c>
      <c r="H568" s="9" t="str">
        <f ca="1">IFERROR(__xludf.DUMMYFUNCTION("""COMPUTED_VALUE"""),"USD PKR rate for 27/06/2022")</f>
        <v>USD PKR rate for 27/06/2022</v>
      </c>
      <c r="I568" s="9"/>
    </row>
    <row r="569" spans="1:9" ht="14.25" customHeight="1" x14ac:dyDescent="0.3">
      <c r="A569" s="6">
        <v>40286</v>
      </c>
      <c r="B569" s="7">
        <v>84.171599999999998</v>
      </c>
      <c r="C569" s="8">
        <f t="shared" si="5"/>
        <v>87.42239496181061</v>
      </c>
      <c r="D569" s="9">
        <f t="shared" si="4"/>
        <v>63.293218607187789</v>
      </c>
      <c r="E569" s="9"/>
      <c r="F569" s="9">
        <f ca="1">IFERROR(__xludf.DUMMYFUNCTION("""COMPUTED_VALUE"""),44738)</f>
        <v>44738</v>
      </c>
      <c r="G569" s="9" t="str">
        <f ca="1">IFERROR(__xludf.DUMMYFUNCTION("""COMPUTED_VALUE"""),"1 USD = 207.8582 PKR")</f>
        <v>1 USD = 207.8582 PKR</v>
      </c>
      <c r="H569" s="9" t="str">
        <f ca="1">IFERROR(__xludf.DUMMYFUNCTION("""COMPUTED_VALUE"""),"USD PKR rate for 26/06/2022")</f>
        <v>USD PKR rate for 26/06/2022</v>
      </c>
      <c r="I569" s="9"/>
    </row>
    <row r="570" spans="1:9" ht="14.25" customHeight="1" x14ac:dyDescent="0.3">
      <c r="A570" s="6">
        <v>40287</v>
      </c>
      <c r="B570" s="7">
        <v>84.156500000000008</v>
      </c>
      <c r="C570" s="8">
        <f t="shared" si="5"/>
        <v>87.438030436898856</v>
      </c>
      <c r="D570" s="9">
        <f t="shared" si="4"/>
        <v>63.295956439985055</v>
      </c>
      <c r="E570" s="9"/>
      <c r="F570" s="9">
        <f ca="1">IFERROR(__xludf.DUMMYFUNCTION("""COMPUTED_VALUE"""),44737)</f>
        <v>44737</v>
      </c>
      <c r="G570" s="9" t="str">
        <f ca="1">IFERROR(__xludf.DUMMYFUNCTION("""COMPUTED_VALUE"""),"1 USD = 208.3916 PKR")</f>
        <v>1 USD = 208.3916 PKR</v>
      </c>
      <c r="H570" s="9" t="str">
        <f ca="1">IFERROR(__xludf.DUMMYFUNCTION("""COMPUTED_VALUE"""),"USD PKR rate for 25/06/2022")</f>
        <v>USD PKR rate for 25/06/2022</v>
      </c>
      <c r="I570" s="9"/>
    </row>
    <row r="571" spans="1:9" ht="14.25" customHeight="1" x14ac:dyDescent="0.3">
      <c r="A571" s="6">
        <v>40288</v>
      </c>
      <c r="B571" s="7">
        <v>84.155300000000011</v>
      </c>
      <c r="C571" s="8">
        <f t="shared" si="5"/>
        <v>87.453668708388193</v>
      </c>
      <c r="D571" s="9">
        <f t="shared" si="4"/>
        <v>63.298694272782328</v>
      </c>
      <c r="E571" s="9"/>
      <c r="F571" s="9">
        <f ca="1">IFERROR(__xludf.DUMMYFUNCTION("""COMPUTED_VALUE"""),44736)</f>
        <v>44736</v>
      </c>
      <c r="G571" s="9" t="str">
        <f ca="1">IFERROR(__xludf.DUMMYFUNCTION("""COMPUTED_VALUE"""),"1 USD = 208.3916 PKR")</f>
        <v>1 USD = 208.3916 PKR</v>
      </c>
      <c r="H571" s="9" t="str">
        <f ca="1">IFERROR(__xludf.DUMMYFUNCTION("""COMPUTED_VALUE"""),"USD PKR rate for 24/06/2022")</f>
        <v>USD PKR rate for 24/06/2022</v>
      </c>
      <c r="I571" s="9"/>
    </row>
    <row r="572" spans="1:9" ht="14.25" customHeight="1" x14ac:dyDescent="0.3">
      <c r="A572" s="6">
        <v>40289</v>
      </c>
      <c r="B572" s="7">
        <v>84.134500000000003</v>
      </c>
      <c r="C572" s="8">
        <f t="shared" si="5"/>
        <v>87.469309776778744</v>
      </c>
      <c r="D572" s="9">
        <f t="shared" si="4"/>
        <v>63.301432105579593</v>
      </c>
      <c r="E572" s="9"/>
      <c r="F572" s="9">
        <f ca="1">IFERROR(__xludf.DUMMYFUNCTION("""COMPUTED_VALUE"""),44735)</f>
        <v>44735</v>
      </c>
      <c r="G572" s="9" t="str">
        <f ca="1">IFERROR(__xludf.DUMMYFUNCTION("""COMPUTED_VALUE"""),"1 USD = 210.1758 PKR")</f>
        <v>1 USD = 210.1758 PKR</v>
      </c>
      <c r="H572" s="9" t="str">
        <f ca="1">IFERROR(__xludf.DUMMYFUNCTION("""COMPUTED_VALUE"""),"USD PKR rate for 23/06/2022")</f>
        <v>USD PKR rate for 23/06/2022</v>
      </c>
      <c r="I572" s="9"/>
    </row>
    <row r="573" spans="1:9" ht="14.25" customHeight="1" x14ac:dyDescent="0.3">
      <c r="A573" s="6">
        <v>40290</v>
      </c>
      <c r="B573" s="7">
        <v>83.918899999999994</v>
      </c>
      <c r="C573" s="8">
        <f t="shared" si="5"/>
        <v>87.484953642570787</v>
      </c>
      <c r="D573" s="9">
        <f t="shared" si="4"/>
        <v>63.304169938376859</v>
      </c>
      <c r="E573" s="9"/>
      <c r="F573" s="9">
        <f ca="1">IFERROR(__xludf.DUMMYFUNCTION("""COMPUTED_VALUE"""),44734)</f>
        <v>44734</v>
      </c>
      <c r="G573" s="9" t="str">
        <f ca="1">IFERROR(__xludf.DUMMYFUNCTION("""COMPUTED_VALUE"""),"1 USD = 211.3808 PKR")</f>
        <v>1 USD = 211.3808 PKR</v>
      </c>
      <c r="H573" s="9" t="str">
        <f ca="1">IFERROR(__xludf.DUMMYFUNCTION("""COMPUTED_VALUE"""),"USD PKR rate for 22/06/2022")</f>
        <v>USD PKR rate for 22/06/2022</v>
      </c>
      <c r="I573" s="9"/>
    </row>
    <row r="574" spans="1:9" ht="14.25" customHeight="1" x14ac:dyDescent="0.3">
      <c r="A574" s="6">
        <v>40291</v>
      </c>
      <c r="B574" s="7">
        <v>83.992800000000003</v>
      </c>
      <c r="C574" s="8">
        <f t="shared" si="5"/>
        <v>87.500600306264587</v>
      </c>
      <c r="D574" s="9">
        <f t="shared" si="4"/>
        <v>63.306907771174124</v>
      </c>
      <c r="E574" s="9"/>
      <c r="F574" s="9">
        <f ca="1">IFERROR(__xludf.DUMMYFUNCTION("""COMPUTED_VALUE"""),44733)</f>
        <v>44733</v>
      </c>
      <c r="G574" s="9" t="str">
        <f ca="1">IFERROR(__xludf.DUMMYFUNCTION("""COMPUTED_VALUE"""),"1 USD = 211.9079 PKR")</f>
        <v>1 USD = 211.9079 PKR</v>
      </c>
      <c r="H574" s="9" t="str">
        <f ca="1">IFERROR(__xludf.DUMMYFUNCTION("""COMPUTED_VALUE"""),"USD PKR rate for 21/06/2022")</f>
        <v>USD PKR rate for 21/06/2022</v>
      </c>
      <c r="I574" s="9"/>
    </row>
    <row r="575" spans="1:9" ht="14.25" customHeight="1" x14ac:dyDescent="0.3">
      <c r="A575" s="6">
        <v>40292</v>
      </c>
      <c r="B575" s="7">
        <v>84.001199999999997</v>
      </c>
      <c r="C575" s="8">
        <f t="shared" si="5"/>
        <v>87.516249768360481</v>
      </c>
      <c r="D575" s="9">
        <f t="shared" si="4"/>
        <v>63.30964560397139</v>
      </c>
      <c r="E575" s="9"/>
      <c r="F575" s="9">
        <f ca="1">IFERROR(__xludf.DUMMYFUNCTION("""COMPUTED_VALUE"""),44732)</f>
        <v>44732</v>
      </c>
      <c r="G575" s="9" t="str">
        <f ca="1">IFERROR(__xludf.DUMMYFUNCTION("""COMPUTED_VALUE"""),"1 USD = 210.233 PKR")</f>
        <v>1 USD = 210.233 PKR</v>
      </c>
      <c r="H575" s="9" t="str">
        <f ca="1">IFERROR(__xludf.DUMMYFUNCTION("""COMPUTED_VALUE"""),"USD PKR rate for 20/06/2022")</f>
        <v>USD PKR rate for 20/06/2022</v>
      </c>
      <c r="I575" s="9"/>
    </row>
    <row r="576" spans="1:9" ht="14.25" customHeight="1" x14ac:dyDescent="0.3">
      <c r="A576" s="6">
        <v>40293</v>
      </c>
      <c r="B576" s="7">
        <v>83.992000000000004</v>
      </c>
      <c r="C576" s="8">
        <f t="shared" si="5"/>
        <v>87.531902029359131</v>
      </c>
      <c r="D576" s="9">
        <f t="shared" si="4"/>
        <v>63.312383436768656</v>
      </c>
      <c r="E576" s="9"/>
      <c r="F576" s="9">
        <f ca="1">IFERROR(__xludf.DUMMYFUNCTION("""COMPUTED_VALUE"""),44731)</f>
        <v>44731</v>
      </c>
      <c r="G576" s="9" t="str">
        <f ca="1">IFERROR(__xludf.DUMMYFUNCTION("""COMPUTED_VALUE"""),"1 USD = 209.5115 PKR")</f>
        <v>1 USD = 209.5115 PKR</v>
      </c>
      <c r="H576" s="9" t="str">
        <f ca="1">IFERROR(__xludf.DUMMYFUNCTION("""COMPUTED_VALUE"""),"USD PKR rate for 19/06/2022")</f>
        <v>USD PKR rate for 19/06/2022</v>
      </c>
      <c r="I576" s="9"/>
    </row>
    <row r="577" spans="1:9" ht="14.25" customHeight="1" x14ac:dyDescent="0.3">
      <c r="A577" s="6">
        <v>40294</v>
      </c>
      <c r="B577" s="7">
        <v>84.153700000000001</v>
      </c>
      <c r="C577" s="8">
        <f t="shared" si="5"/>
        <v>87.547557089761028</v>
      </c>
      <c r="D577" s="9">
        <f t="shared" si="4"/>
        <v>63.315121269565921</v>
      </c>
      <c r="E577" s="9"/>
      <c r="F577" s="9">
        <f ca="1">IFERROR(__xludf.DUMMYFUNCTION("""COMPUTED_VALUE"""),44730)</f>
        <v>44730</v>
      </c>
      <c r="G577" s="9" t="str">
        <f ca="1">IFERROR(__xludf.DUMMYFUNCTION("""COMPUTED_VALUE"""),"1 USD = 209.6661 PKR")</f>
        <v>1 USD = 209.6661 PKR</v>
      </c>
      <c r="H577" s="9" t="str">
        <f ca="1">IFERROR(__xludf.DUMMYFUNCTION("""COMPUTED_VALUE"""),"USD PKR rate for 18/06/2022")</f>
        <v>USD PKR rate for 18/06/2022</v>
      </c>
      <c r="I577" s="9"/>
    </row>
    <row r="578" spans="1:9" ht="14.25" customHeight="1" x14ac:dyDescent="0.3">
      <c r="A578" s="6">
        <v>40295</v>
      </c>
      <c r="B578" s="7">
        <v>84.133100000000013</v>
      </c>
      <c r="C578" s="8">
        <f t="shared" si="5"/>
        <v>87.56321495006685</v>
      </c>
      <c r="D578" s="9">
        <f t="shared" si="4"/>
        <v>63.317859102363187</v>
      </c>
      <c r="E578" s="9"/>
      <c r="F578" s="9">
        <f ca="1">IFERROR(__xludf.DUMMYFUNCTION("""COMPUTED_VALUE"""),44729)</f>
        <v>44729</v>
      </c>
      <c r="G578" s="9" t="str">
        <f ca="1">IFERROR(__xludf.DUMMYFUNCTION("""COMPUTED_VALUE"""),"1 USD = 208.8502 PKR")</f>
        <v>1 USD = 208.8502 PKR</v>
      </c>
      <c r="H578" s="9" t="str">
        <f ca="1">IFERROR(__xludf.DUMMYFUNCTION("""COMPUTED_VALUE"""),"USD PKR rate for 17/06/2022")</f>
        <v>USD PKR rate for 17/06/2022</v>
      </c>
      <c r="I578" s="9"/>
    </row>
    <row r="579" spans="1:9" ht="14.25" customHeight="1" x14ac:dyDescent="0.3">
      <c r="A579" s="6">
        <v>40296</v>
      </c>
      <c r="B579" s="7">
        <v>84.1447</v>
      </c>
      <c r="C579" s="8">
        <f t="shared" si="5"/>
        <v>87.578875610777374</v>
      </c>
      <c r="D579" s="9">
        <f t="shared" si="4"/>
        <v>63.320596935160452</v>
      </c>
      <c r="E579" s="9"/>
      <c r="F579" s="9">
        <f ca="1">IFERROR(__xludf.DUMMYFUNCTION("""COMPUTED_VALUE"""),44728)</f>
        <v>44728</v>
      </c>
      <c r="G579" s="9" t="str">
        <f ca="1">IFERROR(__xludf.DUMMYFUNCTION("""COMPUTED_VALUE"""),"1 USD = 207.8173 PKR")</f>
        <v>1 USD = 207.8173 PKR</v>
      </c>
      <c r="H579" s="9" t="str">
        <f ca="1">IFERROR(__xludf.DUMMYFUNCTION("""COMPUTED_VALUE"""),"USD PKR rate for 16/06/2022")</f>
        <v>USD PKR rate for 16/06/2022</v>
      </c>
      <c r="I579" s="9"/>
    </row>
    <row r="580" spans="1:9" ht="14.25" customHeight="1" x14ac:dyDescent="0.3">
      <c r="A580" s="6">
        <v>40297</v>
      </c>
      <c r="B580" s="7">
        <v>83.973100000000002</v>
      </c>
      <c r="C580" s="8">
        <f t="shared" si="5"/>
        <v>87.594539072393431</v>
      </c>
      <c r="D580" s="9">
        <f t="shared" si="4"/>
        <v>63.323334767957718</v>
      </c>
      <c r="E580" s="9"/>
      <c r="F580" s="9">
        <f ca="1">IFERROR(__xludf.DUMMYFUNCTION("""COMPUTED_VALUE"""),44727)</f>
        <v>44727</v>
      </c>
      <c r="G580" s="9" t="str">
        <f ca="1">IFERROR(__xludf.DUMMYFUNCTION("""COMPUTED_VALUE"""),"1 USD = 206.3258 PKR")</f>
        <v>1 USD = 206.3258 PKR</v>
      </c>
      <c r="H580" s="9" t="str">
        <f ca="1">IFERROR(__xludf.DUMMYFUNCTION("""COMPUTED_VALUE"""),"USD PKR rate for 15/06/2022")</f>
        <v>USD PKR rate for 15/06/2022</v>
      </c>
      <c r="I580" s="9"/>
    </row>
    <row r="581" spans="1:9" ht="14.25" customHeight="1" x14ac:dyDescent="0.3">
      <c r="A581" s="6">
        <v>40298</v>
      </c>
      <c r="B581" s="7">
        <v>84.119900000000001</v>
      </c>
      <c r="C581" s="8">
        <f t="shared" si="5"/>
        <v>87.610205335415969</v>
      </c>
      <c r="D581" s="9">
        <f t="shared" si="4"/>
        <v>63.326072600754983</v>
      </c>
      <c r="E581" s="9"/>
      <c r="F581" s="9">
        <f ca="1">IFERROR(__xludf.DUMMYFUNCTION("""COMPUTED_VALUE"""),44726)</f>
        <v>44726</v>
      </c>
      <c r="G581" s="9" t="str">
        <f ca="1">IFERROR(__xludf.DUMMYFUNCTION("""COMPUTED_VALUE"""),"1 USD = 206.2327 PKR")</f>
        <v>1 USD = 206.2327 PKR</v>
      </c>
      <c r="H581" s="9" t="str">
        <f ca="1">IFERROR(__xludf.DUMMYFUNCTION("""COMPUTED_VALUE"""),"USD PKR rate for 14/06/2022")</f>
        <v>USD PKR rate for 14/06/2022</v>
      </c>
      <c r="I581" s="9"/>
    </row>
    <row r="582" spans="1:9" ht="14.25" customHeight="1" x14ac:dyDescent="0.3">
      <c r="A582" s="6">
        <v>40299</v>
      </c>
      <c r="B582" s="7">
        <v>84.513099999999994</v>
      </c>
      <c r="C582" s="8">
        <f t="shared" si="5"/>
        <v>87.625874400346021</v>
      </c>
      <c r="D582" s="9">
        <f t="shared" si="4"/>
        <v>63.328810433552249</v>
      </c>
      <c r="E582" s="9"/>
      <c r="F582" s="9">
        <f ca="1">IFERROR(__xludf.DUMMYFUNCTION("""COMPUTED_VALUE"""),44725)</f>
        <v>44725</v>
      </c>
      <c r="G582" s="9" t="str">
        <f ca="1">IFERROR(__xludf.DUMMYFUNCTION("""COMPUTED_VALUE"""),"1 USD = 204.1778 PKR")</f>
        <v>1 USD = 204.1778 PKR</v>
      </c>
      <c r="H582" s="9" t="str">
        <f ca="1">IFERROR(__xludf.DUMMYFUNCTION("""COMPUTED_VALUE"""),"USD PKR rate for 13/06/2022")</f>
        <v>USD PKR rate for 13/06/2022</v>
      </c>
      <c r="I582" s="9"/>
    </row>
    <row r="583" spans="1:9" ht="14.25" customHeight="1" x14ac:dyDescent="0.3">
      <c r="A583" s="6">
        <v>40300</v>
      </c>
      <c r="B583" s="7">
        <v>84.518699999999995</v>
      </c>
      <c r="C583" s="8">
        <f t="shared" si="5"/>
        <v>87.641546267684703</v>
      </c>
      <c r="D583" s="9">
        <f t="shared" si="4"/>
        <v>63.331548266349515</v>
      </c>
      <c r="E583" s="9"/>
      <c r="F583" s="9">
        <f ca="1">IFERROR(__xludf.DUMMYFUNCTION("""COMPUTED_VALUE"""),44724)</f>
        <v>44724</v>
      </c>
      <c r="G583" s="9" t="str">
        <f ca="1">IFERROR(__xludf.DUMMYFUNCTION("""COMPUTED_VALUE"""),"1 USD = 203.3929 PKR")</f>
        <v>1 USD = 203.3929 PKR</v>
      </c>
      <c r="H583" s="9" t="str">
        <f ca="1">IFERROR(__xludf.DUMMYFUNCTION("""COMPUTED_VALUE"""),"USD PKR rate for 12/06/2022")</f>
        <v>USD PKR rate for 12/06/2022</v>
      </c>
      <c r="I583" s="9"/>
    </row>
    <row r="584" spans="1:9" ht="14.25" customHeight="1" x14ac:dyDescent="0.3">
      <c r="A584" s="6">
        <v>40301</v>
      </c>
      <c r="B584" s="7">
        <v>84.126900000000006</v>
      </c>
      <c r="C584" s="8">
        <f t="shared" si="5"/>
        <v>87.657220937933147</v>
      </c>
      <c r="D584" s="9">
        <f t="shared" si="4"/>
        <v>63.33428609914678</v>
      </c>
      <c r="E584" s="9"/>
      <c r="F584" s="9">
        <f ca="1">IFERROR(__xludf.DUMMYFUNCTION("""COMPUTED_VALUE"""),44723)</f>
        <v>44723</v>
      </c>
      <c r="G584" s="9" t="str">
        <f ca="1">IFERROR(__xludf.DUMMYFUNCTION("""COMPUTED_VALUE"""),"1 USD = 202.0082 PKR")</f>
        <v>1 USD = 202.0082 PKR</v>
      </c>
      <c r="H584" s="9" t="str">
        <f ca="1">IFERROR(__xludf.DUMMYFUNCTION("""COMPUTED_VALUE"""),"USD PKR rate for 11/06/2022")</f>
        <v>USD PKR rate for 11/06/2022</v>
      </c>
      <c r="I584" s="9"/>
    </row>
    <row r="585" spans="1:9" ht="14.25" customHeight="1" x14ac:dyDescent="0.3">
      <c r="A585" s="6">
        <v>40302</v>
      </c>
      <c r="B585" s="7">
        <v>84.163799999999995</v>
      </c>
      <c r="C585" s="8">
        <f t="shared" si="5"/>
        <v>87.672898411592826</v>
      </c>
      <c r="D585" s="9">
        <f t="shared" si="4"/>
        <v>63.337023931944046</v>
      </c>
      <c r="E585" s="9"/>
      <c r="F585" s="9">
        <f ca="1">IFERROR(__xludf.DUMMYFUNCTION("""COMPUTED_VALUE"""),44722)</f>
        <v>44722</v>
      </c>
      <c r="G585" s="9" t="str">
        <f ca="1">IFERROR(__xludf.DUMMYFUNCTION("""COMPUTED_VALUE"""),"1 USD = 201.9938 PKR")</f>
        <v>1 USD = 201.9938 PKR</v>
      </c>
      <c r="H585" s="9" t="str">
        <f ca="1">IFERROR(__xludf.DUMMYFUNCTION("""COMPUTED_VALUE"""),"USD PKR rate for 10/06/2022")</f>
        <v>USD PKR rate for 10/06/2022</v>
      </c>
      <c r="I585" s="9"/>
    </row>
    <row r="586" spans="1:9" ht="14.25" customHeight="1" x14ac:dyDescent="0.3">
      <c r="A586" s="6">
        <v>40303</v>
      </c>
      <c r="B586" s="7">
        <v>84.053899999999999</v>
      </c>
      <c r="C586" s="8">
        <f t="shared" si="5"/>
        <v>87.688578689165027</v>
      </c>
      <c r="D586" s="9">
        <f t="shared" si="4"/>
        <v>63.339761764741311</v>
      </c>
      <c r="E586" s="9"/>
      <c r="F586" s="9">
        <f ca="1">IFERROR(__xludf.DUMMYFUNCTION("""COMPUTED_VALUE"""),44721)</f>
        <v>44721</v>
      </c>
      <c r="G586" s="9" t="str">
        <f ca="1">IFERROR(__xludf.DUMMYFUNCTION("""COMPUTED_VALUE"""),"1 USD = 201.1783 PKR")</f>
        <v>1 USD = 201.1783 PKR</v>
      </c>
      <c r="H586" s="9" t="str">
        <f ca="1">IFERROR(__xludf.DUMMYFUNCTION("""COMPUTED_VALUE"""),"USD PKR rate for 09/06/2022")</f>
        <v>USD PKR rate for 09/06/2022</v>
      </c>
      <c r="I586" s="9"/>
    </row>
    <row r="587" spans="1:9" ht="14.25" customHeight="1" x14ac:dyDescent="0.3">
      <c r="A587" s="6">
        <v>40304</v>
      </c>
      <c r="B587" s="7">
        <v>84.147099999999995</v>
      </c>
      <c r="C587" s="8">
        <f t="shared" si="5"/>
        <v>87.704261771151252</v>
      </c>
      <c r="D587" s="9">
        <f t="shared" si="4"/>
        <v>63.342499597538577</v>
      </c>
      <c r="E587" s="9"/>
      <c r="F587" s="9">
        <f ca="1">IFERROR(__xludf.DUMMYFUNCTION("""COMPUTED_VALUE"""),44720)</f>
        <v>44720</v>
      </c>
      <c r="G587" s="9" t="str">
        <f ca="1">IFERROR(__xludf.DUMMYFUNCTION("""COMPUTED_VALUE"""),"1 USD = 200.2124 PKR")</f>
        <v>1 USD = 200.2124 PKR</v>
      </c>
      <c r="H587" s="9" t="str">
        <f ca="1">IFERROR(__xludf.DUMMYFUNCTION("""COMPUTED_VALUE"""),"USD PKR rate for 08/06/2022")</f>
        <v>USD PKR rate for 08/06/2022</v>
      </c>
      <c r="I587" s="9"/>
    </row>
    <row r="588" spans="1:9" ht="14.25" customHeight="1" x14ac:dyDescent="0.3">
      <c r="A588" s="6">
        <v>40305</v>
      </c>
      <c r="B588" s="7">
        <v>84.393199999999993</v>
      </c>
      <c r="C588" s="8">
        <f t="shared" si="5"/>
        <v>87.719947658053044</v>
      </c>
      <c r="D588" s="9">
        <f t="shared" si="4"/>
        <v>63.345237430335843</v>
      </c>
      <c r="E588" s="9"/>
      <c r="F588" s="9">
        <f ca="1">IFERROR(__xludf.DUMMYFUNCTION("""COMPUTED_VALUE"""),44719)</f>
        <v>44719</v>
      </c>
      <c r="G588" s="9" t="str">
        <f ca="1">IFERROR(__xludf.DUMMYFUNCTION("""COMPUTED_VALUE"""),"1 USD = 201.6294 PKR")</f>
        <v>1 USD = 201.6294 PKR</v>
      </c>
      <c r="H588" s="9" t="str">
        <f ca="1">IFERROR(__xludf.DUMMYFUNCTION("""COMPUTED_VALUE"""),"USD PKR rate for 07/06/2022")</f>
        <v>USD PKR rate for 07/06/2022</v>
      </c>
      <c r="I588" s="9"/>
    </row>
    <row r="589" spans="1:9" ht="14.25" customHeight="1" x14ac:dyDescent="0.3">
      <c r="A589" s="6">
        <v>40306</v>
      </c>
      <c r="B589" s="7">
        <v>84.245199999999997</v>
      </c>
      <c r="C589" s="8">
        <f t="shared" si="5"/>
        <v>87.735636350372076</v>
      </c>
      <c r="D589" s="9">
        <f t="shared" si="4"/>
        <v>63.347975263133108</v>
      </c>
      <c r="E589" s="9"/>
      <c r="F589" s="9">
        <f ca="1">IFERROR(__xludf.DUMMYFUNCTION("""COMPUTED_VALUE"""),44718)</f>
        <v>44718</v>
      </c>
      <c r="G589" s="9" t="str">
        <f ca="1">IFERROR(__xludf.DUMMYFUNCTION("""COMPUTED_VALUE"""),"1 USD = 199.9828 PKR")</f>
        <v>1 USD = 199.9828 PKR</v>
      </c>
      <c r="H589" s="9" t="str">
        <f ca="1">IFERROR(__xludf.DUMMYFUNCTION("""COMPUTED_VALUE"""),"USD PKR rate for 06/06/2022")</f>
        <v>USD PKR rate for 06/06/2022</v>
      </c>
      <c r="I589" s="9"/>
    </row>
    <row r="590" spans="1:9" ht="14.25" customHeight="1" x14ac:dyDescent="0.3">
      <c r="A590" s="6">
        <v>40307</v>
      </c>
      <c r="B590" s="7">
        <v>84.289400000000001</v>
      </c>
      <c r="C590" s="8">
        <f t="shared" si="5"/>
        <v>87.751327848610103</v>
      </c>
      <c r="D590" s="9">
        <f t="shared" si="4"/>
        <v>63.350713095930374</v>
      </c>
      <c r="E590" s="9"/>
      <c r="F590" s="9">
        <f ca="1">IFERROR(__xludf.DUMMYFUNCTION("""COMPUTED_VALUE"""),44717)</f>
        <v>44717</v>
      </c>
      <c r="G590" s="9" t="str">
        <f ca="1">IFERROR(__xludf.DUMMYFUNCTION("""COMPUTED_VALUE"""),"1 USD = 198.0379 PKR")</f>
        <v>1 USD = 198.0379 PKR</v>
      </c>
      <c r="H590" s="9" t="str">
        <f ca="1">IFERROR(__xludf.DUMMYFUNCTION("""COMPUTED_VALUE"""),"USD PKR rate for 05/06/2022")</f>
        <v>USD PKR rate for 05/06/2022</v>
      </c>
      <c r="I590" s="9"/>
    </row>
    <row r="591" spans="1:9" ht="14.25" customHeight="1" x14ac:dyDescent="0.3">
      <c r="A591" s="6">
        <v>40308</v>
      </c>
      <c r="B591" s="7">
        <v>84.365200000000002</v>
      </c>
      <c r="C591" s="8">
        <f t="shared" si="5"/>
        <v>87.76702215326894</v>
      </c>
      <c r="D591" s="9">
        <f t="shared" si="4"/>
        <v>63.353450928727639</v>
      </c>
      <c r="E591" s="9"/>
      <c r="F591" s="9">
        <f ca="1">IFERROR(__xludf.DUMMYFUNCTION("""COMPUTED_VALUE"""),44716)</f>
        <v>44716</v>
      </c>
      <c r="G591" s="9" t="str">
        <f ca="1">IFERROR(__xludf.DUMMYFUNCTION("""COMPUTED_VALUE"""),"1 USD = 198.1444 PKR")</f>
        <v>1 USD = 198.1444 PKR</v>
      </c>
      <c r="H591" s="9" t="str">
        <f ca="1">IFERROR(__xludf.DUMMYFUNCTION("""COMPUTED_VALUE"""),"USD PKR rate for 04/06/2022")</f>
        <v>USD PKR rate for 04/06/2022</v>
      </c>
      <c r="I591" s="9"/>
    </row>
    <row r="592" spans="1:9" ht="14.25" customHeight="1" x14ac:dyDescent="0.3">
      <c r="A592" s="6">
        <v>40309</v>
      </c>
      <c r="B592" s="7">
        <v>84.024699999999996</v>
      </c>
      <c r="C592" s="8">
        <f t="shared" si="5"/>
        <v>87.782719264850542</v>
      </c>
      <c r="D592" s="9">
        <f t="shared" si="4"/>
        <v>63.356188761524905</v>
      </c>
      <c r="E592" s="9"/>
      <c r="F592" s="9">
        <f ca="1">IFERROR(__xludf.DUMMYFUNCTION("""COMPUTED_VALUE"""),44715)</f>
        <v>44715</v>
      </c>
      <c r="G592" s="9" t="str">
        <f ca="1">IFERROR(__xludf.DUMMYFUNCTION("""COMPUTED_VALUE"""),"1 USD = 197.5999 PKR")</f>
        <v>1 USD = 197.5999 PKR</v>
      </c>
      <c r="H592" s="9" t="str">
        <f ca="1">IFERROR(__xludf.DUMMYFUNCTION("""COMPUTED_VALUE"""),"USD PKR rate for 03/06/2022")</f>
        <v>USD PKR rate for 03/06/2022</v>
      </c>
      <c r="I592" s="9"/>
    </row>
    <row r="593" spans="1:9" ht="14.25" customHeight="1" x14ac:dyDescent="0.3">
      <c r="A593" s="6">
        <v>40310</v>
      </c>
      <c r="B593" s="7">
        <v>84.061600000000013</v>
      </c>
      <c r="C593" s="8">
        <f t="shared" si="5"/>
        <v>87.798419183856836</v>
      </c>
      <c r="D593" s="9">
        <f t="shared" si="4"/>
        <v>63.35892659432217</v>
      </c>
      <c r="E593" s="9"/>
      <c r="F593" s="9">
        <f ca="1">IFERROR(__xludf.DUMMYFUNCTION("""COMPUTED_VALUE"""),44714)</f>
        <v>44714</v>
      </c>
      <c r="G593" s="9" t="str">
        <f ca="1">IFERROR(__xludf.DUMMYFUNCTION("""COMPUTED_VALUE"""),"1 USD = 197.6147 PKR")</f>
        <v>1 USD = 197.6147 PKR</v>
      </c>
      <c r="H593" s="9" t="str">
        <f ca="1">IFERROR(__xludf.DUMMYFUNCTION("""COMPUTED_VALUE"""),"USD PKR rate for 02/06/2022")</f>
        <v>USD PKR rate for 02/06/2022</v>
      </c>
      <c r="I593" s="9"/>
    </row>
    <row r="594" spans="1:9" ht="14.25" customHeight="1" x14ac:dyDescent="0.3">
      <c r="A594" s="6">
        <v>40311</v>
      </c>
      <c r="B594" s="7">
        <v>84.290500000000009</v>
      </c>
      <c r="C594" s="8">
        <f t="shared" si="5"/>
        <v>87.814121910790078</v>
      </c>
      <c r="D594" s="9">
        <f t="shared" si="4"/>
        <v>63.361664427119436</v>
      </c>
      <c r="E594" s="9"/>
      <c r="F594" s="9">
        <f ca="1">IFERROR(__xludf.DUMMYFUNCTION("""COMPUTED_VALUE"""),44713)</f>
        <v>44713</v>
      </c>
      <c r="G594" s="9" t="str">
        <f ca="1">IFERROR(__xludf.DUMMYFUNCTION("""COMPUTED_VALUE"""),"1 USD = 197.7158 PKR")</f>
        <v>1 USD = 197.7158 PKR</v>
      </c>
      <c r="H594" s="9" t="str">
        <f ca="1">IFERROR(__xludf.DUMMYFUNCTION("""COMPUTED_VALUE"""),"USD PKR rate for 01/06/2022")</f>
        <v>USD PKR rate for 01/06/2022</v>
      </c>
      <c r="I594" s="9"/>
    </row>
    <row r="595" spans="1:9" ht="14.25" customHeight="1" x14ac:dyDescent="0.3">
      <c r="A595" s="6">
        <v>40312</v>
      </c>
      <c r="B595" s="7">
        <v>84.056600000000003</v>
      </c>
      <c r="C595" s="8">
        <f t="shared" si="5"/>
        <v>87.829827446152407</v>
      </c>
      <c r="D595" s="9">
        <f t="shared" si="4"/>
        <v>63.364402259916702</v>
      </c>
      <c r="E595" s="9"/>
      <c r="F595" s="9">
        <f ca="1">IFERROR(__xludf.DUMMYFUNCTION("""COMPUTED_VALUE"""),44712)</f>
        <v>44712</v>
      </c>
      <c r="G595" s="9" t="str">
        <f ca="1">IFERROR(__xludf.DUMMYFUNCTION("""COMPUTED_VALUE"""),"1 USD = 198.7626 PKR")</f>
        <v>1 USD = 198.7626 PKR</v>
      </c>
      <c r="H595" s="9" t="str">
        <f ca="1">IFERROR(__xludf.DUMMYFUNCTION("""COMPUTED_VALUE"""),"USD PKR rate for 31/05/2022")</f>
        <v>USD PKR rate for 31/05/2022</v>
      </c>
      <c r="I595" s="9"/>
    </row>
    <row r="596" spans="1:9" ht="14.25" customHeight="1" x14ac:dyDescent="0.3">
      <c r="A596" s="6">
        <v>40313</v>
      </c>
      <c r="B596" s="7">
        <v>84.281700000000001</v>
      </c>
      <c r="C596" s="8">
        <f t="shared" si="5"/>
        <v>87.845535790446078</v>
      </c>
      <c r="D596" s="9">
        <f t="shared" si="4"/>
        <v>63.367140092713967</v>
      </c>
      <c r="E596" s="9"/>
      <c r="F596" s="9">
        <f ca="1">IFERROR(__xludf.DUMMYFUNCTION("""COMPUTED_VALUE"""),44711)</f>
        <v>44711</v>
      </c>
      <c r="G596" s="9" t="str">
        <f ca="1">IFERROR(__xludf.DUMMYFUNCTION("""COMPUTED_VALUE"""),"1 USD = 198.698 PKR")</f>
        <v>1 USD = 198.698 PKR</v>
      </c>
      <c r="H596" s="9" t="str">
        <f ca="1">IFERROR(__xludf.DUMMYFUNCTION("""COMPUTED_VALUE"""),"USD PKR rate for 30/05/2022")</f>
        <v>USD PKR rate for 30/05/2022</v>
      </c>
      <c r="I596" s="9"/>
    </row>
    <row r="597" spans="1:9" ht="14.25" customHeight="1" x14ac:dyDescent="0.3">
      <c r="A597" s="6">
        <v>40314</v>
      </c>
      <c r="B597" s="7">
        <v>84.293599999999998</v>
      </c>
      <c r="C597" s="8">
        <f t="shared" si="5"/>
        <v>87.861246944173502</v>
      </c>
      <c r="D597" s="9">
        <f t="shared" si="4"/>
        <v>63.369877925511233</v>
      </c>
      <c r="E597" s="9"/>
      <c r="F597" s="9">
        <f ca="1">IFERROR(__xludf.DUMMYFUNCTION("""COMPUTED_VALUE"""),44710)</f>
        <v>44710</v>
      </c>
      <c r="G597" s="9" t="str">
        <f ca="1">IFERROR(__xludf.DUMMYFUNCTION("""COMPUTED_VALUE"""),"1 USD = 199.5224 PKR")</f>
        <v>1 USD = 199.5224 PKR</v>
      </c>
      <c r="H597" s="9" t="str">
        <f ca="1">IFERROR(__xludf.DUMMYFUNCTION("""COMPUTED_VALUE"""),"USD PKR rate for 29/05/2022")</f>
        <v>USD PKR rate for 29/05/2022</v>
      </c>
      <c r="I597" s="9"/>
    </row>
    <row r="598" spans="1:9" ht="14.25" customHeight="1" x14ac:dyDescent="0.3">
      <c r="A598" s="6">
        <v>40315</v>
      </c>
      <c r="B598" s="7">
        <v>84.200500000000005</v>
      </c>
      <c r="C598" s="8">
        <f t="shared" si="5"/>
        <v>87.87696090783713</v>
      </c>
      <c r="D598" s="9">
        <f t="shared" si="4"/>
        <v>63.372615758308498</v>
      </c>
      <c r="E598" s="9"/>
      <c r="F598" s="9">
        <f ca="1">IFERROR(__xludf.DUMMYFUNCTION("""COMPUTED_VALUE"""),44709)</f>
        <v>44709</v>
      </c>
      <c r="G598" s="9" t="str">
        <f ca="1">IFERROR(__xludf.DUMMYFUNCTION("""COMPUTED_VALUE"""),"1 USD = 200.1053 PKR")</f>
        <v>1 USD = 200.1053 PKR</v>
      </c>
      <c r="H598" s="9" t="str">
        <f ca="1">IFERROR(__xludf.DUMMYFUNCTION("""COMPUTED_VALUE"""),"USD PKR rate for 28/05/2022")</f>
        <v>USD PKR rate for 28/05/2022</v>
      </c>
      <c r="I598" s="9"/>
    </row>
    <row r="599" spans="1:9" ht="14.25" customHeight="1" x14ac:dyDescent="0.3">
      <c r="A599" s="6">
        <v>40316</v>
      </c>
      <c r="B599" s="7">
        <v>84.344899999999996</v>
      </c>
      <c r="C599" s="8">
        <f t="shared" si="5"/>
        <v>87.892677681939517</v>
      </c>
      <c r="D599" s="9">
        <f t="shared" si="4"/>
        <v>63.375353591105764</v>
      </c>
      <c r="E599" s="9"/>
      <c r="F599" s="9">
        <f ca="1">IFERROR(__xludf.DUMMYFUNCTION("""COMPUTED_VALUE"""),44708)</f>
        <v>44708</v>
      </c>
      <c r="G599" s="9" t="str">
        <f ca="1">IFERROR(__xludf.DUMMYFUNCTION("""COMPUTED_VALUE"""),"1 USD = 200.1092 PKR")</f>
        <v>1 USD = 200.1092 PKR</v>
      </c>
      <c r="H599" s="9" t="str">
        <f ca="1">IFERROR(__xludf.DUMMYFUNCTION("""COMPUTED_VALUE"""),"USD PKR rate for 27/05/2022")</f>
        <v>USD PKR rate for 27/05/2022</v>
      </c>
      <c r="I599" s="9"/>
    </row>
    <row r="600" spans="1:9" ht="14.25" customHeight="1" x14ac:dyDescent="0.3">
      <c r="A600" s="6">
        <v>40317</v>
      </c>
      <c r="B600" s="7">
        <v>84.451899999999995</v>
      </c>
      <c r="C600" s="8">
        <f t="shared" si="5"/>
        <v>87.908397266983314</v>
      </c>
      <c r="D600" s="9">
        <f t="shared" si="4"/>
        <v>63.37809142390303</v>
      </c>
      <c r="E600" s="9"/>
      <c r="F600" s="9">
        <f ca="1">IFERROR(__xludf.DUMMYFUNCTION("""COMPUTED_VALUE"""),44707)</f>
        <v>44707</v>
      </c>
      <c r="G600" s="9" t="str">
        <f ca="1">IFERROR(__xludf.DUMMYFUNCTION("""COMPUTED_VALUE"""),"1 USD = 202.5614 PKR")</f>
        <v>1 USD = 202.5614 PKR</v>
      </c>
      <c r="H600" s="9" t="str">
        <f ca="1">IFERROR(__xludf.DUMMYFUNCTION("""COMPUTED_VALUE"""),"USD PKR rate for 26/05/2022")</f>
        <v>USD PKR rate for 26/05/2022</v>
      </c>
      <c r="I600" s="9"/>
    </row>
    <row r="601" spans="1:9" ht="14.25" customHeight="1" x14ac:dyDescent="0.3">
      <c r="A601" s="6">
        <v>40318</v>
      </c>
      <c r="B601" s="7">
        <v>84.240899999999996</v>
      </c>
      <c r="C601" s="8">
        <f t="shared" si="5"/>
        <v>87.924119663471245</v>
      </c>
      <c r="D601" s="9">
        <f t="shared" si="4"/>
        <v>63.380829256700295</v>
      </c>
      <c r="E601" s="9"/>
      <c r="F601" s="9">
        <f ca="1">IFERROR(__xludf.DUMMYFUNCTION("""COMPUTED_VALUE"""),44706)</f>
        <v>44706</v>
      </c>
      <c r="G601" s="9" t="str">
        <f ca="1">IFERROR(__xludf.DUMMYFUNCTION("""COMPUTED_VALUE"""),"1 USD = 202.4008 PKR")</f>
        <v>1 USD = 202.4008 PKR</v>
      </c>
      <c r="H601" s="9" t="str">
        <f ca="1">IFERROR(__xludf.DUMMYFUNCTION("""COMPUTED_VALUE"""),"USD PKR rate for 25/05/2022")</f>
        <v>USD PKR rate for 25/05/2022</v>
      </c>
      <c r="I601" s="9"/>
    </row>
    <row r="602" spans="1:9" ht="14.25" customHeight="1" x14ac:dyDescent="0.3">
      <c r="A602" s="6">
        <v>40319</v>
      </c>
      <c r="B602" s="7">
        <v>84.366900000000001</v>
      </c>
      <c r="C602" s="8">
        <f t="shared" si="5"/>
        <v>87.939844871906089</v>
      </c>
      <c r="D602" s="9">
        <f t="shared" si="4"/>
        <v>63.383567089497561</v>
      </c>
      <c r="E602" s="9"/>
      <c r="F602" s="9">
        <f ca="1">IFERROR(__xludf.DUMMYFUNCTION("""COMPUTED_VALUE"""),44705)</f>
        <v>44705</v>
      </c>
      <c r="G602" s="9" t="str">
        <f ca="1">IFERROR(__xludf.DUMMYFUNCTION("""COMPUTED_VALUE"""),"1 USD = 201.1084 PKR")</f>
        <v>1 USD = 201.1084 PKR</v>
      </c>
      <c r="H602" s="9" t="str">
        <f ca="1">IFERROR(__xludf.DUMMYFUNCTION("""COMPUTED_VALUE"""),"USD PKR rate for 24/05/2022")</f>
        <v>USD PKR rate for 24/05/2022</v>
      </c>
      <c r="I602" s="9"/>
    </row>
    <row r="603" spans="1:9" ht="14.25" customHeight="1" x14ac:dyDescent="0.3">
      <c r="A603" s="6">
        <v>40320</v>
      </c>
      <c r="B603" s="7">
        <v>84.622500000000002</v>
      </c>
      <c r="C603" s="8">
        <f t="shared" si="5"/>
        <v>87.955572892790883</v>
      </c>
      <c r="D603" s="9">
        <f t="shared" si="4"/>
        <v>63.386304922294826</v>
      </c>
      <c r="E603" s="9"/>
      <c r="F603" s="9">
        <f ca="1">IFERROR(__xludf.DUMMYFUNCTION("""COMPUTED_VALUE"""),44704)</f>
        <v>44704</v>
      </c>
      <c r="G603" s="9" t="str">
        <f ca="1">IFERROR(__xludf.DUMMYFUNCTION("""COMPUTED_VALUE"""),"1 USD = 200.6976 PKR")</f>
        <v>1 USD = 200.6976 PKR</v>
      </c>
      <c r="H603" s="9" t="str">
        <f ca="1">IFERROR(__xludf.DUMMYFUNCTION("""COMPUTED_VALUE"""),"USD PKR rate for 23/05/2022")</f>
        <v>USD PKR rate for 23/05/2022</v>
      </c>
      <c r="I603" s="9"/>
    </row>
    <row r="604" spans="1:9" ht="14.25" customHeight="1" x14ac:dyDescent="0.3">
      <c r="A604" s="6">
        <v>40321</v>
      </c>
      <c r="B604" s="7">
        <v>84.575400000000016</v>
      </c>
      <c r="C604" s="8">
        <f t="shared" si="5"/>
        <v>87.971303726628562</v>
      </c>
      <c r="D604" s="9">
        <f t="shared" si="4"/>
        <v>63.389042755092092</v>
      </c>
      <c r="E604" s="9"/>
      <c r="F604" s="9">
        <f ca="1">IFERROR(__xludf.DUMMYFUNCTION("""COMPUTED_VALUE"""),44703)</f>
        <v>44703</v>
      </c>
      <c r="G604" s="9" t="str">
        <f ca="1">IFERROR(__xludf.DUMMYFUNCTION("""COMPUTED_VALUE"""),"1 USD = 200.9037 PKR")</f>
        <v>1 USD = 200.9037 PKR</v>
      </c>
      <c r="H604" s="9" t="str">
        <f ca="1">IFERROR(__xludf.DUMMYFUNCTION("""COMPUTED_VALUE"""),"USD PKR rate for 22/05/2022")</f>
        <v>USD PKR rate for 22/05/2022</v>
      </c>
      <c r="I604" s="9"/>
    </row>
    <row r="605" spans="1:9" ht="14.25" customHeight="1" x14ac:dyDescent="0.3">
      <c r="A605" s="6">
        <v>40322</v>
      </c>
      <c r="B605" s="7">
        <v>84.326999999999998</v>
      </c>
      <c r="C605" s="8">
        <f t="shared" si="5"/>
        <v>87.987037373922234</v>
      </c>
      <c r="D605" s="9">
        <f t="shared" si="4"/>
        <v>63.391780587889357</v>
      </c>
      <c r="E605" s="9"/>
      <c r="F605" s="9">
        <f ca="1">IFERROR(__xludf.DUMMYFUNCTION("""COMPUTED_VALUE"""),44702)</f>
        <v>44702</v>
      </c>
      <c r="G605" s="9" t="str">
        <f ca="1">IFERROR(__xludf.DUMMYFUNCTION("""COMPUTED_VALUE"""),"1 USD = 200.458 PKR")</f>
        <v>1 USD = 200.458 PKR</v>
      </c>
      <c r="H605" s="9" t="str">
        <f ca="1">IFERROR(__xludf.DUMMYFUNCTION("""COMPUTED_VALUE"""),"USD PKR rate for 21/05/2022")</f>
        <v>USD PKR rate for 21/05/2022</v>
      </c>
      <c r="I605" s="9"/>
    </row>
    <row r="606" spans="1:9" ht="14.25" customHeight="1" x14ac:dyDescent="0.3">
      <c r="A606" s="6">
        <v>40323</v>
      </c>
      <c r="B606" s="7">
        <v>84.396000000000001</v>
      </c>
      <c r="C606" s="8">
        <f t="shared" si="5"/>
        <v>88.002773835175091</v>
      </c>
      <c r="D606" s="9">
        <f t="shared" si="4"/>
        <v>63.394518420686623</v>
      </c>
      <c r="E606" s="9"/>
      <c r="F606" s="9">
        <f ca="1">IFERROR(__xludf.DUMMYFUNCTION("""COMPUTED_VALUE"""),44701)</f>
        <v>44701</v>
      </c>
      <c r="G606" s="9" t="str">
        <f ca="1">IFERROR(__xludf.DUMMYFUNCTION("""COMPUTED_VALUE"""),"1 USD = 200.458 PKR")</f>
        <v>1 USD = 200.458 PKR</v>
      </c>
      <c r="H606" s="9" t="str">
        <f ca="1">IFERROR(__xludf.DUMMYFUNCTION("""COMPUTED_VALUE"""),"USD PKR rate for 20/05/2022")</f>
        <v>USD PKR rate for 20/05/2022</v>
      </c>
      <c r="I606" s="9"/>
    </row>
    <row r="607" spans="1:9" ht="14.25" customHeight="1" x14ac:dyDescent="0.3">
      <c r="A607" s="6">
        <v>40324</v>
      </c>
      <c r="B607" s="7">
        <v>84.914100000000005</v>
      </c>
      <c r="C607" s="8">
        <f t="shared" si="5"/>
        <v>88.018513110890382</v>
      </c>
      <c r="D607" s="9">
        <f t="shared" si="4"/>
        <v>63.397256253483889</v>
      </c>
      <c r="E607" s="9"/>
      <c r="F607" s="9">
        <f ca="1">IFERROR(__xludf.DUMMYFUNCTION("""COMPUTED_VALUE"""),44700)</f>
        <v>44700</v>
      </c>
      <c r="G607" s="9" t="str">
        <f ca="1">IFERROR(__xludf.DUMMYFUNCTION("""COMPUTED_VALUE"""),"1 USD = 200.7486 PKR")</f>
        <v>1 USD = 200.7486 PKR</v>
      </c>
      <c r="H607" s="9" t="str">
        <f ca="1">IFERROR(__xludf.DUMMYFUNCTION("""COMPUTED_VALUE"""),"USD PKR rate for 19/05/2022")</f>
        <v>USD PKR rate for 19/05/2022</v>
      </c>
      <c r="I607" s="9"/>
    </row>
    <row r="608" spans="1:9" ht="14.25" customHeight="1" x14ac:dyDescent="0.3">
      <c r="A608" s="6">
        <v>40325</v>
      </c>
      <c r="B608" s="7">
        <v>84.869799999999998</v>
      </c>
      <c r="C608" s="8">
        <f t="shared" si="5"/>
        <v>88.034255201571497</v>
      </c>
      <c r="D608" s="9">
        <f t="shared" si="4"/>
        <v>63.399994086281154</v>
      </c>
      <c r="E608" s="9"/>
      <c r="F608" s="9">
        <f ca="1">IFERROR(__xludf.DUMMYFUNCTION("""COMPUTED_VALUE"""),44699)</f>
        <v>44699</v>
      </c>
      <c r="G608" s="9" t="str">
        <f ca="1">IFERROR(__xludf.DUMMYFUNCTION("""COMPUTED_VALUE"""),"1 USD = 198.2769 PKR")</f>
        <v>1 USD = 198.2769 PKR</v>
      </c>
      <c r="H608" s="9" t="str">
        <f ca="1">IFERROR(__xludf.DUMMYFUNCTION("""COMPUTED_VALUE"""),"USD PKR rate for 18/05/2022")</f>
        <v>USD PKR rate for 18/05/2022</v>
      </c>
      <c r="I608" s="9"/>
    </row>
    <row r="609" spans="1:9" ht="14.25" customHeight="1" x14ac:dyDescent="0.3">
      <c r="A609" s="6">
        <v>40326</v>
      </c>
      <c r="B609" s="7">
        <v>85.19380000000001</v>
      </c>
      <c r="C609" s="8">
        <f t="shared" si="5"/>
        <v>88.050000107721885</v>
      </c>
      <c r="D609" s="9">
        <f t="shared" si="4"/>
        <v>63.40273191907842</v>
      </c>
      <c r="E609" s="9"/>
      <c r="F609" s="9">
        <f ca="1">IFERROR(__xludf.DUMMYFUNCTION("""COMPUTED_VALUE"""),44698)</f>
        <v>44698</v>
      </c>
      <c r="G609" s="9" t="str">
        <f ca="1">IFERROR(__xludf.DUMMYFUNCTION("""COMPUTED_VALUE"""),"1 USD = 196.1122 PKR")</f>
        <v>1 USD = 196.1122 PKR</v>
      </c>
      <c r="H609" s="9" t="str">
        <f ca="1">IFERROR(__xludf.DUMMYFUNCTION("""COMPUTED_VALUE"""),"USD PKR rate for 17/05/2022")</f>
        <v>USD PKR rate for 17/05/2022</v>
      </c>
      <c r="I609" s="9"/>
    </row>
    <row r="610" spans="1:9" ht="14.25" customHeight="1" x14ac:dyDescent="0.3">
      <c r="A610" s="6">
        <v>40327</v>
      </c>
      <c r="B610" s="7">
        <v>84.760300000000001</v>
      </c>
      <c r="C610" s="8">
        <f t="shared" si="5"/>
        <v>88.065747829845094</v>
      </c>
      <c r="D610" s="9">
        <f t="shared" si="4"/>
        <v>63.405469751875685</v>
      </c>
      <c r="E610" s="9"/>
      <c r="F610" s="9">
        <f ca="1">IFERROR(__xludf.DUMMYFUNCTION("""COMPUTED_VALUE"""),44697)</f>
        <v>44697</v>
      </c>
      <c r="G610" s="9" t="str">
        <f ca="1">IFERROR(__xludf.DUMMYFUNCTION("""COMPUTED_VALUE"""),"1 USD = 193.6004 PKR")</f>
        <v>1 USD = 193.6004 PKR</v>
      </c>
      <c r="H610" s="9" t="str">
        <f ca="1">IFERROR(__xludf.DUMMYFUNCTION("""COMPUTED_VALUE"""),"USD PKR rate for 16/05/2022")</f>
        <v>USD PKR rate for 16/05/2022</v>
      </c>
      <c r="I610" s="9"/>
    </row>
    <row r="611" spans="1:9" ht="14.25" customHeight="1" x14ac:dyDescent="0.3">
      <c r="A611" s="6">
        <v>40328</v>
      </c>
      <c r="B611" s="7">
        <v>84.823700000000002</v>
      </c>
      <c r="C611" s="8">
        <f t="shared" si="5"/>
        <v>88.081498368444741</v>
      </c>
      <c r="D611" s="9">
        <f t="shared" si="4"/>
        <v>63.408207584672951</v>
      </c>
      <c r="E611" s="9"/>
      <c r="F611" s="9">
        <f ca="1">IFERROR(__xludf.DUMMYFUNCTION("""COMPUTED_VALUE"""),44696)</f>
        <v>44696</v>
      </c>
      <c r="G611" s="9" t="str">
        <f ca="1">IFERROR(__xludf.DUMMYFUNCTION("""COMPUTED_VALUE"""),"1 USD = 193.1919 PKR")</f>
        <v>1 USD = 193.1919 PKR</v>
      </c>
      <c r="H611" s="9" t="str">
        <f ca="1">IFERROR(__xludf.DUMMYFUNCTION("""COMPUTED_VALUE"""),"USD PKR rate for 15/05/2022")</f>
        <v>USD PKR rate for 15/05/2022</v>
      </c>
      <c r="I611" s="9"/>
    </row>
    <row r="612" spans="1:9" ht="14.25" customHeight="1" x14ac:dyDescent="0.3">
      <c r="A612" s="6">
        <v>40329</v>
      </c>
      <c r="B612" s="7">
        <v>84.641300000000001</v>
      </c>
      <c r="C612" s="8">
        <f t="shared" si="5"/>
        <v>88.097251724024503</v>
      </c>
      <c r="D612" s="9">
        <f t="shared" si="4"/>
        <v>63.410945417470217</v>
      </c>
      <c r="E612" s="9"/>
      <c r="F612" s="9">
        <f ca="1">IFERROR(__xludf.DUMMYFUNCTION("""COMPUTED_VALUE"""),44695)</f>
        <v>44695</v>
      </c>
      <c r="G612" s="9" t="str">
        <f ca="1">IFERROR(__xludf.DUMMYFUNCTION("""COMPUTED_VALUE"""),"1 USD = 191.75 PKR")</f>
        <v>1 USD = 191.75 PKR</v>
      </c>
      <c r="H612" s="9" t="str">
        <f ca="1">IFERROR(__xludf.DUMMYFUNCTION("""COMPUTED_VALUE"""),"USD PKR rate for 14/05/2022")</f>
        <v>USD PKR rate for 14/05/2022</v>
      </c>
      <c r="I612" s="9"/>
    </row>
    <row r="613" spans="1:9" ht="14.25" customHeight="1" x14ac:dyDescent="0.3">
      <c r="A613" s="6">
        <v>40330</v>
      </c>
      <c r="B613" s="7">
        <v>84.692800000000005</v>
      </c>
      <c r="C613" s="8">
        <f t="shared" si="5"/>
        <v>88.113007897088337</v>
      </c>
      <c r="D613" s="9">
        <f t="shared" si="4"/>
        <v>63.413683250267482</v>
      </c>
      <c r="E613" s="9"/>
      <c r="F613" s="9">
        <f ca="1">IFERROR(__xludf.DUMMYFUNCTION("""COMPUTED_VALUE"""),44694)</f>
        <v>44694</v>
      </c>
      <c r="G613" s="9" t="str">
        <f ca="1">IFERROR(__xludf.DUMMYFUNCTION("""COMPUTED_VALUE"""),"1 USD = 192.9465 PKR")</f>
        <v>1 USD = 192.9465 PKR</v>
      </c>
      <c r="H613" s="9" t="str">
        <f ca="1">IFERROR(__xludf.DUMMYFUNCTION("""COMPUTED_VALUE"""),"USD PKR rate for 13/05/2022")</f>
        <v>USD PKR rate for 13/05/2022</v>
      </c>
      <c r="I613" s="9"/>
    </row>
    <row r="614" spans="1:9" ht="14.25" customHeight="1" x14ac:dyDescent="0.3">
      <c r="A614" s="6">
        <v>40331</v>
      </c>
      <c r="B614" s="7">
        <v>84.873099999999994</v>
      </c>
      <c r="C614" s="8">
        <f t="shared" si="5"/>
        <v>88.128766888140078</v>
      </c>
      <c r="D614" s="9">
        <f t="shared" si="4"/>
        <v>63.416421083064748</v>
      </c>
      <c r="E614" s="9"/>
      <c r="F614" s="9">
        <f ca="1">IFERROR(__xludf.DUMMYFUNCTION("""COMPUTED_VALUE"""),44693)</f>
        <v>44693</v>
      </c>
      <c r="G614" s="9" t="str">
        <f ca="1">IFERROR(__xludf.DUMMYFUNCTION("""COMPUTED_VALUE"""),"1 USD = 191.8518 PKR")</f>
        <v>1 USD = 191.8518 PKR</v>
      </c>
      <c r="H614" s="9" t="str">
        <f ca="1">IFERROR(__xludf.DUMMYFUNCTION("""COMPUTED_VALUE"""),"USD PKR rate for 12/05/2022")</f>
        <v>USD PKR rate for 12/05/2022</v>
      </c>
      <c r="I614" s="9"/>
    </row>
    <row r="615" spans="1:9" ht="14.25" customHeight="1" x14ac:dyDescent="0.3">
      <c r="A615" s="6">
        <v>40332</v>
      </c>
      <c r="B615" s="7">
        <v>85.195899999999995</v>
      </c>
      <c r="C615" s="8">
        <f t="shared" si="5"/>
        <v>88.144528697683711</v>
      </c>
      <c r="D615" s="9">
        <f t="shared" si="4"/>
        <v>63.419158915862013</v>
      </c>
      <c r="E615" s="9"/>
      <c r="F615" s="9">
        <f ca="1">IFERROR(__xludf.DUMMYFUNCTION("""COMPUTED_VALUE"""),44692)</f>
        <v>44692</v>
      </c>
      <c r="G615" s="9" t="str">
        <f ca="1">IFERROR(__xludf.DUMMYFUNCTION("""COMPUTED_VALUE"""),"1 USD = 190.1203 PKR")</f>
        <v>1 USD = 190.1203 PKR</v>
      </c>
      <c r="H615" s="9" t="str">
        <f ca="1">IFERROR(__xludf.DUMMYFUNCTION("""COMPUTED_VALUE"""),"USD PKR rate for 11/05/2022")</f>
        <v>USD PKR rate for 11/05/2022</v>
      </c>
      <c r="I615" s="9"/>
    </row>
    <row r="616" spans="1:9" ht="14.25" customHeight="1" x14ac:dyDescent="0.3">
      <c r="A616" s="6">
        <v>40333</v>
      </c>
      <c r="B616" s="7">
        <v>85.575000000000003</v>
      </c>
      <c r="C616" s="8">
        <f t="shared" si="5"/>
        <v>88.160293326223325</v>
      </c>
      <c r="D616" s="9">
        <f t="shared" si="4"/>
        <v>63.421896748659279</v>
      </c>
      <c r="E616" s="9"/>
      <c r="F616" s="9">
        <f ca="1">IFERROR(__xludf.DUMMYFUNCTION("""COMPUTED_VALUE"""),44691)</f>
        <v>44691</v>
      </c>
      <c r="G616" s="9" t="str">
        <f ca="1">IFERROR(__xludf.DUMMYFUNCTION("""COMPUTED_VALUE"""),"1 USD = 188.786 PKR")</f>
        <v>1 USD = 188.786 PKR</v>
      </c>
      <c r="H616" s="9" t="str">
        <f ca="1">IFERROR(__xludf.DUMMYFUNCTION("""COMPUTED_VALUE"""),"USD PKR rate for 10/05/2022")</f>
        <v>USD PKR rate for 10/05/2022</v>
      </c>
      <c r="I616" s="9"/>
    </row>
    <row r="617" spans="1:9" ht="14.25" customHeight="1" x14ac:dyDescent="0.3">
      <c r="A617" s="6">
        <v>40334</v>
      </c>
      <c r="B617" s="7">
        <v>85.089800000000011</v>
      </c>
      <c r="C617" s="8">
        <f t="shared" si="5"/>
        <v>88.176060774263107</v>
      </c>
      <c r="D617" s="9">
        <f t="shared" si="4"/>
        <v>63.424634581456544</v>
      </c>
      <c r="E617" s="9"/>
      <c r="F617" s="9">
        <f ca="1">IFERROR(__xludf.DUMMYFUNCTION("""COMPUTED_VALUE"""),44690)</f>
        <v>44690</v>
      </c>
      <c r="G617" s="9" t="str">
        <f ca="1">IFERROR(__xludf.DUMMYFUNCTION("""COMPUTED_VALUE"""),"1 USD = 188.0818 PKR")</f>
        <v>1 USD = 188.0818 PKR</v>
      </c>
      <c r="H617" s="9" t="str">
        <f ca="1">IFERROR(__xludf.DUMMYFUNCTION("""COMPUTED_VALUE"""),"USD PKR rate for 09/05/2022")</f>
        <v>USD PKR rate for 09/05/2022</v>
      </c>
      <c r="I617" s="9"/>
    </row>
    <row r="618" spans="1:9" ht="14.25" customHeight="1" x14ac:dyDescent="0.3">
      <c r="A618" s="6">
        <v>40335</v>
      </c>
      <c r="B618" s="7">
        <v>85.185599999999994</v>
      </c>
      <c r="C618" s="8">
        <f t="shared" si="5"/>
        <v>88.191831042307328</v>
      </c>
      <c r="D618" s="9">
        <f t="shared" si="4"/>
        <v>63.42737241425381</v>
      </c>
      <c r="E618" s="9"/>
      <c r="F618" s="9">
        <f ca="1">IFERROR(__xludf.DUMMYFUNCTION("""COMPUTED_VALUE"""),44689)</f>
        <v>44689</v>
      </c>
      <c r="G618" s="9" t="str">
        <f ca="1">IFERROR(__xludf.DUMMYFUNCTION("""COMPUTED_VALUE"""),"1 USD = 186.5556 PKR")</f>
        <v>1 USD = 186.5556 PKR</v>
      </c>
      <c r="H618" s="9" t="str">
        <f ca="1">IFERROR(__xludf.DUMMYFUNCTION("""COMPUTED_VALUE"""),"USD PKR rate for 08/05/2022")</f>
        <v>USD PKR rate for 08/05/2022</v>
      </c>
      <c r="I618" s="9"/>
    </row>
    <row r="619" spans="1:9" ht="14.25" customHeight="1" x14ac:dyDescent="0.3">
      <c r="A619" s="6">
        <v>40336</v>
      </c>
      <c r="B619" s="7">
        <v>85.570800000000006</v>
      </c>
      <c r="C619" s="8">
        <f t="shared" si="5"/>
        <v>88.207604130860332</v>
      </c>
      <c r="D619" s="9">
        <f t="shared" si="4"/>
        <v>63.430110247051076</v>
      </c>
      <c r="E619" s="9"/>
      <c r="F619" s="9">
        <f ca="1">IFERROR(__xludf.DUMMYFUNCTION("""COMPUTED_VALUE"""),44688)</f>
        <v>44688</v>
      </c>
      <c r="G619" s="9" t="str">
        <f ca="1">IFERROR(__xludf.DUMMYFUNCTION("""COMPUTED_VALUE"""),"1 USD = 186.5978 PKR")</f>
        <v>1 USD = 186.5978 PKR</v>
      </c>
      <c r="H619" s="9" t="str">
        <f ca="1">IFERROR(__xludf.DUMMYFUNCTION("""COMPUTED_VALUE"""),"USD PKR rate for 07/05/2022")</f>
        <v>USD PKR rate for 07/05/2022</v>
      </c>
      <c r="I619" s="9"/>
    </row>
    <row r="620" spans="1:9" ht="14.25" customHeight="1" x14ac:dyDescent="0.3">
      <c r="A620" s="6">
        <v>40337</v>
      </c>
      <c r="B620" s="7">
        <v>85.528400000000005</v>
      </c>
      <c r="C620" s="8">
        <f t="shared" si="5"/>
        <v>88.223380040426562</v>
      </c>
      <c r="D620" s="9">
        <f t="shared" si="4"/>
        <v>63.432848079848341</v>
      </c>
      <c r="E620" s="9"/>
      <c r="F620" s="9">
        <f ca="1">IFERROR(__xludf.DUMMYFUNCTION("""COMPUTED_VALUE"""),44687)</f>
        <v>44687</v>
      </c>
      <c r="G620" s="9" t="str">
        <f ca="1">IFERROR(__xludf.DUMMYFUNCTION("""COMPUTED_VALUE"""),"1 USD = 185.6825 PKR")</f>
        <v>1 USD = 185.6825 PKR</v>
      </c>
      <c r="H620" s="9" t="str">
        <f ca="1">IFERROR(__xludf.DUMMYFUNCTION("""COMPUTED_VALUE"""),"USD PKR rate for 06/05/2022")</f>
        <v>USD PKR rate for 06/05/2022</v>
      </c>
      <c r="I620" s="9"/>
    </row>
    <row r="621" spans="1:9" ht="14.25" customHeight="1" x14ac:dyDescent="0.3">
      <c r="A621" s="6">
        <v>40338</v>
      </c>
      <c r="B621" s="7">
        <v>85.429000000000002</v>
      </c>
      <c r="C621" s="8">
        <f t="shared" si="5"/>
        <v>88.239158771510489</v>
      </c>
      <c r="D621" s="9">
        <f t="shared" si="4"/>
        <v>63.435585912645607</v>
      </c>
      <c r="E621" s="9"/>
      <c r="F621" s="9">
        <f ca="1">IFERROR(__xludf.DUMMYFUNCTION("""COMPUTED_VALUE"""),44686)</f>
        <v>44686</v>
      </c>
      <c r="G621" s="9" t="str">
        <f ca="1">IFERROR(__xludf.DUMMYFUNCTION("""COMPUTED_VALUE"""),"1 USD = 185.8221 PKR")</f>
        <v>1 USD = 185.8221 PKR</v>
      </c>
      <c r="H621" s="9" t="str">
        <f ca="1">IFERROR(__xludf.DUMMYFUNCTION("""COMPUTED_VALUE"""),"USD PKR rate for 05/05/2022")</f>
        <v>USD PKR rate for 05/05/2022</v>
      </c>
      <c r="I621" s="9"/>
    </row>
    <row r="622" spans="1:9" ht="14.25" customHeight="1" x14ac:dyDescent="0.3">
      <c r="A622" s="6">
        <v>40339</v>
      </c>
      <c r="B622" s="7">
        <v>85.034700000000001</v>
      </c>
      <c r="C622" s="8">
        <f t="shared" si="5"/>
        <v>88.254940324616896</v>
      </c>
      <c r="D622" s="9">
        <f t="shared" si="4"/>
        <v>63.438323745442872</v>
      </c>
      <c r="E622" s="9"/>
      <c r="F622" s="9">
        <f ca="1">IFERROR(__xludf.DUMMYFUNCTION("""COMPUTED_VALUE"""),44685)</f>
        <v>44685</v>
      </c>
      <c r="G622" s="9" t="str">
        <f ca="1">IFERROR(__xludf.DUMMYFUNCTION("""COMPUTED_VALUE"""),"1 USD = 185.616 PKR")</f>
        <v>1 USD = 185.616 PKR</v>
      </c>
      <c r="H622" s="9" t="str">
        <f ca="1">IFERROR(__xludf.DUMMYFUNCTION("""COMPUTED_VALUE"""),"USD PKR rate for 04/05/2022")</f>
        <v>USD PKR rate for 04/05/2022</v>
      </c>
      <c r="I622" s="9"/>
    </row>
    <row r="623" spans="1:9" ht="14.25" customHeight="1" x14ac:dyDescent="0.3">
      <c r="A623" s="6">
        <v>40340</v>
      </c>
      <c r="B623" s="7">
        <v>85.212299999999999</v>
      </c>
      <c r="C623" s="8">
        <f t="shared" si="5"/>
        <v>88.270724700250412</v>
      </c>
      <c r="D623" s="9">
        <f t="shared" si="4"/>
        <v>63.441061578240138</v>
      </c>
      <c r="E623" s="9"/>
      <c r="F623" s="9">
        <f ca="1">IFERROR(__xludf.DUMMYFUNCTION("""COMPUTED_VALUE"""),44684)</f>
        <v>44684</v>
      </c>
      <c r="G623" s="9" t="str">
        <f ca="1">IFERROR(__xludf.DUMMYFUNCTION("""COMPUTED_VALUE"""),"1 USD = 185.6253 PKR")</f>
        <v>1 USD = 185.6253 PKR</v>
      </c>
      <c r="H623" s="9" t="str">
        <f ca="1">IFERROR(__xludf.DUMMYFUNCTION("""COMPUTED_VALUE"""),"USD PKR rate for 03/05/2022")</f>
        <v>USD PKR rate for 03/05/2022</v>
      </c>
      <c r="I623" s="9"/>
    </row>
    <row r="624" spans="1:9" ht="14.25" customHeight="1" x14ac:dyDescent="0.3">
      <c r="A624" s="6">
        <v>40341</v>
      </c>
      <c r="B624" s="7">
        <v>85.194500000000005</v>
      </c>
      <c r="C624" s="8">
        <f t="shared" si="5"/>
        <v>88.286511898915862</v>
      </c>
      <c r="D624" s="9">
        <f t="shared" si="4"/>
        <v>63.443799411037404</v>
      </c>
      <c r="E624" s="9"/>
      <c r="F624" s="9">
        <f ca="1">IFERROR(__xludf.DUMMYFUNCTION("""COMPUTED_VALUE"""),44683)</f>
        <v>44683</v>
      </c>
      <c r="G624" s="9" t="str">
        <f ca="1">IFERROR(__xludf.DUMMYFUNCTION("""COMPUTED_VALUE"""),"1 USD = 185.6912 PKR")</f>
        <v>1 USD = 185.6912 PKR</v>
      </c>
      <c r="H624" s="9" t="str">
        <f ca="1">IFERROR(__xludf.DUMMYFUNCTION("""COMPUTED_VALUE"""),"USD PKR rate for 02/05/2022")</f>
        <v>USD PKR rate for 02/05/2022</v>
      </c>
      <c r="I624" s="9"/>
    </row>
    <row r="625" spans="1:9" ht="14.25" customHeight="1" x14ac:dyDescent="0.3">
      <c r="A625" s="6">
        <v>40342</v>
      </c>
      <c r="B625" s="7">
        <v>85.194500000000005</v>
      </c>
      <c r="C625" s="8">
        <f t="shared" si="5"/>
        <v>88.302301921118129</v>
      </c>
      <c r="D625" s="9">
        <f t="shared" si="4"/>
        <v>63.446537243834669</v>
      </c>
      <c r="E625" s="9"/>
      <c r="F625" s="9">
        <f ca="1">IFERROR(__xludf.DUMMYFUNCTION("""COMPUTED_VALUE"""),44682)</f>
        <v>44682</v>
      </c>
      <c r="G625" s="9" t="str">
        <f ca="1">IFERROR(__xludf.DUMMYFUNCTION("""COMPUTED_VALUE"""),"1 USD = 185.7106 PKR")</f>
        <v>1 USD = 185.7106 PKR</v>
      </c>
      <c r="H625" s="9" t="str">
        <f ca="1">IFERROR(__xludf.DUMMYFUNCTION("""COMPUTED_VALUE"""),"USD PKR rate for 01/05/2022")</f>
        <v>USD PKR rate for 01/05/2022</v>
      </c>
      <c r="I625" s="9"/>
    </row>
    <row r="626" spans="1:9" ht="14.25" customHeight="1" x14ac:dyDescent="0.3">
      <c r="A626" s="6">
        <v>40343</v>
      </c>
      <c r="B626" s="7">
        <v>85.049499999999995</v>
      </c>
      <c r="C626" s="8">
        <f t="shared" si="5"/>
        <v>88.318094767362226</v>
      </c>
      <c r="D626" s="9">
        <f t="shared" si="4"/>
        <v>63.449275076631935</v>
      </c>
      <c r="E626" s="9"/>
      <c r="F626" s="9">
        <f ca="1">IFERROR(__xludf.DUMMYFUNCTION("""COMPUTED_VALUE"""),44681)</f>
        <v>44681</v>
      </c>
      <c r="G626" s="9" t="str">
        <f ca="1">IFERROR(__xludf.DUMMYFUNCTION("""COMPUTED_VALUE"""),"1 USD = 185.7072 PKR")</f>
        <v>1 USD = 185.7072 PKR</v>
      </c>
      <c r="H626" s="9" t="str">
        <f ca="1">IFERROR(__xludf.DUMMYFUNCTION("""COMPUTED_VALUE"""),"USD PKR rate for 30/04/2022")</f>
        <v>USD PKR rate for 30/04/2022</v>
      </c>
      <c r="I626" s="9"/>
    </row>
    <row r="627" spans="1:9" ht="14.25" customHeight="1" x14ac:dyDescent="0.3">
      <c r="A627" s="6">
        <v>40344</v>
      </c>
      <c r="B627" s="7">
        <v>85.379000000000005</v>
      </c>
      <c r="C627" s="8">
        <f t="shared" si="5"/>
        <v>88.333890438153205</v>
      </c>
      <c r="D627" s="9">
        <f t="shared" si="4"/>
        <v>63.4520129094292</v>
      </c>
      <c r="E627" s="9"/>
      <c r="F627" s="9">
        <f ca="1">IFERROR(__xludf.DUMMYFUNCTION("""COMPUTED_VALUE"""),44680)</f>
        <v>44680</v>
      </c>
      <c r="G627" s="9" t="str">
        <f ca="1">IFERROR(__xludf.DUMMYFUNCTION("""COMPUTED_VALUE"""),"1 USD = 185.7072 PKR")</f>
        <v>1 USD = 185.7072 PKR</v>
      </c>
      <c r="H627" s="9" t="str">
        <f ca="1">IFERROR(__xludf.DUMMYFUNCTION("""COMPUTED_VALUE"""),"USD PKR rate for 29/04/2022")</f>
        <v>USD PKR rate for 29/04/2022</v>
      </c>
      <c r="I627" s="9"/>
    </row>
    <row r="628" spans="1:9" ht="14.25" customHeight="1" x14ac:dyDescent="0.3">
      <c r="A628" s="6">
        <v>40345</v>
      </c>
      <c r="B628" s="7">
        <v>85.534800000000004</v>
      </c>
      <c r="C628" s="8">
        <f t="shared" si="5"/>
        <v>88.349688933996234</v>
      </c>
      <c r="D628" s="9">
        <f t="shared" si="4"/>
        <v>63.454750742226466</v>
      </c>
      <c r="E628" s="9"/>
      <c r="F628" s="9">
        <f ca="1">IFERROR(__xludf.DUMMYFUNCTION("""COMPUTED_VALUE"""),44679)</f>
        <v>44679</v>
      </c>
      <c r="G628" s="9" t="str">
        <f ca="1">IFERROR(__xludf.DUMMYFUNCTION("""COMPUTED_VALUE"""),"1 USD = 185.7256 PKR")</f>
        <v>1 USD = 185.7256 PKR</v>
      </c>
      <c r="H628" s="9" t="str">
        <f ca="1">IFERROR(__xludf.DUMMYFUNCTION("""COMPUTED_VALUE"""),"USD PKR rate for 28/04/2022")</f>
        <v>USD PKR rate for 28/04/2022</v>
      </c>
      <c r="I628" s="9"/>
    </row>
    <row r="629" spans="1:9" ht="14.25" customHeight="1" x14ac:dyDescent="0.3">
      <c r="A629" s="6">
        <v>40346</v>
      </c>
      <c r="B629" s="7">
        <v>85.311999999999998</v>
      </c>
      <c r="C629" s="8">
        <f t="shared" si="5"/>
        <v>88.365490255396608</v>
      </c>
      <c r="D629" s="9">
        <f t="shared" si="4"/>
        <v>63.457488575023731</v>
      </c>
      <c r="E629" s="9"/>
      <c r="F629" s="9">
        <f ca="1">IFERROR(__xludf.DUMMYFUNCTION("""COMPUTED_VALUE"""),44678)</f>
        <v>44678</v>
      </c>
      <c r="G629" s="9" t="str">
        <f ca="1">IFERROR(__xludf.DUMMYFUNCTION("""COMPUTED_VALUE"""),"1 USD = 185.7598 PKR")</f>
        <v>1 USD = 185.7598 PKR</v>
      </c>
      <c r="H629" s="9" t="str">
        <f ca="1">IFERROR(__xludf.DUMMYFUNCTION("""COMPUTED_VALUE"""),"USD PKR rate for 27/04/2022")</f>
        <v>USD PKR rate for 27/04/2022</v>
      </c>
      <c r="I629" s="9"/>
    </row>
    <row r="630" spans="1:9" ht="14.25" customHeight="1" x14ac:dyDescent="0.3">
      <c r="A630" s="6">
        <v>40347</v>
      </c>
      <c r="B630" s="7">
        <v>85.720699999999994</v>
      </c>
      <c r="C630" s="8">
        <f t="shared" si="5"/>
        <v>88.381294402859552</v>
      </c>
      <c r="D630" s="9">
        <f t="shared" si="4"/>
        <v>63.460226407820997</v>
      </c>
      <c r="E630" s="9"/>
      <c r="F630" s="9">
        <f ca="1">IFERROR(__xludf.DUMMYFUNCTION("""COMPUTED_VALUE"""),44677)</f>
        <v>44677</v>
      </c>
      <c r="G630" s="9" t="str">
        <f ca="1">IFERROR(__xludf.DUMMYFUNCTION("""COMPUTED_VALUE"""),"1 USD = 185.7858 PKR")</f>
        <v>1 USD = 185.7858 PKR</v>
      </c>
      <c r="H630" s="9" t="str">
        <f ca="1">IFERROR(__xludf.DUMMYFUNCTION("""COMPUTED_VALUE"""),"USD PKR rate for 26/04/2022")</f>
        <v>USD PKR rate for 26/04/2022</v>
      </c>
      <c r="I630" s="9"/>
    </row>
    <row r="631" spans="1:9" ht="14.25" customHeight="1" x14ac:dyDescent="0.3">
      <c r="A631" s="6">
        <v>40348</v>
      </c>
      <c r="B631" s="7">
        <v>85.859800000000007</v>
      </c>
      <c r="C631" s="8">
        <f t="shared" si="5"/>
        <v>88.397101376890703</v>
      </c>
      <c r="D631" s="9">
        <f t="shared" si="4"/>
        <v>63.462964240618263</v>
      </c>
      <c r="E631" s="9"/>
      <c r="F631" s="9">
        <f ca="1">IFERROR(__xludf.DUMMYFUNCTION("""COMPUTED_VALUE"""),44676)</f>
        <v>44676</v>
      </c>
      <c r="G631" s="9" t="str">
        <f ca="1">IFERROR(__xludf.DUMMYFUNCTION("""COMPUTED_VALUE"""),"1 USD = 186.3712 PKR")</f>
        <v>1 USD = 186.3712 PKR</v>
      </c>
      <c r="H631" s="9" t="str">
        <f ca="1">IFERROR(__xludf.DUMMYFUNCTION("""COMPUTED_VALUE"""),"USD PKR rate for 25/04/2022")</f>
        <v>USD PKR rate for 25/04/2022</v>
      </c>
      <c r="I631" s="9"/>
    </row>
    <row r="632" spans="1:9" ht="14.25" customHeight="1" x14ac:dyDescent="0.3">
      <c r="A632" s="6">
        <v>40349</v>
      </c>
      <c r="B632" s="7">
        <v>85.859800000000007</v>
      </c>
      <c r="C632" s="8">
        <f t="shared" si="5"/>
        <v>88.412911177995497</v>
      </c>
      <c r="D632" s="9">
        <f t="shared" si="4"/>
        <v>63.465702073415528</v>
      </c>
      <c r="E632" s="9"/>
      <c r="F632" s="9">
        <f ca="1">IFERROR(__xludf.DUMMYFUNCTION("""COMPUTED_VALUE"""),44675)</f>
        <v>44675</v>
      </c>
      <c r="G632" s="9" t="str">
        <f ca="1">IFERROR(__xludf.DUMMYFUNCTION("""COMPUTED_VALUE"""),"1 USD = 187.0016 PKR")</f>
        <v>1 USD = 187.0016 PKR</v>
      </c>
      <c r="H632" s="9" t="str">
        <f ca="1">IFERROR(__xludf.DUMMYFUNCTION("""COMPUTED_VALUE"""),"USD PKR rate for 24/04/2022")</f>
        <v>USD PKR rate for 24/04/2022</v>
      </c>
      <c r="I632" s="9"/>
    </row>
    <row r="633" spans="1:9" ht="14.25" customHeight="1" x14ac:dyDescent="0.3">
      <c r="A633" s="6">
        <v>40350</v>
      </c>
      <c r="B633" s="7">
        <v>85.716800000000006</v>
      </c>
      <c r="C633" s="8">
        <f t="shared" si="5"/>
        <v>88.428723806679557</v>
      </c>
      <c r="D633" s="9">
        <f t="shared" si="4"/>
        <v>63.468439906212794</v>
      </c>
      <c r="E633" s="9"/>
      <c r="F633" s="9">
        <f ca="1">IFERROR(__xludf.DUMMYFUNCTION("""COMPUTED_VALUE"""),44674)</f>
        <v>44674</v>
      </c>
      <c r="G633" s="9" t="str">
        <f ca="1">IFERROR(__xludf.DUMMYFUNCTION("""COMPUTED_VALUE"""),"1 USD = 186.7605 PKR")</f>
        <v>1 USD = 186.7605 PKR</v>
      </c>
      <c r="H633" s="9" t="str">
        <f ca="1">IFERROR(__xludf.DUMMYFUNCTION("""COMPUTED_VALUE"""),"USD PKR rate for 23/04/2022")</f>
        <v>USD PKR rate for 23/04/2022</v>
      </c>
      <c r="I633" s="9"/>
    </row>
    <row r="634" spans="1:9" ht="14.25" customHeight="1" x14ac:dyDescent="0.3">
      <c r="A634" s="6">
        <v>40351</v>
      </c>
      <c r="B634" s="7">
        <v>85.636200000000002</v>
      </c>
      <c r="C634" s="8">
        <f t="shared" si="5"/>
        <v>88.44453926344859</v>
      </c>
      <c r="D634" s="9">
        <f t="shared" si="4"/>
        <v>63.471177739010059</v>
      </c>
      <c r="E634" s="9"/>
      <c r="F634" s="9">
        <f ca="1">IFERROR(__xludf.DUMMYFUNCTION("""COMPUTED_VALUE"""),44673)</f>
        <v>44673</v>
      </c>
      <c r="G634" s="9" t="str">
        <f ca="1">IFERROR(__xludf.DUMMYFUNCTION("""COMPUTED_VALUE"""),"1 USD = 187.4249 PKR")</f>
        <v>1 USD = 187.4249 PKR</v>
      </c>
      <c r="H634" s="9" t="str">
        <f ca="1">IFERROR(__xludf.DUMMYFUNCTION("""COMPUTED_VALUE"""),"USD PKR rate for 22/04/2022")</f>
        <v>USD PKR rate for 22/04/2022</v>
      </c>
      <c r="I634" s="9"/>
    </row>
    <row r="635" spans="1:9" ht="14.25" customHeight="1" x14ac:dyDescent="0.3">
      <c r="A635" s="6">
        <v>40352</v>
      </c>
      <c r="B635" s="7">
        <v>85.555099999999996</v>
      </c>
      <c r="C635" s="8">
        <f t="shared" si="5"/>
        <v>88.460357548808403</v>
      </c>
      <c r="D635" s="9">
        <f t="shared" si="4"/>
        <v>63.473915571807325</v>
      </c>
      <c r="E635" s="9"/>
      <c r="F635" s="9">
        <f ca="1">IFERROR(__xludf.DUMMYFUNCTION("""COMPUTED_VALUE"""),44672)</f>
        <v>44672</v>
      </c>
      <c r="G635" s="9" t="str">
        <f ca="1">IFERROR(__xludf.DUMMYFUNCTION("""COMPUTED_VALUE"""),"1 USD = 187.8726 PKR")</f>
        <v>1 USD = 187.8726 PKR</v>
      </c>
      <c r="H635" s="9" t="str">
        <f ca="1">IFERROR(__xludf.DUMMYFUNCTION("""COMPUTED_VALUE"""),"USD PKR rate for 21/04/2022")</f>
        <v>USD PKR rate for 21/04/2022</v>
      </c>
      <c r="I635" s="9"/>
    </row>
    <row r="636" spans="1:9" ht="14.25" customHeight="1" x14ac:dyDescent="0.3">
      <c r="A636" s="6">
        <v>40353</v>
      </c>
      <c r="B636" s="7">
        <v>85.325000000000003</v>
      </c>
      <c r="C636" s="8">
        <f t="shared" si="5"/>
        <v>88.476178663264889</v>
      </c>
      <c r="D636" s="9">
        <f t="shared" si="4"/>
        <v>63.47665340460459</v>
      </c>
      <c r="E636" s="9"/>
      <c r="F636" s="9">
        <f ca="1">IFERROR(__xludf.DUMMYFUNCTION("""COMPUTED_VALUE"""),44671)</f>
        <v>44671</v>
      </c>
      <c r="G636" s="9" t="str">
        <f ca="1">IFERROR(__xludf.DUMMYFUNCTION("""COMPUTED_VALUE"""),"1 USD = 185.6271 PKR")</f>
        <v>1 USD = 185.6271 PKR</v>
      </c>
      <c r="H636" s="9" t="str">
        <f ca="1">IFERROR(__xludf.DUMMYFUNCTION("""COMPUTED_VALUE"""),"USD PKR rate for 20/04/2022")</f>
        <v>USD PKR rate for 20/04/2022</v>
      </c>
      <c r="I636" s="9"/>
    </row>
    <row r="637" spans="1:9" ht="14.25" customHeight="1" x14ac:dyDescent="0.3">
      <c r="A637" s="6">
        <v>40354</v>
      </c>
      <c r="B637" s="7">
        <v>85.350800000000007</v>
      </c>
      <c r="C637" s="8">
        <f t="shared" si="5"/>
        <v>88.492002607324025</v>
      </c>
      <c r="D637" s="9">
        <f t="shared" si="4"/>
        <v>63.479391237401856</v>
      </c>
      <c r="E637" s="9"/>
      <c r="F637" s="9">
        <f ca="1">IFERROR(__xludf.DUMMYFUNCTION("""COMPUTED_VALUE"""),44670)</f>
        <v>44670</v>
      </c>
      <c r="G637" s="9" t="str">
        <f ca="1">IFERROR(__xludf.DUMMYFUNCTION("""COMPUTED_VALUE"""),"1 USD = 184.0157 PKR")</f>
        <v>1 USD = 184.0157 PKR</v>
      </c>
      <c r="H637" s="9" t="str">
        <f ca="1">IFERROR(__xludf.DUMMYFUNCTION("""COMPUTED_VALUE"""),"USD PKR rate for 19/04/2022")</f>
        <v>USD PKR rate for 19/04/2022</v>
      </c>
      <c r="I637" s="9"/>
    </row>
    <row r="638" spans="1:9" ht="14.25" customHeight="1" x14ac:dyDescent="0.3">
      <c r="A638" s="6">
        <v>40355</v>
      </c>
      <c r="B638" s="7">
        <v>85.018500000000003</v>
      </c>
      <c r="C638" s="8">
        <f t="shared" si="5"/>
        <v>88.507829381491902</v>
      </c>
      <c r="D638" s="9">
        <f t="shared" si="4"/>
        <v>63.482129070199122</v>
      </c>
      <c r="E638" s="9"/>
      <c r="F638" s="9">
        <f ca="1">IFERROR(__xludf.DUMMYFUNCTION("""COMPUTED_VALUE"""),44669)</f>
        <v>44669</v>
      </c>
      <c r="G638" s="9" t="str">
        <f ca="1">IFERROR(__xludf.DUMMYFUNCTION("""COMPUTED_VALUE"""),"1 USD = 182.4887 PKR")</f>
        <v>1 USD = 182.4887 PKR</v>
      </c>
      <c r="H638" s="9" t="str">
        <f ca="1">IFERROR(__xludf.DUMMYFUNCTION("""COMPUTED_VALUE"""),"USD PKR rate for 18/04/2022")</f>
        <v>USD PKR rate for 18/04/2022</v>
      </c>
      <c r="I638" s="9"/>
    </row>
    <row r="639" spans="1:9" ht="14.25" customHeight="1" x14ac:dyDescent="0.3">
      <c r="A639" s="6">
        <v>40356</v>
      </c>
      <c r="B639" s="7">
        <v>84.981999999999999</v>
      </c>
      <c r="C639" s="8">
        <f t="shared" si="5"/>
        <v>88.523658986274597</v>
      </c>
      <c r="D639" s="9">
        <f t="shared" si="4"/>
        <v>63.484866902996387</v>
      </c>
      <c r="E639" s="9"/>
      <c r="F639" s="9">
        <f ca="1">IFERROR(__xludf.DUMMYFUNCTION("""COMPUTED_VALUE"""),44668)</f>
        <v>44668</v>
      </c>
      <c r="G639" s="9" t="str">
        <f ca="1">IFERROR(__xludf.DUMMYFUNCTION("""COMPUTED_VALUE"""),"1 USD = 182.4059 PKR")</f>
        <v>1 USD = 182.4059 PKR</v>
      </c>
      <c r="H639" s="9" t="str">
        <f ca="1">IFERROR(__xludf.DUMMYFUNCTION("""COMPUTED_VALUE"""),"USD PKR rate for 17/04/2022")</f>
        <v>USD PKR rate for 17/04/2022</v>
      </c>
      <c r="I639" s="9"/>
    </row>
    <row r="640" spans="1:9" ht="14.25" customHeight="1" x14ac:dyDescent="0.3">
      <c r="A640" s="6">
        <v>40357</v>
      </c>
      <c r="B640" s="7">
        <v>85.303100000000001</v>
      </c>
      <c r="C640" s="8">
        <f t="shared" si="5"/>
        <v>88.5394914221785</v>
      </c>
      <c r="D640" s="9">
        <f t="shared" si="4"/>
        <v>63.487604735793653</v>
      </c>
      <c r="E640" s="9"/>
      <c r="F640" s="9">
        <f ca="1">IFERROR(__xludf.DUMMYFUNCTION("""COMPUTED_VALUE"""),44667)</f>
        <v>44667</v>
      </c>
      <c r="G640" s="9" t="str">
        <f ca="1">IFERROR(__xludf.DUMMYFUNCTION("""COMPUTED_VALUE"""),"1 USD = 181.8503 PKR")</f>
        <v>1 USD = 181.8503 PKR</v>
      </c>
      <c r="H640" s="9" t="str">
        <f ca="1">IFERROR(__xludf.DUMMYFUNCTION("""COMPUTED_VALUE"""),"USD PKR rate for 16/04/2022")</f>
        <v>USD PKR rate for 16/04/2022</v>
      </c>
      <c r="I640" s="9"/>
    </row>
    <row r="641" spans="1:9" ht="14.25" customHeight="1" x14ac:dyDescent="0.3">
      <c r="A641" s="6">
        <v>40358</v>
      </c>
      <c r="B641" s="7">
        <v>85.606700000000004</v>
      </c>
      <c r="C641" s="8">
        <f t="shared" si="5"/>
        <v>88.555326689709915</v>
      </c>
      <c r="D641" s="9">
        <f t="shared" si="4"/>
        <v>63.490342568590918</v>
      </c>
      <c r="E641" s="9"/>
      <c r="F641" s="9">
        <f ca="1">IFERROR(__xludf.DUMMYFUNCTION("""COMPUTED_VALUE"""),44666)</f>
        <v>44666</v>
      </c>
      <c r="G641" s="9" t="str">
        <f ca="1">IFERROR(__xludf.DUMMYFUNCTION("""COMPUTED_VALUE"""),"1 USD = 181.8504 PKR")</f>
        <v>1 USD = 181.8504 PKR</v>
      </c>
      <c r="H641" s="9" t="str">
        <f ca="1">IFERROR(__xludf.DUMMYFUNCTION("""COMPUTED_VALUE"""),"USD PKR rate for 15/04/2022")</f>
        <v>USD PKR rate for 15/04/2022</v>
      </c>
      <c r="I641" s="9"/>
    </row>
    <row r="642" spans="1:9" ht="14.25" customHeight="1" x14ac:dyDescent="0.3">
      <c r="A642" s="6">
        <v>40359</v>
      </c>
      <c r="B642" s="7">
        <v>85.466499999999996</v>
      </c>
      <c r="C642" s="8">
        <f t="shared" si="5"/>
        <v>88.571164789375246</v>
      </c>
      <c r="D642" s="9">
        <f t="shared" si="4"/>
        <v>63.493080401388184</v>
      </c>
      <c r="E642" s="9"/>
      <c r="F642" s="9">
        <f ca="1">IFERROR(__xludf.DUMMYFUNCTION("""COMPUTED_VALUE"""),44665)</f>
        <v>44665</v>
      </c>
      <c r="G642" s="9" t="str">
        <f ca="1">IFERROR(__xludf.DUMMYFUNCTION("""COMPUTED_VALUE"""),"1 USD = 181.2783 PKR")</f>
        <v>1 USD = 181.2783 PKR</v>
      </c>
      <c r="H642" s="9" t="str">
        <f ca="1">IFERROR(__xludf.DUMMYFUNCTION("""COMPUTED_VALUE"""),"USD PKR rate for 14/04/2022")</f>
        <v>USD PKR rate for 14/04/2022</v>
      </c>
      <c r="I642" s="9"/>
    </row>
    <row r="643" spans="1:9" ht="14.25" customHeight="1" x14ac:dyDescent="0.3">
      <c r="A643" s="6">
        <v>40360</v>
      </c>
      <c r="B643" s="7">
        <v>85.420400000000001</v>
      </c>
      <c r="C643" s="8">
        <f t="shared" si="5"/>
        <v>88.587005721681038</v>
      </c>
      <c r="D643" s="9">
        <f t="shared" si="4"/>
        <v>63.49581823418545</v>
      </c>
      <c r="E643" s="9"/>
      <c r="F643" s="9">
        <f ca="1">IFERROR(__xludf.DUMMYFUNCTION("""COMPUTED_VALUE"""),44664)</f>
        <v>44664</v>
      </c>
      <c r="G643" s="9" t="str">
        <f ca="1">IFERROR(__xludf.DUMMYFUNCTION("""COMPUTED_VALUE"""),"1 USD = 181.5919 PKR")</f>
        <v>1 USD = 181.5919 PKR</v>
      </c>
      <c r="H643" s="9" t="str">
        <f ca="1">IFERROR(__xludf.DUMMYFUNCTION("""COMPUTED_VALUE"""),"USD PKR rate for 13/04/2022")</f>
        <v>USD PKR rate for 13/04/2022</v>
      </c>
      <c r="I643" s="9"/>
    </row>
    <row r="644" spans="1:9" ht="14.25" customHeight="1" x14ac:dyDescent="0.3">
      <c r="A644" s="6">
        <v>40361</v>
      </c>
      <c r="B644" s="7">
        <v>85.751400000000004</v>
      </c>
      <c r="C644" s="8">
        <f t="shared" si="5"/>
        <v>88.602849487133909</v>
      </c>
      <c r="D644" s="9">
        <f t="shared" si="4"/>
        <v>63.498556066982715</v>
      </c>
      <c r="E644" s="9"/>
      <c r="F644" s="9">
        <f ca="1">IFERROR(__xludf.DUMMYFUNCTION("""COMPUTED_VALUE"""),44663)</f>
        <v>44663</v>
      </c>
      <c r="G644" s="9" t="str">
        <f ca="1">IFERROR(__xludf.DUMMYFUNCTION("""COMPUTED_VALUE"""),"1 USD = 182.0462 PKR")</f>
        <v>1 USD = 182.0462 PKR</v>
      </c>
      <c r="H644" s="9" t="str">
        <f ca="1">IFERROR(__xludf.DUMMYFUNCTION("""COMPUTED_VALUE"""),"USD PKR rate for 12/04/2022")</f>
        <v>USD PKR rate for 12/04/2022</v>
      </c>
      <c r="I644" s="9"/>
    </row>
    <row r="645" spans="1:9" ht="14.25" customHeight="1" x14ac:dyDescent="0.3">
      <c r="A645" s="6">
        <v>40362</v>
      </c>
      <c r="B645" s="7">
        <v>85.584299999999999</v>
      </c>
      <c r="C645" s="8">
        <f t="shared" si="5"/>
        <v>88.618696086240561</v>
      </c>
      <c r="D645" s="9">
        <f t="shared" si="4"/>
        <v>63.501293899779981</v>
      </c>
      <c r="E645" s="9"/>
      <c r="F645" s="9">
        <f ca="1">IFERROR(__xludf.DUMMYFUNCTION("""COMPUTED_VALUE"""),44662)</f>
        <v>44662</v>
      </c>
      <c r="G645" s="9" t="str">
        <f ca="1">IFERROR(__xludf.DUMMYFUNCTION("""COMPUTED_VALUE"""),"1 USD = 182.9657 PKR")</f>
        <v>1 USD = 182.9657 PKR</v>
      </c>
      <c r="H645" s="9" t="str">
        <f ca="1">IFERROR(__xludf.DUMMYFUNCTION("""COMPUTED_VALUE"""),"USD PKR rate for 11/04/2022")</f>
        <v>USD PKR rate for 11/04/2022</v>
      </c>
      <c r="I645" s="9"/>
    </row>
    <row r="646" spans="1:9" ht="14.25" customHeight="1" x14ac:dyDescent="0.3">
      <c r="A646" s="6">
        <v>40363</v>
      </c>
      <c r="B646" s="7">
        <v>85.616799999999998</v>
      </c>
      <c r="C646" s="8">
        <f t="shared" si="5"/>
        <v>88.634545519507782</v>
      </c>
      <c r="D646" s="9">
        <f t="shared" si="4"/>
        <v>63.504031732577246</v>
      </c>
      <c r="E646" s="9"/>
      <c r="F646" s="9">
        <f ca="1">IFERROR(__xludf.DUMMYFUNCTION("""COMPUTED_VALUE"""),44661)</f>
        <v>44661</v>
      </c>
      <c r="G646" s="9" t="str">
        <f ca="1">IFERROR(__xludf.DUMMYFUNCTION("""COMPUTED_VALUE"""),"1 USD = 186.2665 PKR")</f>
        <v>1 USD = 186.2665 PKR</v>
      </c>
      <c r="H646" s="9" t="str">
        <f ca="1">IFERROR(__xludf.DUMMYFUNCTION("""COMPUTED_VALUE"""),"USD PKR rate for 10/04/2022")</f>
        <v>USD PKR rate for 10/04/2022</v>
      </c>
      <c r="I646" s="9"/>
    </row>
    <row r="647" spans="1:9" ht="14.25" customHeight="1" x14ac:dyDescent="0.3">
      <c r="A647" s="6">
        <v>40364</v>
      </c>
      <c r="B647" s="7">
        <v>85.781199999999998</v>
      </c>
      <c r="C647" s="8">
        <f t="shared" si="5"/>
        <v>88.650397787442472</v>
      </c>
      <c r="D647" s="9">
        <f t="shared" si="4"/>
        <v>63.506769565374512</v>
      </c>
      <c r="E647" s="9"/>
      <c r="F647" s="9">
        <f ca="1">IFERROR(__xludf.DUMMYFUNCTION("""COMPUTED_VALUE"""),44660)</f>
        <v>44660</v>
      </c>
      <c r="G647" s="9" t="str">
        <f ca="1">IFERROR(__xludf.DUMMYFUNCTION("""COMPUTED_VALUE"""),"1 USD = 186.2806 PKR")</f>
        <v>1 USD = 186.2806 PKR</v>
      </c>
      <c r="H647" s="9" t="str">
        <f ca="1">IFERROR(__xludf.DUMMYFUNCTION("""COMPUTED_VALUE"""),"USD PKR rate for 09/04/2022")</f>
        <v>USD PKR rate for 09/04/2022</v>
      </c>
      <c r="I647" s="9"/>
    </row>
    <row r="648" spans="1:9" ht="14.25" customHeight="1" x14ac:dyDescent="0.3">
      <c r="A648" s="6">
        <v>40365</v>
      </c>
      <c r="B648" s="7">
        <v>85.612899999999996</v>
      </c>
      <c r="C648" s="8">
        <f t="shared" si="5"/>
        <v>88.666252890551547</v>
      </c>
      <c r="D648" s="9">
        <f t="shared" si="4"/>
        <v>63.509507398171777</v>
      </c>
      <c r="E648" s="9"/>
      <c r="F648" s="9">
        <f ca="1">IFERROR(__xludf.DUMMYFUNCTION("""COMPUTED_VALUE"""),44659)</f>
        <v>44659</v>
      </c>
      <c r="G648" s="9" t="str">
        <f ca="1">IFERROR(__xludf.DUMMYFUNCTION("""COMPUTED_VALUE"""),"1 USD = 186.2806 PKR")</f>
        <v>1 USD = 186.2806 PKR</v>
      </c>
      <c r="H648" s="9" t="str">
        <f ca="1">IFERROR(__xludf.DUMMYFUNCTION("""COMPUTED_VALUE"""),"USD PKR rate for 08/04/2022")</f>
        <v>USD PKR rate for 08/04/2022</v>
      </c>
      <c r="I648" s="9"/>
    </row>
    <row r="649" spans="1:9" ht="14.25" customHeight="1" x14ac:dyDescent="0.3">
      <c r="A649" s="6">
        <v>40366</v>
      </c>
      <c r="B649" s="7">
        <v>85.530799999999999</v>
      </c>
      <c r="C649" s="8">
        <f t="shared" si="5"/>
        <v>88.682110829342207</v>
      </c>
      <c r="D649" s="9">
        <f t="shared" si="4"/>
        <v>63.512245230969043</v>
      </c>
      <c r="E649" s="9"/>
      <c r="F649" s="9">
        <f ca="1">IFERROR(__xludf.DUMMYFUNCTION("""COMPUTED_VALUE"""),44658)</f>
        <v>44658</v>
      </c>
      <c r="G649" s="9" t="str">
        <f ca="1">IFERROR(__xludf.DUMMYFUNCTION("""COMPUTED_VALUE"""),"1 USD = 186.0542 PKR")</f>
        <v>1 USD = 186.0542 PKR</v>
      </c>
      <c r="H649" s="9" t="str">
        <f ca="1">IFERROR(__xludf.DUMMYFUNCTION("""COMPUTED_VALUE"""),"USD PKR rate for 07/04/2022")</f>
        <v>USD PKR rate for 07/04/2022</v>
      </c>
      <c r="I649" s="9"/>
    </row>
    <row r="650" spans="1:9" ht="14.25" customHeight="1" x14ac:dyDescent="0.3">
      <c r="A650" s="6">
        <v>40367</v>
      </c>
      <c r="B650" s="7">
        <v>85.877600000000001</v>
      </c>
      <c r="C650" s="8">
        <f t="shared" si="5"/>
        <v>88.697971604321552</v>
      </c>
      <c r="D650" s="9">
        <f t="shared" si="4"/>
        <v>63.514983063766309</v>
      </c>
      <c r="E650" s="9"/>
      <c r="F650" s="9">
        <f ca="1">IFERROR(__xludf.DUMMYFUNCTION("""COMPUTED_VALUE"""),44657)</f>
        <v>44657</v>
      </c>
      <c r="G650" s="9" t="str">
        <f ca="1">IFERROR(__xludf.DUMMYFUNCTION("""COMPUTED_VALUE"""),"1 USD = 186.0514 PKR")</f>
        <v>1 USD = 186.0514 PKR</v>
      </c>
      <c r="H650" s="9" t="str">
        <f ca="1">IFERROR(__xludf.DUMMYFUNCTION("""COMPUTED_VALUE"""),"USD PKR rate for 06/04/2022")</f>
        <v>USD PKR rate for 06/04/2022</v>
      </c>
      <c r="I650" s="9"/>
    </row>
    <row r="651" spans="1:9" ht="14.25" customHeight="1" x14ac:dyDescent="0.3">
      <c r="A651" s="6">
        <v>40368</v>
      </c>
      <c r="B651" s="7">
        <v>85.842399999999998</v>
      </c>
      <c r="C651" s="8">
        <f t="shared" si="5"/>
        <v>88.713835215996895</v>
      </c>
      <c r="D651" s="9">
        <f t="shared" si="4"/>
        <v>63.517720896563581</v>
      </c>
      <c r="E651" s="9"/>
      <c r="F651" s="9">
        <f ca="1">IFERROR(__xludf.DUMMYFUNCTION("""COMPUTED_VALUE"""),44656)</f>
        <v>44656</v>
      </c>
      <c r="G651" s="9" t="str">
        <f ca="1">IFERROR(__xludf.DUMMYFUNCTION("""COMPUTED_VALUE"""),"1 USD = 184.4806 PKR")</f>
        <v>1 USD = 184.4806 PKR</v>
      </c>
      <c r="H651" s="9" t="str">
        <f ca="1">IFERROR(__xludf.DUMMYFUNCTION("""COMPUTED_VALUE"""),"USD PKR rate for 05/04/2022")</f>
        <v>USD PKR rate for 05/04/2022</v>
      </c>
      <c r="I651" s="9"/>
    </row>
    <row r="652" spans="1:9" ht="14.25" customHeight="1" x14ac:dyDescent="0.3">
      <c r="A652" s="6">
        <v>40369</v>
      </c>
      <c r="B652" s="7">
        <v>86.035600000000002</v>
      </c>
      <c r="C652" s="8">
        <f t="shared" si="5"/>
        <v>88.729701664875449</v>
      </c>
      <c r="D652" s="9">
        <f t="shared" si="4"/>
        <v>63.520458729360847</v>
      </c>
      <c r="E652" s="9"/>
      <c r="F652" s="9">
        <f ca="1">IFERROR(__xludf.DUMMYFUNCTION("""COMPUTED_VALUE"""),44655)</f>
        <v>44655</v>
      </c>
      <c r="G652" s="9" t="str">
        <f ca="1">IFERROR(__xludf.DUMMYFUNCTION("""COMPUTED_VALUE"""),"1 USD = 184.0953 PKR")</f>
        <v>1 USD = 184.0953 PKR</v>
      </c>
      <c r="H652" s="9" t="str">
        <f ca="1">IFERROR(__xludf.DUMMYFUNCTION("""COMPUTED_VALUE"""),"USD PKR rate for 04/04/2022")</f>
        <v>USD PKR rate for 04/04/2022</v>
      </c>
      <c r="I652" s="9"/>
    </row>
    <row r="653" spans="1:9" ht="14.25" customHeight="1" x14ac:dyDescent="0.3">
      <c r="A653" s="6">
        <v>40370</v>
      </c>
      <c r="B653" s="7">
        <v>86.058199999999999</v>
      </c>
      <c r="C653" s="8">
        <f t="shared" si="5"/>
        <v>88.745570951464614</v>
      </c>
      <c r="D653" s="9">
        <f t="shared" si="4"/>
        <v>63.523196562158112</v>
      </c>
      <c r="E653" s="9"/>
      <c r="F653" s="9">
        <f ca="1">IFERROR(__xludf.DUMMYFUNCTION("""COMPUTED_VALUE"""),44654)</f>
        <v>44654</v>
      </c>
      <c r="G653" s="9" t="str">
        <f ca="1">IFERROR(__xludf.DUMMYFUNCTION("""COMPUTED_VALUE"""),"1 USD = 184.5964 PKR")</f>
        <v>1 USD = 184.5964 PKR</v>
      </c>
      <c r="H653" s="9" t="str">
        <f ca="1">IFERROR(__xludf.DUMMYFUNCTION("""COMPUTED_VALUE"""),"USD PKR rate for 03/04/2022")</f>
        <v>USD PKR rate for 03/04/2022</v>
      </c>
      <c r="I653" s="9"/>
    </row>
    <row r="654" spans="1:9" ht="14.25" customHeight="1" x14ac:dyDescent="0.3">
      <c r="A654" s="6">
        <v>40371</v>
      </c>
      <c r="B654" s="7">
        <v>85.65470000000002</v>
      </c>
      <c r="C654" s="8">
        <f t="shared" si="5"/>
        <v>88.761443076272101</v>
      </c>
      <c r="D654" s="9">
        <f t="shared" si="4"/>
        <v>63.525934394955378</v>
      </c>
      <c r="E654" s="9"/>
      <c r="F654" s="9">
        <f ca="1">IFERROR(__xludf.DUMMYFUNCTION("""COMPUTED_VALUE"""),44653)</f>
        <v>44653</v>
      </c>
      <c r="G654" s="9" t="str">
        <f ca="1">IFERROR(__xludf.DUMMYFUNCTION("""COMPUTED_VALUE"""),"1 USD = 184.7926 PKR")</f>
        <v>1 USD = 184.7926 PKR</v>
      </c>
      <c r="H654" s="9" t="str">
        <f ca="1">IFERROR(__xludf.DUMMYFUNCTION("""COMPUTED_VALUE"""),"USD PKR rate for 02/04/2022")</f>
        <v>USD PKR rate for 02/04/2022</v>
      </c>
      <c r="I654" s="9"/>
    </row>
    <row r="655" spans="1:9" ht="14.25" customHeight="1" x14ac:dyDescent="0.3">
      <c r="A655" s="6">
        <v>40372</v>
      </c>
      <c r="B655" s="7">
        <v>85.545900000000017</v>
      </c>
      <c r="C655" s="8">
        <f t="shared" si="5"/>
        <v>88.777318039805436</v>
      </c>
      <c r="D655" s="9">
        <f t="shared" si="4"/>
        <v>63.528672227752644</v>
      </c>
      <c r="E655" s="9"/>
      <c r="F655" s="9">
        <f ca="1">IFERROR(__xludf.DUMMYFUNCTION("""COMPUTED_VALUE"""),44652)</f>
        <v>44652</v>
      </c>
      <c r="G655" s="9" t="str">
        <f ca="1">IFERROR(__xludf.DUMMYFUNCTION("""COMPUTED_VALUE"""),"1 USD = 183.8485 PKR")</f>
        <v>1 USD = 183.8485 PKR</v>
      </c>
      <c r="H655" s="9" t="str">
        <f ca="1">IFERROR(__xludf.DUMMYFUNCTION("""COMPUTED_VALUE"""),"USD PKR rate for 01/04/2022")</f>
        <v>USD PKR rate for 01/04/2022</v>
      </c>
      <c r="I655" s="9"/>
    </row>
    <row r="656" spans="1:9" ht="14.25" customHeight="1" x14ac:dyDescent="0.3">
      <c r="A656" s="6">
        <v>40373</v>
      </c>
      <c r="B656" s="7">
        <v>85.487499999999997</v>
      </c>
      <c r="C656" s="8">
        <f t="shared" si="5"/>
        <v>88.793195842572317</v>
      </c>
      <c r="D656" s="9">
        <f t="shared" si="4"/>
        <v>63.531410060549909</v>
      </c>
      <c r="E656" s="9"/>
      <c r="F656" s="9">
        <f ca="1">IFERROR(__xludf.DUMMYFUNCTION("""COMPUTED_VALUE"""),44651)</f>
        <v>44651</v>
      </c>
      <c r="G656" s="9" t="str">
        <f ca="1">IFERROR(__xludf.DUMMYFUNCTION("""COMPUTED_VALUE"""),"1 USD = 182.3519 PKR")</f>
        <v>1 USD = 182.3519 PKR</v>
      </c>
      <c r="H656" s="9" t="str">
        <f ca="1">IFERROR(__xludf.DUMMYFUNCTION("""COMPUTED_VALUE"""),"USD PKR rate for 31/03/2022")</f>
        <v>USD PKR rate for 31/03/2022</v>
      </c>
      <c r="I656" s="9"/>
    </row>
    <row r="657" spans="1:9" ht="14.25" customHeight="1" x14ac:dyDescent="0.3">
      <c r="A657" s="6">
        <v>40374</v>
      </c>
      <c r="B657" s="7">
        <v>85.3262</v>
      </c>
      <c r="C657" s="8">
        <f t="shared" si="5"/>
        <v>88.809076485080539</v>
      </c>
      <c r="D657" s="9">
        <f t="shared" si="4"/>
        <v>63.534147893347175</v>
      </c>
      <c r="E657" s="9"/>
      <c r="F657" s="9">
        <f ca="1">IFERROR(__xludf.DUMMYFUNCTION("""COMPUTED_VALUE"""),44650)</f>
        <v>44650</v>
      </c>
      <c r="G657" s="9" t="str">
        <f ca="1">IFERROR(__xludf.DUMMYFUNCTION("""COMPUTED_VALUE"""),"1 USD = 182.5551 PKR")</f>
        <v>1 USD = 182.5551 PKR</v>
      </c>
      <c r="H657" s="9" t="str">
        <f ca="1">IFERROR(__xludf.DUMMYFUNCTION("""COMPUTED_VALUE"""),"USD PKR rate for 30/03/2022")</f>
        <v>USD PKR rate for 30/03/2022</v>
      </c>
      <c r="I657" s="9"/>
    </row>
    <row r="658" spans="1:9" ht="14.25" customHeight="1" x14ac:dyDescent="0.3">
      <c r="A658" s="6">
        <v>40375</v>
      </c>
      <c r="B658" s="7">
        <v>85.510500000000008</v>
      </c>
      <c r="C658" s="8">
        <f t="shared" si="5"/>
        <v>88.824959967837998</v>
      </c>
      <c r="D658" s="9">
        <f t="shared" si="4"/>
        <v>63.53688572614444</v>
      </c>
      <c r="E658" s="9"/>
      <c r="F658" s="9">
        <f ca="1">IFERROR(__xludf.DUMMYFUNCTION("""COMPUTED_VALUE"""),44649)</f>
        <v>44649</v>
      </c>
      <c r="G658" s="9" t="str">
        <f ca="1">IFERROR(__xludf.DUMMYFUNCTION("""COMPUTED_VALUE"""),"1 USD = 182.4406 PKR")</f>
        <v>1 USD = 182.4406 PKR</v>
      </c>
      <c r="H658" s="9" t="str">
        <f ca="1">IFERROR(__xludf.DUMMYFUNCTION("""COMPUTED_VALUE"""),"USD PKR rate for 29/03/2022")</f>
        <v>USD PKR rate for 29/03/2022</v>
      </c>
      <c r="I658" s="9"/>
    </row>
    <row r="659" spans="1:9" ht="14.25" customHeight="1" x14ac:dyDescent="0.3">
      <c r="A659" s="6">
        <v>40376</v>
      </c>
      <c r="B659" s="7">
        <v>85.928200000000004</v>
      </c>
      <c r="C659" s="8">
        <f t="shared" si="5"/>
        <v>88.840846291352676</v>
      </c>
      <c r="D659" s="9">
        <f t="shared" si="4"/>
        <v>63.539623558941706</v>
      </c>
      <c r="E659" s="9"/>
      <c r="F659" s="9">
        <f ca="1">IFERROR(__xludf.DUMMYFUNCTION("""COMPUTED_VALUE"""),44648)</f>
        <v>44648</v>
      </c>
      <c r="G659" s="9" t="str">
        <f ca="1">IFERROR(__xludf.DUMMYFUNCTION("""COMPUTED_VALUE"""),"1 USD = 182.369 PKR")</f>
        <v>1 USD = 182.369 PKR</v>
      </c>
      <c r="H659" s="9" t="str">
        <f ca="1">IFERROR(__xludf.DUMMYFUNCTION("""COMPUTED_VALUE"""),"USD PKR rate for 28/03/2022")</f>
        <v>USD PKR rate for 28/03/2022</v>
      </c>
      <c r="I659" s="9"/>
    </row>
    <row r="660" spans="1:9" ht="14.25" customHeight="1" x14ac:dyDescent="0.3">
      <c r="A660" s="6">
        <v>40377</v>
      </c>
      <c r="B660" s="7">
        <v>85.924700000000001</v>
      </c>
      <c r="C660" s="8">
        <f t="shared" si="5"/>
        <v>88.856735456132625</v>
      </c>
      <c r="D660" s="9">
        <f t="shared" si="4"/>
        <v>63.542361391738972</v>
      </c>
      <c r="E660" s="9"/>
      <c r="F660" s="9">
        <f ca="1">IFERROR(__xludf.DUMMYFUNCTION("""COMPUTED_VALUE"""),44647)</f>
        <v>44647</v>
      </c>
      <c r="G660" s="9" t="str">
        <f ca="1">IFERROR(__xludf.DUMMYFUNCTION("""COMPUTED_VALUE"""),"1 USD = 182.5454 PKR")</f>
        <v>1 USD = 182.5454 PKR</v>
      </c>
      <c r="H660" s="9" t="str">
        <f ca="1">IFERROR(__xludf.DUMMYFUNCTION("""COMPUTED_VALUE"""),"USD PKR rate for 27/03/2022")</f>
        <v>USD PKR rate for 27/03/2022</v>
      </c>
      <c r="I660" s="9"/>
    </row>
    <row r="661" spans="1:9" ht="14.25" customHeight="1" x14ac:dyDescent="0.3">
      <c r="A661" s="6">
        <v>40378</v>
      </c>
      <c r="B661" s="7">
        <v>85.802999999999997</v>
      </c>
      <c r="C661" s="8">
        <f t="shared" si="5"/>
        <v>88.872627462686012</v>
      </c>
      <c r="D661" s="9">
        <f t="shared" si="4"/>
        <v>63.545099224536237</v>
      </c>
      <c r="E661" s="9"/>
      <c r="F661" s="9">
        <f ca="1">IFERROR(__xludf.DUMMYFUNCTION("""COMPUTED_VALUE"""),44646)</f>
        <v>44646</v>
      </c>
      <c r="G661" s="9" t="str">
        <f ca="1">IFERROR(__xludf.DUMMYFUNCTION("""COMPUTED_VALUE"""),"1 USD = 181.5432 PKR")</f>
        <v>1 USD = 181.5432 PKR</v>
      </c>
      <c r="H661" s="9" t="str">
        <f ca="1">IFERROR(__xludf.DUMMYFUNCTION("""COMPUTED_VALUE"""),"USD PKR rate for 26/03/2022")</f>
        <v>USD PKR rate for 26/03/2022</v>
      </c>
      <c r="I661" s="9"/>
    </row>
    <row r="662" spans="1:9" ht="14.25" customHeight="1" x14ac:dyDescent="0.3">
      <c r="A662" s="6">
        <v>40379</v>
      </c>
      <c r="B662" s="7">
        <v>85.644199999999998</v>
      </c>
      <c r="C662" s="8">
        <f t="shared" si="5"/>
        <v>88.888522311521015</v>
      </c>
      <c r="D662" s="9">
        <f t="shared" si="4"/>
        <v>63.547837057333503</v>
      </c>
      <c r="E662" s="9"/>
      <c r="F662" s="9">
        <f ca="1">IFERROR(__xludf.DUMMYFUNCTION("""COMPUTED_VALUE"""),44645)</f>
        <v>44645</v>
      </c>
      <c r="G662" s="9" t="str">
        <f ca="1">IFERROR(__xludf.DUMMYFUNCTION("""COMPUTED_VALUE"""),"1 USD = 181.5504 PKR")</f>
        <v>1 USD = 181.5504 PKR</v>
      </c>
      <c r="H662" s="9" t="str">
        <f ca="1">IFERROR(__xludf.DUMMYFUNCTION("""COMPUTED_VALUE"""),"USD PKR rate for 25/03/2022")</f>
        <v>USD PKR rate for 25/03/2022</v>
      </c>
      <c r="I662" s="9"/>
    </row>
    <row r="663" spans="1:9" ht="14.25" customHeight="1" x14ac:dyDescent="0.3">
      <c r="A663" s="6">
        <v>40380</v>
      </c>
      <c r="B663" s="7">
        <v>85.517100000000013</v>
      </c>
      <c r="C663" s="8">
        <f t="shared" si="5"/>
        <v>88.904420003146143</v>
      </c>
      <c r="D663" s="9">
        <f t="shared" si="4"/>
        <v>63.550574890130768</v>
      </c>
      <c r="E663" s="9"/>
      <c r="F663" s="9">
        <f ca="1">IFERROR(__xludf.DUMMYFUNCTION("""COMPUTED_VALUE"""),44644)</f>
        <v>44644</v>
      </c>
      <c r="G663" s="9" t="str">
        <f ca="1">IFERROR(__xludf.DUMMYFUNCTION("""COMPUTED_VALUE"""),"1 USD = 181.9964 PKR")</f>
        <v>1 USD = 181.9964 PKR</v>
      </c>
      <c r="H663" s="9" t="str">
        <f ca="1">IFERROR(__xludf.DUMMYFUNCTION("""COMPUTED_VALUE"""),"USD PKR rate for 24/03/2022")</f>
        <v>USD PKR rate for 24/03/2022</v>
      </c>
      <c r="I663" s="9"/>
    </row>
    <row r="664" spans="1:9" ht="14.25" customHeight="1" x14ac:dyDescent="0.3">
      <c r="A664" s="6">
        <v>40381</v>
      </c>
      <c r="B664" s="7">
        <v>85.337100000000007</v>
      </c>
      <c r="C664" s="8">
        <f t="shared" si="5"/>
        <v>88.920320538069717</v>
      </c>
      <c r="D664" s="9">
        <f t="shared" si="4"/>
        <v>63.553312722928034</v>
      </c>
      <c r="E664" s="9"/>
      <c r="F664" s="9">
        <f ca="1">IFERROR(__xludf.DUMMYFUNCTION("""COMPUTED_VALUE"""),44643)</f>
        <v>44643</v>
      </c>
      <c r="G664" s="9" t="str">
        <f ca="1">IFERROR(__xludf.DUMMYFUNCTION("""COMPUTED_VALUE"""),"1 USD = 181.8238 PKR")</f>
        <v>1 USD = 181.8238 PKR</v>
      </c>
      <c r="H664" s="9" t="str">
        <f ca="1">IFERROR(__xludf.DUMMYFUNCTION("""COMPUTED_VALUE"""),"USD PKR rate for 23/03/2022")</f>
        <v>USD PKR rate for 23/03/2022</v>
      </c>
      <c r="I664" s="9"/>
    </row>
    <row r="665" spans="1:9" ht="14.25" customHeight="1" x14ac:dyDescent="0.3">
      <c r="A665" s="6">
        <v>40382</v>
      </c>
      <c r="B665" s="7">
        <v>85.28870000000002</v>
      </c>
      <c r="C665" s="8">
        <f t="shared" si="5"/>
        <v>88.936223916800301</v>
      </c>
      <c r="D665" s="9">
        <f t="shared" si="4"/>
        <v>63.556050555725299</v>
      </c>
      <c r="E665" s="9"/>
      <c r="F665" s="9">
        <f ca="1">IFERROR(__xludf.DUMMYFUNCTION("""COMPUTED_VALUE"""),44642)</f>
        <v>44642</v>
      </c>
      <c r="G665" s="9" t="str">
        <f ca="1">IFERROR(__xludf.DUMMYFUNCTION("""COMPUTED_VALUE"""),"1 USD = 181.3548 PKR")</f>
        <v>1 USD = 181.3548 PKR</v>
      </c>
      <c r="H665" s="9" t="str">
        <f ca="1">IFERROR(__xludf.DUMMYFUNCTION("""COMPUTED_VALUE"""),"USD PKR rate for 22/03/2022")</f>
        <v>USD PKR rate for 22/03/2022</v>
      </c>
      <c r="I665" s="9"/>
    </row>
    <row r="666" spans="1:9" ht="14.25" customHeight="1" x14ac:dyDescent="0.3">
      <c r="A666" s="6">
        <v>40383</v>
      </c>
      <c r="B666" s="7">
        <v>85.155199999999994</v>
      </c>
      <c r="C666" s="8">
        <f t="shared" si="5"/>
        <v>88.95213013984646</v>
      </c>
      <c r="D666" s="9">
        <f t="shared" si="4"/>
        <v>63.558788388522565</v>
      </c>
      <c r="E666" s="9"/>
      <c r="F666" s="9">
        <f ca="1">IFERROR(__xludf.DUMMYFUNCTION("""COMPUTED_VALUE"""),44641)</f>
        <v>44641</v>
      </c>
      <c r="G666" s="9" t="str">
        <f ca="1">IFERROR(__xludf.DUMMYFUNCTION("""COMPUTED_VALUE"""),"1 USD = 181.4753 PKR")</f>
        <v>1 USD = 181.4753 PKR</v>
      </c>
      <c r="H666" s="9" t="str">
        <f ca="1">IFERROR(__xludf.DUMMYFUNCTION("""COMPUTED_VALUE"""),"USD PKR rate for 21/03/2022")</f>
        <v>USD PKR rate for 21/03/2022</v>
      </c>
      <c r="I666" s="9"/>
    </row>
    <row r="667" spans="1:9" ht="14.25" customHeight="1" x14ac:dyDescent="0.3">
      <c r="A667" s="6">
        <v>40384</v>
      </c>
      <c r="B667" s="7">
        <v>85.149300000000011</v>
      </c>
      <c r="C667" s="8">
        <f t="shared" si="5"/>
        <v>88.968039207716942</v>
      </c>
      <c r="D667" s="9">
        <f t="shared" si="4"/>
        <v>63.561526221319831</v>
      </c>
      <c r="E667" s="9"/>
      <c r="F667" s="9">
        <f ca="1">IFERROR(__xludf.DUMMYFUNCTION("""COMPUTED_VALUE"""),44640)</f>
        <v>44640</v>
      </c>
      <c r="G667" s="9" t="str">
        <f ca="1">IFERROR(__xludf.DUMMYFUNCTION("""COMPUTED_VALUE"""),"1 USD = 180.6729 PKR")</f>
        <v>1 USD = 180.6729 PKR</v>
      </c>
      <c r="H667" s="9" t="str">
        <f ca="1">IFERROR(__xludf.DUMMYFUNCTION("""COMPUTED_VALUE"""),"USD PKR rate for 20/03/2022")</f>
        <v>USD PKR rate for 20/03/2022</v>
      </c>
      <c r="I667" s="9"/>
    </row>
    <row r="668" spans="1:9" ht="14.25" customHeight="1" x14ac:dyDescent="0.3">
      <c r="A668" s="6">
        <v>40385</v>
      </c>
      <c r="B668" s="7">
        <v>85.2423</v>
      </c>
      <c r="C668" s="8">
        <f t="shared" si="5"/>
        <v>88.983951120920523</v>
      </c>
      <c r="D668" s="9">
        <f t="shared" si="4"/>
        <v>63.564264054117096</v>
      </c>
      <c r="E668" s="9"/>
      <c r="F668" s="9">
        <f ca="1">IFERROR(__xludf.DUMMYFUNCTION("""COMPUTED_VALUE"""),44639)</f>
        <v>44639</v>
      </c>
      <c r="G668" s="9" t="str">
        <f ca="1">IFERROR(__xludf.DUMMYFUNCTION("""COMPUTED_VALUE"""),"1 USD = 179.1816 PKR")</f>
        <v>1 USD = 179.1816 PKR</v>
      </c>
      <c r="H668" s="9" t="str">
        <f ca="1">IFERROR(__xludf.DUMMYFUNCTION("""COMPUTED_VALUE"""),"USD PKR rate for 19/03/2022")</f>
        <v>USD PKR rate for 19/03/2022</v>
      </c>
      <c r="I668" s="9"/>
    </row>
    <row r="669" spans="1:9" ht="14.25" customHeight="1" x14ac:dyDescent="0.3">
      <c r="A669" s="6">
        <v>40386</v>
      </c>
      <c r="B669" s="7">
        <v>85.494900000000001</v>
      </c>
      <c r="C669" s="8">
        <f t="shared" si="5"/>
        <v>88.999865879966094</v>
      </c>
      <c r="D669" s="9">
        <f t="shared" si="4"/>
        <v>63.567001886914362</v>
      </c>
      <c r="E669" s="9"/>
      <c r="F669" s="9">
        <f ca="1">IFERROR(__xludf.DUMMYFUNCTION("""COMPUTED_VALUE"""),44638)</f>
        <v>44638</v>
      </c>
      <c r="G669" s="9" t="str">
        <f ca="1">IFERROR(__xludf.DUMMYFUNCTION("""COMPUTED_VALUE"""),"1 USD = 179.1816 PKR")</f>
        <v>1 USD = 179.1816 PKR</v>
      </c>
      <c r="H669" s="9" t="str">
        <f ca="1">IFERROR(__xludf.DUMMYFUNCTION("""COMPUTED_VALUE"""),"USD PKR rate for 18/03/2022")</f>
        <v>USD PKR rate for 18/03/2022</v>
      </c>
      <c r="I669" s="9"/>
    </row>
    <row r="670" spans="1:9" ht="14.25" customHeight="1" x14ac:dyDescent="0.3">
      <c r="A670" s="6">
        <v>40387</v>
      </c>
      <c r="B670" s="7">
        <v>85.523100000000014</v>
      </c>
      <c r="C670" s="8">
        <f t="shared" si="5"/>
        <v>89.015783485362633</v>
      </c>
      <c r="D670" s="9">
        <f t="shared" si="4"/>
        <v>63.569739719711627</v>
      </c>
      <c r="E670" s="9"/>
      <c r="F670" s="9">
        <f ca="1">IFERROR(__xludf.DUMMYFUNCTION("""COMPUTED_VALUE"""),44637)</f>
        <v>44637</v>
      </c>
      <c r="G670" s="9" t="str">
        <f ca="1">IFERROR(__xludf.DUMMYFUNCTION("""COMPUTED_VALUE"""),"1 USD = 179.6933 PKR")</f>
        <v>1 USD = 179.6933 PKR</v>
      </c>
      <c r="H670" s="9" t="str">
        <f ca="1">IFERROR(__xludf.DUMMYFUNCTION("""COMPUTED_VALUE"""),"USD PKR rate for 17/03/2022")</f>
        <v>USD PKR rate for 17/03/2022</v>
      </c>
      <c r="I670" s="9"/>
    </row>
    <row r="671" spans="1:9" ht="14.25" customHeight="1" x14ac:dyDescent="0.3">
      <c r="A671" s="6">
        <v>40388</v>
      </c>
      <c r="B671" s="7">
        <v>85.710800000000006</v>
      </c>
      <c r="C671" s="8">
        <f t="shared" si="5"/>
        <v>89.031703937619127</v>
      </c>
      <c r="D671" s="9">
        <f t="shared" si="4"/>
        <v>63.572477552508893</v>
      </c>
      <c r="E671" s="9"/>
      <c r="F671" s="9">
        <f ca="1">IFERROR(__xludf.DUMMYFUNCTION("""COMPUTED_VALUE"""),44636)</f>
        <v>44636</v>
      </c>
      <c r="G671" s="9" t="str">
        <f ca="1">IFERROR(__xludf.DUMMYFUNCTION("""COMPUTED_VALUE"""),"1 USD = 179.6926 PKR")</f>
        <v>1 USD = 179.6926 PKR</v>
      </c>
      <c r="H671" s="9" t="str">
        <f ca="1">IFERROR(__xludf.DUMMYFUNCTION("""COMPUTED_VALUE"""),"USD PKR rate for 16/03/2022")</f>
        <v>USD PKR rate for 16/03/2022</v>
      </c>
      <c r="I671" s="9"/>
    </row>
    <row r="672" spans="1:9" ht="14.25" customHeight="1" x14ac:dyDescent="0.3">
      <c r="A672" s="6">
        <v>40389</v>
      </c>
      <c r="B672" s="7">
        <v>85.616600000000005</v>
      </c>
      <c r="C672" s="8">
        <f t="shared" si="5"/>
        <v>89.04762723724491</v>
      </c>
      <c r="D672" s="9">
        <f t="shared" si="4"/>
        <v>63.575215385306159</v>
      </c>
      <c r="E672" s="9"/>
      <c r="F672" s="9">
        <f ca="1">IFERROR(__xludf.DUMMYFUNCTION("""COMPUTED_VALUE"""),44635)</f>
        <v>44635</v>
      </c>
      <c r="G672" s="9" t="str">
        <f ca="1">IFERROR(__xludf.DUMMYFUNCTION("""COMPUTED_VALUE"""),"1 USD = 179.2405 PKR")</f>
        <v>1 USD = 179.2405 PKR</v>
      </c>
      <c r="H672" s="9" t="str">
        <f ca="1">IFERROR(__xludf.DUMMYFUNCTION("""COMPUTED_VALUE"""),"USD PKR rate for 15/03/2022")</f>
        <v>USD PKR rate for 15/03/2022</v>
      </c>
      <c r="I672" s="9"/>
    </row>
    <row r="673" spans="1:9" ht="14.25" customHeight="1" x14ac:dyDescent="0.3">
      <c r="A673" s="6">
        <v>40390</v>
      </c>
      <c r="B673" s="7">
        <v>85.13</v>
      </c>
      <c r="C673" s="8">
        <f t="shared" si="5"/>
        <v>89.063553384749142</v>
      </c>
      <c r="D673" s="9">
        <f t="shared" si="4"/>
        <v>63.577953218103424</v>
      </c>
      <c r="E673" s="9"/>
      <c r="F673" s="9">
        <f ca="1">IFERROR(__xludf.DUMMYFUNCTION("""COMPUTED_VALUE"""),44634)</f>
        <v>44634</v>
      </c>
      <c r="G673" s="9" t="str">
        <f ca="1">IFERROR(__xludf.DUMMYFUNCTION("""COMPUTED_VALUE"""),"1 USD = 179.1272 PKR")</f>
        <v>1 USD = 179.1272 PKR</v>
      </c>
      <c r="H673" s="9" t="str">
        <f ca="1">IFERROR(__xludf.DUMMYFUNCTION("""COMPUTED_VALUE"""),"USD PKR rate for 14/03/2022")</f>
        <v>USD PKR rate for 14/03/2022</v>
      </c>
      <c r="I673" s="9"/>
    </row>
    <row r="674" spans="1:9" ht="14.25" customHeight="1" x14ac:dyDescent="0.3">
      <c r="A674" s="6">
        <v>40391</v>
      </c>
      <c r="B674" s="7">
        <v>85.127300000000005</v>
      </c>
      <c r="C674" s="8">
        <f t="shared" si="5"/>
        <v>89.079482380641153</v>
      </c>
      <c r="D674" s="9">
        <f t="shared" si="4"/>
        <v>63.58069105090069</v>
      </c>
      <c r="E674" s="9"/>
      <c r="F674" s="9">
        <f ca="1">IFERROR(__xludf.DUMMYFUNCTION("""COMPUTED_VALUE"""),44633)</f>
        <v>44633</v>
      </c>
      <c r="G674" s="9" t="str">
        <f ca="1">IFERROR(__xludf.DUMMYFUNCTION("""COMPUTED_VALUE"""),"1 USD = 178.8468 PKR")</f>
        <v>1 USD = 178.8468 PKR</v>
      </c>
      <c r="H674" s="9" t="str">
        <f ca="1">IFERROR(__xludf.DUMMYFUNCTION("""COMPUTED_VALUE"""),"USD PKR rate for 13/03/2022")</f>
        <v>USD PKR rate for 13/03/2022</v>
      </c>
      <c r="I674" s="9"/>
    </row>
    <row r="675" spans="1:9" ht="14.25" customHeight="1" x14ac:dyDescent="0.3">
      <c r="A675" s="6">
        <v>40392</v>
      </c>
      <c r="B675" s="7">
        <v>85.261100000000013</v>
      </c>
      <c r="C675" s="8">
        <f t="shared" si="5"/>
        <v>89.095414225430403</v>
      </c>
      <c r="D675" s="9">
        <f t="shared" si="4"/>
        <v>63.583428883697955</v>
      </c>
      <c r="E675" s="9"/>
      <c r="F675" s="9">
        <f ca="1">IFERROR(__xludf.DUMMYFUNCTION("""COMPUTED_VALUE"""),44632)</f>
        <v>44632</v>
      </c>
      <c r="G675" s="9" t="str">
        <f ca="1">IFERROR(__xludf.DUMMYFUNCTION("""COMPUTED_VALUE"""),"1 USD = 178.6932 PKR")</f>
        <v>1 USD = 178.6932 PKR</v>
      </c>
      <c r="H675" s="9" t="str">
        <f ca="1">IFERROR(__xludf.DUMMYFUNCTION("""COMPUTED_VALUE"""),"USD PKR rate for 12/03/2022")</f>
        <v>USD PKR rate for 12/03/2022</v>
      </c>
      <c r="I675" s="9"/>
    </row>
    <row r="676" spans="1:9" ht="14.25" customHeight="1" x14ac:dyDescent="0.3">
      <c r="A676" s="6">
        <v>40393</v>
      </c>
      <c r="B676" s="7">
        <v>85.696899999999999</v>
      </c>
      <c r="C676" s="8">
        <f t="shared" si="5"/>
        <v>89.111348919626394</v>
      </c>
      <c r="D676" s="9">
        <f t="shared" si="4"/>
        <v>63.586166716495221</v>
      </c>
      <c r="E676" s="9"/>
      <c r="F676" s="9">
        <f ca="1">IFERROR(__xludf.DUMMYFUNCTION("""COMPUTED_VALUE"""),44631)</f>
        <v>44631</v>
      </c>
      <c r="G676" s="9" t="str">
        <f ca="1">IFERROR(__xludf.DUMMYFUNCTION("""COMPUTED_VALUE"""),"1 USD = 178.6984 PKR")</f>
        <v>1 USD = 178.6984 PKR</v>
      </c>
      <c r="H676" s="9" t="str">
        <f ca="1">IFERROR(__xludf.DUMMYFUNCTION("""COMPUTED_VALUE"""),"USD PKR rate for 11/03/2022")</f>
        <v>USD PKR rate for 11/03/2022</v>
      </c>
      <c r="I676" s="9"/>
    </row>
    <row r="677" spans="1:9" ht="14.25" customHeight="1" x14ac:dyDescent="0.3">
      <c r="A677" s="6">
        <v>40394</v>
      </c>
      <c r="B677" s="7">
        <v>85.840599999999995</v>
      </c>
      <c r="C677" s="8">
        <f t="shared" si="5"/>
        <v>89.127286463738756</v>
      </c>
      <c r="D677" s="9">
        <f t="shared" si="4"/>
        <v>63.588904549292486</v>
      </c>
      <c r="E677" s="9"/>
      <c r="F677" s="9">
        <f ca="1">IFERROR(__xludf.DUMMYFUNCTION("""COMPUTED_VALUE"""),44630)</f>
        <v>44630</v>
      </c>
      <c r="G677" s="9" t="str">
        <f ca="1">IFERROR(__xludf.DUMMYFUNCTION("""COMPUTED_VALUE"""),"1 USD = 178.9309 PKR")</f>
        <v>1 USD = 178.9309 PKR</v>
      </c>
      <c r="H677" s="9" t="str">
        <f ca="1">IFERROR(__xludf.DUMMYFUNCTION("""COMPUTED_VALUE"""),"USD PKR rate for 10/03/2022")</f>
        <v>USD PKR rate for 10/03/2022</v>
      </c>
      <c r="I677" s="9"/>
    </row>
    <row r="678" spans="1:9" ht="14.25" customHeight="1" x14ac:dyDescent="0.3">
      <c r="A678" s="6">
        <v>40395</v>
      </c>
      <c r="B678" s="7">
        <v>85.680400000000006</v>
      </c>
      <c r="C678" s="8">
        <f t="shared" si="5"/>
        <v>89.143226858277188</v>
      </c>
      <c r="D678" s="9">
        <f t="shared" si="4"/>
        <v>63.591642382089752</v>
      </c>
      <c r="E678" s="9"/>
      <c r="F678" s="9">
        <f ca="1">IFERROR(__xludf.DUMMYFUNCTION("""COMPUTED_VALUE"""),44629)</f>
        <v>44629</v>
      </c>
      <c r="G678" s="9" t="str">
        <f ca="1">IFERROR(__xludf.DUMMYFUNCTION("""COMPUTED_VALUE"""),"1 USD = 178.9841 PKR")</f>
        <v>1 USD = 178.9841 PKR</v>
      </c>
      <c r="H678" s="9" t="str">
        <f ca="1">IFERROR(__xludf.DUMMYFUNCTION("""COMPUTED_VALUE"""),"USD PKR rate for 09/03/2022")</f>
        <v>USD PKR rate for 09/03/2022</v>
      </c>
      <c r="I678" s="9"/>
    </row>
    <row r="679" spans="1:9" ht="14.25" customHeight="1" x14ac:dyDescent="0.3">
      <c r="A679" s="6">
        <v>40396</v>
      </c>
      <c r="B679" s="7">
        <v>85.488100000000003</v>
      </c>
      <c r="C679" s="8">
        <f t="shared" si="5"/>
        <v>89.159170103751478</v>
      </c>
      <c r="D679" s="9">
        <f t="shared" si="4"/>
        <v>63.594380214887018</v>
      </c>
      <c r="E679" s="9"/>
      <c r="F679" s="9">
        <f ca="1">IFERROR(__xludf.DUMMYFUNCTION("""COMPUTED_VALUE"""),44628)</f>
        <v>44628</v>
      </c>
      <c r="G679" s="9" t="str">
        <f ca="1">IFERROR(__xludf.DUMMYFUNCTION("""COMPUTED_VALUE"""),"1 USD = 178.6795 PKR")</f>
        <v>1 USD = 178.6795 PKR</v>
      </c>
      <c r="H679" s="9" t="str">
        <f ca="1">IFERROR(__xludf.DUMMYFUNCTION("""COMPUTED_VALUE"""),"USD PKR rate for 08/03/2022")</f>
        <v>USD PKR rate for 08/03/2022</v>
      </c>
      <c r="I679" s="9"/>
    </row>
    <row r="680" spans="1:9" ht="14.25" customHeight="1" x14ac:dyDescent="0.3">
      <c r="A680" s="6">
        <v>40397</v>
      </c>
      <c r="B680" s="7">
        <v>85.379599999999996</v>
      </c>
      <c r="C680" s="8">
        <f t="shared" si="5"/>
        <v>89.175116200671468</v>
      </c>
      <c r="D680" s="9">
        <f t="shared" si="4"/>
        <v>63.597118047684283</v>
      </c>
      <c r="E680" s="9"/>
      <c r="F680" s="9">
        <f ca="1">IFERROR(__xludf.DUMMYFUNCTION("""COMPUTED_VALUE"""),44627)</f>
        <v>44627</v>
      </c>
      <c r="G680" s="9" t="str">
        <f ca="1">IFERROR(__xludf.DUMMYFUNCTION("""COMPUTED_VALUE"""),"1 USD = 177.8863 PKR")</f>
        <v>1 USD = 177.8863 PKR</v>
      </c>
      <c r="H680" s="9" t="str">
        <f ca="1">IFERROR(__xludf.DUMMYFUNCTION("""COMPUTED_VALUE"""),"USD PKR rate for 07/03/2022")</f>
        <v>USD PKR rate for 07/03/2022</v>
      </c>
      <c r="I680" s="9"/>
    </row>
    <row r="681" spans="1:9" ht="14.25" customHeight="1" x14ac:dyDescent="0.3">
      <c r="A681" s="6">
        <v>40398</v>
      </c>
      <c r="B681" s="7">
        <v>85.421199999999999</v>
      </c>
      <c r="C681" s="8">
        <f t="shared" si="5"/>
        <v>89.191065149547271</v>
      </c>
      <c r="D681" s="9">
        <f t="shared" si="4"/>
        <v>63.599855880481549</v>
      </c>
      <c r="E681" s="9"/>
      <c r="F681" s="9">
        <f ca="1">IFERROR(__xludf.DUMMYFUNCTION("""COMPUTED_VALUE"""),44626)</f>
        <v>44626</v>
      </c>
      <c r="G681" s="9" t="str">
        <f ca="1">IFERROR(__xludf.DUMMYFUNCTION("""COMPUTED_VALUE"""),"1 USD = 178.8359 PKR")</f>
        <v>1 USD = 178.8359 PKR</v>
      </c>
      <c r="H681" s="9" t="str">
        <f ca="1">IFERROR(__xludf.DUMMYFUNCTION("""COMPUTED_VALUE"""),"USD PKR rate for 06/03/2022")</f>
        <v>USD PKR rate for 06/03/2022</v>
      </c>
      <c r="I681" s="9"/>
    </row>
    <row r="682" spans="1:9" ht="14.25" customHeight="1" x14ac:dyDescent="0.3">
      <c r="A682" s="6">
        <v>40399</v>
      </c>
      <c r="B682" s="7">
        <v>85.714500000000001</v>
      </c>
      <c r="C682" s="8">
        <f t="shared" si="5"/>
        <v>89.207016950888885</v>
      </c>
      <c r="D682" s="9">
        <f t="shared" si="4"/>
        <v>63.602593713278814</v>
      </c>
      <c r="E682" s="9"/>
      <c r="F682" s="9">
        <f ca="1">IFERROR(__xludf.DUMMYFUNCTION("""COMPUTED_VALUE"""),44625)</f>
        <v>44625</v>
      </c>
      <c r="G682" s="9" t="str">
        <f ca="1">IFERROR(__xludf.DUMMYFUNCTION("""COMPUTED_VALUE"""),"1 USD = 179.0875 PKR")</f>
        <v>1 USD = 179.0875 PKR</v>
      </c>
      <c r="H682" s="9" t="str">
        <f ca="1">IFERROR(__xludf.DUMMYFUNCTION("""COMPUTED_VALUE"""),"USD PKR rate for 05/03/2022")</f>
        <v>USD PKR rate for 05/03/2022</v>
      </c>
      <c r="I682" s="9"/>
    </row>
    <row r="683" spans="1:9" ht="14.25" customHeight="1" x14ac:dyDescent="0.3">
      <c r="A683" s="6">
        <v>40400</v>
      </c>
      <c r="B683" s="7">
        <v>85.913499999999999</v>
      </c>
      <c r="C683" s="8">
        <f t="shared" si="5"/>
        <v>89.222971605206482</v>
      </c>
      <c r="D683" s="9">
        <f t="shared" si="4"/>
        <v>63.60533154607608</v>
      </c>
      <c r="E683" s="9"/>
      <c r="F683" s="9">
        <f ca="1">IFERROR(__xludf.DUMMYFUNCTION("""COMPUTED_VALUE"""),44624)</f>
        <v>44624</v>
      </c>
      <c r="G683" s="9" t="str">
        <f ca="1">IFERROR(__xludf.DUMMYFUNCTION("""COMPUTED_VALUE"""),"1 USD = 179.0875 PKR")</f>
        <v>1 USD = 179.0875 PKR</v>
      </c>
      <c r="H683" s="9" t="str">
        <f ca="1">IFERROR(__xludf.DUMMYFUNCTION("""COMPUTED_VALUE"""),"USD PKR rate for 04/03/2022")</f>
        <v>USD PKR rate for 04/03/2022</v>
      </c>
      <c r="I683" s="9"/>
    </row>
    <row r="684" spans="1:9" ht="14.25" customHeight="1" x14ac:dyDescent="0.3">
      <c r="A684" s="6">
        <v>40401</v>
      </c>
      <c r="B684" s="7">
        <v>85.813699999999997</v>
      </c>
      <c r="C684" s="8">
        <f t="shared" si="5"/>
        <v>89.2389291130103</v>
      </c>
      <c r="D684" s="9">
        <f t="shared" si="4"/>
        <v>63.608069378873346</v>
      </c>
      <c r="E684" s="9"/>
      <c r="F684" s="9">
        <f ca="1">IFERROR(__xludf.DUMMYFUNCTION("""COMPUTED_VALUE"""),44623)</f>
        <v>44623</v>
      </c>
      <c r="G684" s="9" t="str">
        <f ca="1">IFERROR(__xludf.DUMMYFUNCTION("""COMPUTED_VALUE"""),"1 USD = 178.6818 PKR")</f>
        <v>1 USD = 178.6818 PKR</v>
      </c>
      <c r="H684" s="9" t="str">
        <f ca="1">IFERROR(__xludf.DUMMYFUNCTION("""COMPUTED_VALUE"""),"USD PKR rate for 03/03/2022")</f>
        <v>USD PKR rate for 03/03/2022</v>
      </c>
      <c r="I684" s="9"/>
    </row>
    <row r="685" spans="1:9" ht="14.25" customHeight="1" x14ac:dyDescent="0.3">
      <c r="A685" s="6">
        <v>40402</v>
      </c>
      <c r="B685" s="7">
        <v>85.753600000000006</v>
      </c>
      <c r="C685" s="8">
        <f t="shared" si="5"/>
        <v>89.254889474810696</v>
      </c>
      <c r="D685" s="9">
        <f t="shared" si="4"/>
        <v>63.610807211670611</v>
      </c>
      <c r="E685" s="9"/>
      <c r="F685" s="9">
        <f ca="1">IFERROR(__xludf.DUMMYFUNCTION("""COMPUTED_VALUE"""),44622)</f>
        <v>44622</v>
      </c>
      <c r="G685" s="9" t="str">
        <f ca="1">IFERROR(__xludf.DUMMYFUNCTION("""COMPUTED_VALUE"""),"1 USD = 177.6872 PKR")</f>
        <v>1 USD = 177.6872 PKR</v>
      </c>
      <c r="H685" s="9" t="str">
        <f ca="1">IFERROR(__xludf.DUMMYFUNCTION("""COMPUTED_VALUE"""),"USD PKR rate for 02/03/2022")</f>
        <v>USD PKR rate for 02/03/2022</v>
      </c>
      <c r="I685" s="9"/>
    </row>
    <row r="686" spans="1:9" ht="14.25" customHeight="1" x14ac:dyDescent="0.3">
      <c r="A686" s="6">
        <v>40403</v>
      </c>
      <c r="B686" s="7">
        <v>85.771100000000004</v>
      </c>
      <c r="C686" s="8">
        <f t="shared" si="5"/>
        <v>89.270852691118094</v>
      </c>
      <c r="D686" s="9">
        <f t="shared" si="4"/>
        <v>63.613545044467877</v>
      </c>
      <c r="E686" s="9"/>
      <c r="F686" s="9">
        <f ca="1">IFERROR(__xludf.DUMMYFUNCTION("""COMPUTED_VALUE"""),44621)</f>
        <v>44621</v>
      </c>
      <c r="G686" s="9" t="str">
        <f ca="1">IFERROR(__xludf.DUMMYFUNCTION("""COMPUTED_VALUE"""),"1 USD = 177.5609 PKR")</f>
        <v>1 USD = 177.5609 PKR</v>
      </c>
      <c r="H686" s="9" t="str">
        <f ca="1">IFERROR(__xludf.DUMMYFUNCTION("""COMPUTED_VALUE"""),"USD PKR rate for 01/03/2022")</f>
        <v>USD PKR rate for 01/03/2022</v>
      </c>
      <c r="I686" s="9"/>
    </row>
    <row r="687" spans="1:9" ht="14.25" customHeight="1" x14ac:dyDescent="0.3">
      <c r="A687" s="6">
        <v>40404</v>
      </c>
      <c r="B687" s="7">
        <v>85.300399999999996</v>
      </c>
      <c r="C687" s="8">
        <f t="shared" si="5"/>
        <v>89.286818762443048</v>
      </c>
      <c r="D687" s="9">
        <f t="shared" si="4"/>
        <v>63.616282877265142</v>
      </c>
      <c r="E687" s="9"/>
      <c r="F687" s="9">
        <f ca="1">IFERROR(__xludf.DUMMYFUNCTION("""COMPUTED_VALUE"""),44620)</f>
        <v>44620</v>
      </c>
      <c r="G687" s="9" t="str">
        <f ca="1">IFERROR(__xludf.DUMMYFUNCTION("""COMPUTED_VALUE"""),"1 USD = 177.4592 PKR")</f>
        <v>1 USD = 177.4592 PKR</v>
      </c>
      <c r="H687" s="9" t="str">
        <f ca="1">IFERROR(__xludf.DUMMYFUNCTION("""COMPUTED_VALUE"""),"USD PKR rate for 28/02/2022")</f>
        <v>USD PKR rate for 28/02/2022</v>
      </c>
      <c r="I687" s="9"/>
    </row>
    <row r="688" spans="1:9" ht="14.25" customHeight="1" x14ac:dyDescent="0.3">
      <c r="A688" s="6">
        <v>40405</v>
      </c>
      <c r="B688" s="7">
        <v>85.2834</v>
      </c>
      <c r="C688" s="8">
        <f t="shared" si="5"/>
        <v>89.302787689296139</v>
      </c>
      <c r="D688" s="9">
        <f t="shared" si="4"/>
        <v>63.619020710062408</v>
      </c>
      <c r="E688" s="9"/>
      <c r="F688" s="9">
        <f ca="1">IFERROR(__xludf.DUMMYFUNCTION("""COMPUTED_VALUE"""),44619)</f>
        <v>44619</v>
      </c>
      <c r="G688" s="9" t="str">
        <f ca="1">IFERROR(__xludf.DUMMYFUNCTION("""COMPUTED_VALUE"""),"1 USD = 175.9661 PKR")</f>
        <v>1 USD = 175.9661 PKR</v>
      </c>
      <c r="H688" s="9" t="str">
        <f ca="1">IFERROR(__xludf.DUMMYFUNCTION("""COMPUTED_VALUE"""),"USD PKR rate for 27/02/2022")</f>
        <v>USD PKR rate for 27/02/2022</v>
      </c>
      <c r="I688" s="9"/>
    </row>
    <row r="689" spans="1:9" ht="14.25" customHeight="1" x14ac:dyDescent="0.3">
      <c r="A689" s="6">
        <v>40406</v>
      </c>
      <c r="B689" s="7">
        <v>85.293099999999995</v>
      </c>
      <c r="C689" s="8">
        <f t="shared" si="5"/>
        <v>89.318759472188034</v>
      </c>
      <c r="D689" s="9">
        <f t="shared" si="4"/>
        <v>63.621758542859673</v>
      </c>
      <c r="E689" s="9"/>
      <c r="F689" s="9">
        <f ca="1">IFERROR(__xludf.DUMMYFUNCTION("""COMPUTED_VALUE"""),44618)</f>
        <v>44618</v>
      </c>
      <c r="G689" s="9" t="str">
        <f ca="1">IFERROR(__xludf.DUMMYFUNCTION("""COMPUTED_VALUE"""),"1 USD = 176.2364 PKR")</f>
        <v>1 USD = 176.2364 PKR</v>
      </c>
      <c r="H689" s="9" t="str">
        <f ca="1">IFERROR(__xludf.DUMMYFUNCTION("""COMPUTED_VALUE"""),"USD PKR rate for 26/02/2022")</f>
        <v>USD PKR rate for 26/02/2022</v>
      </c>
      <c r="I689" s="9"/>
    </row>
    <row r="690" spans="1:9" ht="14.25" customHeight="1" x14ac:dyDescent="0.3">
      <c r="A690" s="6">
        <v>40407</v>
      </c>
      <c r="B690" s="7">
        <v>85.580399999999997</v>
      </c>
      <c r="C690" s="8">
        <f t="shared" si="5"/>
        <v>89.334734111629672</v>
      </c>
      <c r="D690" s="9">
        <f t="shared" si="4"/>
        <v>63.624496375656939</v>
      </c>
      <c r="E690" s="9"/>
      <c r="F690" s="9">
        <f ca="1">IFERROR(__xludf.DUMMYFUNCTION("""COMPUTED_VALUE"""),44617)</f>
        <v>44617</v>
      </c>
      <c r="G690" s="9" t="str">
        <f ca="1">IFERROR(__xludf.DUMMYFUNCTION("""COMPUTED_VALUE"""),"1 USD = 175.2439 PKR")</f>
        <v>1 USD = 175.2439 PKR</v>
      </c>
      <c r="H690" s="9" t="str">
        <f ca="1">IFERROR(__xludf.DUMMYFUNCTION("""COMPUTED_VALUE"""),"USD PKR rate for 25/02/2022")</f>
        <v>USD PKR rate for 25/02/2022</v>
      </c>
      <c r="I690" s="9"/>
    </row>
    <row r="691" spans="1:9" ht="14.25" customHeight="1" x14ac:dyDescent="0.3">
      <c r="A691" s="6">
        <v>40408</v>
      </c>
      <c r="B691" s="7">
        <v>85.402799999999999</v>
      </c>
      <c r="C691" s="8">
        <f t="shared" si="5"/>
        <v>89.350711608131874</v>
      </c>
      <c r="D691" s="9">
        <f t="shared" si="4"/>
        <v>63.627234208454205</v>
      </c>
      <c r="E691" s="9"/>
      <c r="F691" s="9">
        <f ca="1">IFERROR(__xludf.DUMMYFUNCTION("""COMPUTED_VALUE"""),44616)</f>
        <v>44616</v>
      </c>
      <c r="G691" s="9" t="str">
        <f ca="1">IFERROR(__xludf.DUMMYFUNCTION("""COMPUTED_VALUE"""),"1 USD = 176.437 PKR")</f>
        <v>1 USD = 176.437 PKR</v>
      </c>
      <c r="H691" s="9" t="str">
        <f ca="1">IFERROR(__xludf.DUMMYFUNCTION("""COMPUTED_VALUE"""),"USD PKR rate for 24/02/2022")</f>
        <v>USD PKR rate for 24/02/2022</v>
      </c>
      <c r="I691" s="9"/>
    </row>
    <row r="692" spans="1:9" ht="14.25" customHeight="1" x14ac:dyDescent="0.3">
      <c r="A692" s="6">
        <v>40409</v>
      </c>
      <c r="B692" s="7">
        <v>85.635199999999998</v>
      </c>
      <c r="C692" s="8">
        <f t="shared" si="5"/>
        <v>89.366691962205635</v>
      </c>
      <c r="D692" s="9">
        <f t="shared" si="4"/>
        <v>63.62997204125147</v>
      </c>
      <c r="E692" s="9"/>
      <c r="F692" s="9">
        <f ca="1">IFERROR(__xludf.DUMMYFUNCTION("""COMPUTED_VALUE"""),44615)</f>
        <v>44615</v>
      </c>
      <c r="G692" s="9" t="str">
        <f ca="1">IFERROR(__xludf.DUMMYFUNCTION("""COMPUTED_VALUE"""),"1 USD = 176.5017 PKR")</f>
        <v>1 USD = 176.5017 PKR</v>
      </c>
      <c r="H692" s="9" t="str">
        <f ca="1">IFERROR(__xludf.DUMMYFUNCTION("""COMPUTED_VALUE"""),"USD PKR rate for 23/02/2022")</f>
        <v>USD PKR rate for 23/02/2022</v>
      </c>
      <c r="I692" s="9"/>
    </row>
    <row r="693" spans="1:9" ht="14.25" customHeight="1" x14ac:dyDescent="0.3">
      <c r="A693" s="6">
        <v>40410</v>
      </c>
      <c r="B693" s="7">
        <v>85.778500000000008</v>
      </c>
      <c r="C693" s="8">
        <f t="shared" si="5"/>
        <v>89.382675174362006</v>
      </c>
      <c r="D693" s="9">
        <f t="shared" si="4"/>
        <v>63.632709874048736</v>
      </c>
      <c r="E693" s="9"/>
      <c r="F693" s="9">
        <f ca="1">IFERROR(__xludf.DUMMYFUNCTION("""COMPUTED_VALUE"""),44614)</f>
        <v>44614</v>
      </c>
      <c r="G693" s="9" t="str">
        <f ca="1">IFERROR(__xludf.DUMMYFUNCTION("""COMPUTED_VALUE"""),"1 USD = 176.0883 PKR")</f>
        <v>1 USD = 176.0883 PKR</v>
      </c>
      <c r="H693" s="9" t="str">
        <f ca="1">IFERROR(__xludf.DUMMYFUNCTION("""COMPUTED_VALUE"""),"USD PKR rate for 22/02/2022")</f>
        <v>USD PKR rate for 22/02/2022</v>
      </c>
      <c r="I693" s="9"/>
    </row>
    <row r="694" spans="1:9" ht="14.25" customHeight="1" x14ac:dyDescent="0.3">
      <c r="A694" s="6">
        <v>40411</v>
      </c>
      <c r="B694" s="7">
        <v>85.546800000000005</v>
      </c>
      <c r="C694" s="8">
        <f t="shared" si="5"/>
        <v>89.39866124511218</v>
      </c>
      <c r="D694" s="9">
        <f t="shared" si="4"/>
        <v>63.635447706846001</v>
      </c>
      <c r="E694" s="9"/>
      <c r="F694" s="9">
        <f ca="1">IFERROR(__xludf.DUMMYFUNCTION("""COMPUTED_VALUE"""),44613)</f>
        <v>44613</v>
      </c>
      <c r="G694" s="9" t="str">
        <f ca="1">IFERROR(__xludf.DUMMYFUNCTION("""COMPUTED_VALUE"""),"1 USD = 176.3302 PKR")</f>
        <v>1 USD = 176.3302 PKR</v>
      </c>
      <c r="H694" s="9" t="str">
        <f ca="1">IFERROR(__xludf.DUMMYFUNCTION("""COMPUTED_VALUE"""),"USD PKR rate for 21/02/2022")</f>
        <v>USD PKR rate for 21/02/2022</v>
      </c>
      <c r="I694" s="9"/>
    </row>
    <row r="695" spans="1:9" ht="14.25" customHeight="1" x14ac:dyDescent="0.3">
      <c r="A695" s="6">
        <v>40412</v>
      </c>
      <c r="B695" s="7">
        <v>85.547200000000004</v>
      </c>
      <c r="C695" s="8">
        <f t="shared" si="5"/>
        <v>89.414650174967406</v>
      </c>
      <c r="D695" s="9">
        <f t="shared" si="4"/>
        <v>63.638185539643267</v>
      </c>
      <c r="E695" s="9"/>
      <c r="F695" s="9">
        <f ca="1">IFERROR(__xludf.DUMMYFUNCTION("""COMPUTED_VALUE"""),44612)</f>
        <v>44612</v>
      </c>
      <c r="G695" s="9" t="str">
        <f ca="1">IFERROR(__xludf.DUMMYFUNCTION("""COMPUTED_VALUE"""),"1 USD = 175.5856 PKR")</f>
        <v>1 USD = 175.5856 PKR</v>
      </c>
      <c r="H695" s="9" t="str">
        <f ca="1">IFERROR(__xludf.DUMMYFUNCTION("""COMPUTED_VALUE"""),"USD PKR rate for 20/02/2022")</f>
        <v>USD PKR rate for 20/02/2022</v>
      </c>
      <c r="I695" s="9"/>
    </row>
    <row r="696" spans="1:9" ht="14.25" customHeight="1" x14ac:dyDescent="0.3">
      <c r="A696" s="6">
        <v>40413</v>
      </c>
      <c r="B696" s="7">
        <v>85.615300000000005</v>
      </c>
      <c r="C696" s="8">
        <f t="shared" si="5"/>
        <v>89.430641964439019</v>
      </c>
      <c r="D696" s="9">
        <f t="shared" si="4"/>
        <v>63.640923372440533</v>
      </c>
      <c r="E696" s="9"/>
      <c r="F696" s="9">
        <f ca="1">IFERROR(__xludf.DUMMYFUNCTION("""COMPUTED_VALUE"""),44611)</f>
        <v>44611</v>
      </c>
      <c r="G696" s="9" t="str">
        <f ca="1">IFERROR(__xludf.DUMMYFUNCTION("""COMPUTED_VALUE"""),"1 USD = 175.3525 PKR")</f>
        <v>1 USD = 175.3525 PKR</v>
      </c>
      <c r="H696" s="9" t="str">
        <f ca="1">IFERROR(__xludf.DUMMYFUNCTION("""COMPUTED_VALUE"""),"USD PKR rate for 19/02/2022")</f>
        <v>USD PKR rate for 19/02/2022</v>
      </c>
      <c r="I696" s="9"/>
    </row>
    <row r="697" spans="1:9" ht="14.25" customHeight="1" x14ac:dyDescent="0.3">
      <c r="A697" s="6">
        <v>40414</v>
      </c>
      <c r="B697" s="7">
        <v>85.953299999999999</v>
      </c>
      <c r="C697" s="8">
        <f t="shared" si="5"/>
        <v>89.446636614038482</v>
      </c>
      <c r="D697" s="9">
        <f t="shared" si="4"/>
        <v>63.643661205237798</v>
      </c>
      <c r="E697" s="9"/>
      <c r="F697" s="9">
        <f ca="1">IFERROR(__xludf.DUMMYFUNCTION("""COMPUTED_VALUE"""),44610)</f>
        <v>44610</v>
      </c>
      <c r="G697" s="9" t="str">
        <f ca="1">IFERROR(__xludf.DUMMYFUNCTION("""COMPUTED_VALUE"""),"1 USD = 175.3529 PKR")</f>
        <v>1 USD = 175.3529 PKR</v>
      </c>
      <c r="H697" s="9" t="str">
        <f ca="1">IFERROR(__xludf.DUMMYFUNCTION("""COMPUTED_VALUE"""),"USD PKR rate for 18/02/2022")</f>
        <v>USD PKR rate for 18/02/2022</v>
      </c>
      <c r="I697" s="9"/>
    </row>
    <row r="698" spans="1:9" ht="14.25" customHeight="1" x14ac:dyDescent="0.3">
      <c r="A698" s="6">
        <v>40415</v>
      </c>
      <c r="B698" s="7">
        <v>85.912500000000009</v>
      </c>
      <c r="C698" s="8">
        <f t="shared" si="5"/>
        <v>89.462634124277244</v>
      </c>
      <c r="D698" s="9">
        <f t="shared" si="4"/>
        <v>63.646399038035064</v>
      </c>
      <c r="E698" s="9"/>
      <c r="F698" s="9">
        <f ca="1">IFERROR(__xludf.DUMMYFUNCTION("""COMPUTED_VALUE"""),44609)</f>
        <v>44609</v>
      </c>
      <c r="G698" s="9" t="str">
        <f ca="1">IFERROR(__xludf.DUMMYFUNCTION("""COMPUTED_VALUE"""),"1 USD = 175.8306 PKR")</f>
        <v>1 USD = 175.8306 PKR</v>
      </c>
      <c r="H698" s="9" t="str">
        <f ca="1">IFERROR(__xludf.DUMMYFUNCTION("""COMPUTED_VALUE"""),"USD PKR rate for 17/02/2022")</f>
        <v>USD PKR rate for 17/02/2022</v>
      </c>
      <c r="I698" s="9"/>
    </row>
    <row r="699" spans="1:9" ht="14.25" customHeight="1" x14ac:dyDescent="0.3">
      <c r="A699" s="6">
        <v>40416</v>
      </c>
      <c r="B699" s="7">
        <v>85.581400000000016</v>
      </c>
      <c r="C699" s="8">
        <f t="shared" si="5"/>
        <v>89.47863449566708</v>
      </c>
      <c r="D699" s="9">
        <f t="shared" si="4"/>
        <v>63.649136870832329</v>
      </c>
      <c r="E699" s="9"/>
      <c r="F699" s="9">
        <f ca="1">IFERROR(__xludf.DUMMYFUNCTION("""COMPUTED_VALUE"""),44608)</f>
        <v>44608</v>
      </c>
      <c r="G699" s="9" t="str">
        <f ca="1">IFERROR(__xludf.DUMMYFUNCTION("""COMPUTED_VALUE"""),"1 USD = 176.1463 PKR")</f>
        <v>1 USD = 176.1463 PKR</v>
      </c>
      <c r="H699" s="9" t="str">
        <f ca="1">IFERROR(__xludf.DUMMYFUNCTION("""COMPUTED_VALUE"""),"USD PKR rate for 16/02/2022")</f>
        <v>USD PKR rate for 16/02/2022</v>
      </c>
      <c r="I699" s="9"/>
    </row>
    <row r="700" spans="1:9" ht="14.25" customHeight="1" x14ac:dyDescent="0.3">
      <c r="A700" s="6">
        <v>40417</v>
      </c>
      <c r="B700" s="7">
        <v>85.452699999999993</v>
      </c>
      <c r="C700" s="8">
        <f t="shared" si="5"/>
        <v>89.494637728719638</v>
      </c>
      <c r="D700" s="9">
        <f t="shared" si="4"/>
        <v>63.651874703629595</v>
      </c>
      <c r="E700" s="9"/>
      <c r="F700" s="9">
        <f ca="1">IFERROR(__xludf.DUMMYFUNCTION("""COMPUTED_VALUE"""),44607)</f>
        <v>44607</v>
      </c>
      <c r="G700" s="9" t="str">
        <f ca="1">IFERROR(__xludf.DUMMYFUNCTION("""COMPUTED_VALUE"""),"1 USD = 175.7582 PKR")</f>
        <v>1 USD = 175.7582 PKR</v>
      </c>
      <c r="H700" s="9" t="str">
        <f ca="1">IFERROR(__xludf.DUMMYFUNCTION("""COMPUTED_VALUE"""),"USD PKR rate for 15/02/2022")</f>
        <v>USD PKR rate for 15/02/2022</v>
      </c>
      <c r="I700" s="9"/>
    </row>
    <row r="701" spans="1:9" ht="14.25" customHeight="1" x14ac:dyDescent="0.3">
      <c r="A701" s="6">
        <v>40418</v>
      </c>
      <c r="B701" s="7">
        <v>85.2547</v>
      </c>
      <c r="C701" s="8">
        <f t="shared" si="5"/>
        <v>89.510643823946722</v>
      </c>
      <c r="D701" s="9">
        <f t="shared" si="4"/>
        <v>63.65461253642686</v>
      </c>
      <c r="E701" s="9"/>
      <c r="F701" s="9">
        <f ca="1">IFERROR(__xludf.DUMMYFUNCTION("""COMPUTED_VALUE"""),44606)</f>
        <v>44606</v>
      </c>
      <c r="G701" s="9" t="str">
        <f ca="1">IFERROR(__xludf.DUMMYFUNCTION("""COMPUTED_VALUE"""),"1 USD = 175.5007 PKR")</f>
        <v>1 USD = 175.5007 PKR</v>
      </c>
      <c r="H701" s="9" t="str">
        <f ca="1">IFERROR(__xludf.DUMMYFUNCTION("""COMPUTED_VALUE"""),"USD PKR rate for 14/02/2022")</f>
        <v>USD PKR rate for 14/02/2022</v>
      </c>
      <c r="I701" s="9"/>
    </row>
    <row r="702" spans="1:9" ht="14.25" customHeight="1" x14ac:dyDescent="0.3">
      <c r="A702" s="6">
        <v>40419</v>
      </c>
      <c r="B702" s="7">
        <v>85.233000000000004</v>
      </c>
      <c r="C702" s="8">
        <f t="shared" si="5"/>
        <v>89.526652781860221</v>
      </c>
      <c r="D702" s="9">
        <f t="shared" si="4"/>
        <v>63.657350369224126</v>
      </c>
      <c r="E702" s="9"/>
      <c r="F702" s="9">
        <f ca="1">IFERROR(__xludf.DUMMYFUNCTION("""COMPUTED_VALUE"""),44605)</f>
        <v>44605</v>
      </c>
      <c r="G702" s="9" t="str">
        <f ca="1">IFERROR(__xludf.DUMMYFUNCTION("""COMPUTED_VALUE"""),"1 USD = 175.2219 PKR")</f>
        <v>1 USD = 175.2219 PKR</v>
      </c>
      <c r="H702" s="9" t="str">
        <f ca="1">IFERROR(__xludf.DUMMYFUNCTION("""COMPUTED_VALUE"""),"USD PKR rate for 13/02/2022")</f>
        <v>USD PKR rate for 13/02/2022</v>
      </c>
      <c r="I702" s="9"/>
    </row>
    <row r="703" spans="1:9" ht="14.25" customHeight="1" x14ac:dyDescent="0.3">
      <c r="A703" s="6">
        <v>40420</v>
      </c>
      <c r="B703" s="7">
        <v>85.5077</v>
      </c>
      <c r="C703" s="8">
        <f t="shared" si="5"/>
        <v>89.542664602972138</v>
      </c>
      <c r="D703" s="9">
        <f t="shared" si="4"/>
        <v>63.660088202021392</v>
      </c>
      <c r="E703" s="9"/>
      <c r="F703" s="9">
        <f ca="1">IFERROR(__xludf.DUMMYFUNCTION("""COMPUTED_VALUE"""),44604)</f>
        <v>44604</v>
      </c>
      <c r="G703" s="9" t="str">
        <f ca="1">IFERROR(__xludf.DUMMYFUNCTION("""COMPUTED_VALUE"""),"1 USD = 175.3437 PKR")</f>
        <v>1 USD = 175.3437 PKR</v>
      </c>
      <c r="H703" s="9" t="str">
        <f ca="1">IFERROR(__xludf.DUMMYFUNCTION("""COMPUTED_VALUE"""),"USD PKR rate for 12/02/2022")</f>
        <v>USD PKR rate for 12/02/2022</v>
      </c>
      <c r="I703" s="9"/>
    </row>
    <row r="704" spans="1:9" ht="14.25" customHeight="1" x14ac:dyDescent="0.3">
      <c r="A704" s="6">
        <v>40421</v>
      </c>
      <c r="B704" s="7">
        <v>85.808199999999999</v>
      </c>
      <c r="C704" s="8">
        <f t="shared" si="5"/>
        <v>89.558679287794547</v>
      </c>
      <c r="D704" s="9">
        <f t="shared" si="4"/>
        <v>63.662826034818657</v>
      </c>
      <c r="E704" s="9"/>
      <c r="F704" s="9">
        <f ca="1">IFERROR(__xludf.DUMMYFUNCTION("""COMPUTED_VALUE"""),44603)</f>
        <v>44603</v>
      </c>
      <c r="G704" s="9" t="str">
        <f ca="1">IFERROR(__xludf.DUMMYFUNCTION("""COMPUTED_VALUE"""),"1 USD = 174.8499 PKR")</f>
        <v>1 USD = 174.8499 PKR</v>
      </c>
      <c r="H704" s="9" t="str">
        <f ca="1">IFERROR(__xludf.DUMMYFUNCTION("""COMPUTED_VALUE"""),"USD PKR rate for 11/02/2022")</f>
        <v>USD PKR rate for 11/02/2022</v>
      </c>
      <c r="I704" s="9"/>
    </row>
    <row r="705" spans="1:9" ht="14.25" customHeight="1" x14ac:dyDescent="0.3">
      <c r="A705" s="6">
        <v>40422</v>
      </c>
      <c r="B705" s="7">
        <v>85.598500000000001</v>
      </c>
      <c r="C705" s="8">
        <f t="shared" si="5"/>
        <v>89.574696836839649</v>
      </c>
      <c r="D705" s="9">
        <f t="shared" si="4"/>
        <v>63.665563867615923</v>
      </c>
      <c r="E705" s="9"/>
      <c r="F705" s="9">
        <f ca="1">IFERROR(__xludf.DUMMYFUNCTION("""COMPUTED_VALUE"""),44602)</f>
        <v>44602</v>
      </c>
      <c r="G705" s="9" t="str">
        <f ca="1">IFERROR(__xludf.DUMMYFUNCTION("""COMPUTED_VALUE"""),"1 USD = 174.8976 PKR")</f>
        <v>1 USD = 174.8976 PKR</v>
      </c>
      <c r="H705" s="9" t="str">
        <f ca="1">IFERROR(__xludf.DUMMYFUNCTION("""COMPUTED_VALUE"""),"USD PKR rate for 10/02/2022")</f>
        <v>USD PKR rate for 10/02/2022</v>
      </c>
      <c r="I705" s="9"/>
    </row>
    <row r="706" spans="1:9" ht="14.25" customHeight="1" x14ac:dyDescent="0.3">
      <c r="A706" s="6">
        <v>40423</v>
      </c>
      <c r="B706" s="7">
        <v>85.804900000000004</v>
      </c>
      <c r="C706" s="8">
        <f t="shared" si="5"/>
        <v>89.590717250619662</v>
      </c>
      <c r="D706" s="9">
        <f t="shared" si="4"/>
        <v>63.668301700413188</v>
      </c>
      <c r="E706" s="9"/>
      <c r="F706" s="9">
        <f ca="1">IFERROR(__xludf.DUMMYFUNCTION("""COMPUTED_VALUE"""),44601)</f>
        <v>44601</v>
      </c>
      <c r="G706" s="9" t="str">
        <f ca="1">IFERROR(__xludf.DUMMYFUNCTION("""COMPUTED_VALUE"""),"1 USD = 174.783 PKR")</f>
        <v>1 USD = 174.783 PKR</v>
      </c>
      <c r="H706" s="9" t="str">
        <f ca="1">IFERROR(__xludf.DUMMYFUNCTION("""COMPUTED_VALUE"""),"USD PKR rate for 09/02/2022")</f>
        <v>USD PKR rate for 09/02/2022</v>
      </c>
      <c r="I706" s="9"/>
    </row>
    <row r="707" spans="1:9" ht="14.25" customHeight="1" x14ac:dyDescent="0.3">
      <c r="A707" s="6">
        <v>40424</v>
      </c>
      <c r="B707" s="7">
        <v>85.501500000000007</v>
      </c>
      <c r="C707" s="8">
        <f t="shared" si="5"/>
        <v>89.606740529646899</v>
      </c>
      <c r="D707" s="9">
        <f t="shared" si="4"/>
        <v>63.671039533210454</v>
      </c>
      <c r="E707" s="9"/>
      <c r="F707" s="9">
        <f ca="1">IFERROR(__xludf.DUMMYFUNCTION("""COMPUTED_VALUE"""),44600)</f>
        <v>44600</v>
      </c>
      <c r="G707" s="9" t="str">
        <f ca="1">IFERROR(__xludf.DUMMYFUNCTION("""COMPUTED_VALUE"""),"1 USD = 174.3366 PKR")</f>
        <v>1 USD = 174.3366 PKR</v>
      </c>
      <c r="H707" s="9" t="str">
        <f ca="1">IFERROR(__xludf.DUMMYFUNCTION("""COMPUTED_VALUE"""),"USD PKR rate for 08/02/2022")</f>
        <v>USD PKR rate for 08/02/2022</v>
      </c>
      <c r="I707" s="9"/>
    </row>
    <row r="708" spans="1:9" ht="14.25" customHeight="1" x14ac:dyDescent="0.3">
      <c r="A708" s="6">
        <v>40425</v>
      </c>
      <c r="B708" s="7">
        <v>85.119</v>
      </c>
      <c r="C708" s="8">
        <f t="shared" si="5"/>
        <v>89.622766674433961</v>
      </c>
      <c r="D708" s="9">
        <f t="shared" si="4"/>
        <v>63.67377736600772</v>
      </c>
      <c r="E708" s="9"/>
      <c r="F708" s="9">
        <f ca="1">IFERROR(__xludf.DUMMYFUNCTION("""COMPUTED_VALUE"""),44599)</f>
        <v>44599</v>
      </c>
      <c r="G708" s="9" t="str">
        <f ca="1">IFERROR(__xludf.DUMMYFUNCTION("""COMPUTED_VALUE"""),"1 USD = 174.5778 PKR")</f>
        <v>1 USD = 174.5778 PKR</v>
      </c>
      <c r="H708" s="9" t="str">
        <f ca="1">IFERROR(__xludf.DUMMYFUNCTION("""COMPUTED_VALUE"""),"USD PKR rate for 07/02/2022")</f>
        <v>USD PKR rate for 07/02/2022</v>
      </c>
      <c r="I708" s="9"/>
    </row>
    <row r="709" spans="1:9" ht="14.25" customHeight="1" x14ac:dyDescent="0.3">
      <c r="A709" s="6">
        <v>40426</v>
      </c>
      <c r="B709" s="7">
        <v>85.122600000000006</v>
      </c>
      <c r="C709" s="8">
        <f t="shared" si="5"/>
        <v>89.638795685493292</v>
      </c>
      <c r="D709" s="9">
        <f t="shared" si="4"/>
        <v>63.676515198804985</v>
      </c>
      <c r="E709" s="9"/>
      <c r="F709" s="9">
        <f ca="1">IFERROR(__xludf.DUMMYFUNCTION("""COMPUTED_VALUE"""),44598)</f>
        <v>44598</v>
      </c>
      <c r="G709" s="9" t="str">
        <f ca="1">IFERROR(__xludf.DUMMYFUNCTION("""COMPUTED_VALUE"""),"1 USD = 174.4795 PKR")</f>
        <v>1 USD = 174.4795 PKR</v>
      </c>
      <c r="H709" s="9" t="str">
        <f ca="1">IFERROR(__xludf.DUMMYFUNCTION("""COMPUTED_VALUE"""),"USD PKR rate for 06/02/2022")</f>
        <v>USD PKR rate for 06/02/2022</v>
      </c>
      <c r="I709" s="9"/>
    </row>
    <row r="710" spans="1:9" ht="14.25" customHeight="1" x14ac:dyDescent="0.3">
      <c r="A710" s="6">
        <v>40427</v>
      </c>
      <c r="B710" s="7">
        <v>85.401300000000006</v>
      </c>
      <c r="C710" s="8">
        <f t="shared" si="5"/>
        <v>89.654827563337548</v>
      </c>
      <c r="D710" s="9">
        <f t="shared" si="4"/>
        <v>63.679253031602251</v>
      </c>
      <c r="E710" s="9"/>
      <c r="F710" s="9">
        <f ca="1">IFERROR(__xludf.DUMMYFUNCTION("""COMPUTED_VALUE"""),44597)</f>
        <v>44597</v>
      </c>
      <c r="G710" s="9" t="str">
        <f ca="1">IFERROR(__xludf.DUMMYFUNCTION("""COMPUTED_VALUE"""),"1 USD = 175.4725 PKR")</f>
        <v>1 USD = 175.4725 PKR</v>
      </c>
      <c r="H710" s="9" t="str">
        <f ca="1">IFERROR(__xludf.DUMMYFUNCTION("""COMPUTED_VALUE"""),"USD PKR rate for 05/02/2022")</f>
        <v>USD PKR rate for 05/02/2022</v>
      </c>
      <c r="I710" s="9"/>
    </row>
    <row r="711" spans="1:9" ht="14.25" customHeight="1" x14ac:dyDescent="0.3">
      <c r="A711" s="6">
        <v>40428</v>
      </c>
      <c r="B711" s="7">
        <v>85.751599999999996</v>
      </c>
      <c r="C711" s="8">
        <f t="shared" si="5"/>
        <v>89.670862308479457</v>
      </c>
      <c r="D711" s="9">
        <f t="shared" si="4"/>
        <v>63.681990864399516</v>
      </c>
      <c r="E711" s="9"/>
      <c r="F711" s="9">
        <f ca="1">IFERROR(__xludf.DUMMYFUNCTION("""COMPUTED_VALUE"""),44596)</f>
        <v>44596</v>
      </c>
      <c r="G711" s="9" t="str">
        <f ca="1">IFERROR(__xludf.DUMMYFUNCTION("""COMPUTED_VALUE"""),"1 USD = 175.4694 PKR")</f>
        <v>1 USD = 175.4694 PKR</v>
      </c>
      <c r="H711" s="9" t="str">
        <f ca="1">IFERROR(__xludf.DUMMYFUNCTION("""COMPUTED_VALUE"""),"USD PKR rate for 04/02/2022")</f>
        <v>USD PKR rate for 04/02/2022</v>
      </c>
      <c r="I711" s="9"/>
    </row>
    <row r="712" spans="1:9" ht="14.25" customHeight="1" x14ac:dyDescent="0.3">
      <c r="A712" s="6">
        <v>40429</v>
      </c>
      <c r="B712" s="7">
        <v>85.819800000000001</v>
      </c>
      <c r="C712" s="8">
        <f t="shared" si="5"/>
        <v>89.686899921431788</v>
      </c>
      <c r="D712" s="9">
        <f t="shared" si="4"/>
        <v>63.684728697196782</v>
      </c>
      <c r="E712" s="9"/>
      <c r="F712" s="9">
        <f ca="1">IFERROR(__xludf.DUMMYFUNCTION("""COMPUTED_VALUE"""),44595)</f>
        <v>44595</v>
      </c>
      <c r="G712" s="9" t="str">
        <f ca="1">IFERROR(__xludf.DUMMYFUNCTION("""COMPUTED_VALUE"""),"1 USD = 175.9968 PKR")</f>
        <v>1 USD = 175.9968 PKR</v>
      </c>
      <c r="H712" s="9" t="str">
        <f ca="1">IFERROR(__xludf.DUMMYFUNCTION("""COMPUTED_VALUE"""),"USD PKR rate for 03/02/2022")</f>
        <v>USD PKR rate for 03/02/2022</v>
      </c>
      <c r="I712" s="9"/>
    </row>
    <row r="713" spans="1:9" ht="14.25" customHeight="1" x14ac:dyDescent="0.3">
      <c r="A713" s="6">
        <v>40430</v>
      </c>
      <c r="B713" s="7">
        <v>85.802199999999999</v>
      </c>
      <c r="C713" s="8">
        <f t="shared" si="5"/>
        <v>89.702940402707512</v>
      </c>
      <c r="D713" s="9">
        <f t="shared" si="4"/>
        <v>63.687466529994047</v>
      </c>
      <c r="E713" s="9"/>
      <c r="F713" s="9">
        <f ca="1">IFERROR(__xludf.DUMMYFUNCTION("""COMPUTED_VALUE"""),44594)</f>
        <v>44594</v>
      </c>
      <c r="G713" s="9" t="str">
        <f ca="1">IFERROR(__xludf.DUMMYFUNCTION("""COMPUTED_VALUE"""),"1 USD = 176.3092 PKR")</f>
        <v>1 USD = 176.3092 PKR</v>
      </c>
      <c r="H713" s="9" t="str">
        <f ca="1">IFERROR(__xludf.DUMMYFUNCTION("""COMPUTED_VALUE"""),"USD PKR rate for 02/02/2022")</f>
        <v>USD PKR rate for 02/02/2022</v>
      </c>
      <c r="I713" s="9"/>
    </row>
    <row r="714" spans="1:9" ht="14.25" customHeight="1" x14ac:dyDescent="0.3">
      <c r="A714" s="6">
        <v>40431</v>
      </c>
      <c r="B714" s="7">
        <v>85.588899999999995</v>
      </c>
      <c r="C714" s="8">
        <f t="shared" si="5"/>
        <v>89.718983752819582</v>
      </c>
      <c r="D714" s="9">
        <f t="shared" si="4"/>
        <v>63.690204362791313</v>
      </c>
      <c r="E714" s="9"/>
      <c r="F714" s="9">
        <f ca="1">IFERROR(__xludf.DUMMYFUNCTION("""COMPUTED_VALUE"""),44593)</f>
        <v>44593</v>
      </c>
      <c r="G714" s="9" t="str">
        <f ca="1">IFERROR(__xludf.DUMMYFUNCTION("""COMPUTED_VALUE"""),"1 USD = 176.5087 PKR")</f>
        <v>1 USD = 176.5087 PKR</v>
      </c>
      <c r="H714" s="9" t="str">
        <f ca="1">IFERROR(__xludf.DUMMYFUNCTION("""COMPUTED_VALUE"""),"USD PKR rate for 01/02/2022")</f>
        <v>USD PKR rate for 01/02/2022</v>
      </c>
      <c r="I714" s="9"/>
    </row>
    <row r="715" spans="1:9" ht="14.25" customHeight="1" x14ac:dyDescent="0.3">
      <c r="A715" s="6">
        <v>40432</v>
      </c>
      <c r="B715" s="7">
        <v>85.754900000000006</v>
      </c>
      <c r="C715" s="8">
        <f t="shared" si="5"/>
        <v>89.735029972281112</v>
      </c>
      <c r="D715" s="9">
        <f t="shared" si="4"/>
        <v>63.692942195588579</v>
      </c>
      <c r="E715" s="9"/>
      <c r="F715" s="9">
        <f ca="1">IFERROR(__xludf.DUMMYFUNCTION("""COMPUTED_VALUE"""),44592)</f>
        <v>44592</v>
      </c>
      <c r="G715" s="9" t="str">
        <f ca="1">IFERROR(__xludf.DUMMYFUNCTION("""COMPUTED_VALUE"""),"1 USD = 176.7275 PKR")</f>
        <v>1 USD = 176.7275 PKR</v>
      </c>
      <c r="H715" s="9" t="str">
        <f ca="1">IFERROR(__xludf.DUMMYFUNCTION("""COMPUTED_VALUE"""),"USD PKR rate for 31/01/2022")</f>
        <v>USD PKR rate for 31/01/2022</v>
      </c>
      <c r="I715" s="9"/>
    </row>
    <row r="716" spans="1:9" ht="14.25" customHeight="1" x14ac:dyDescent="0.3">
      <c r="A716" s="6">
        <v>40433</v>
      </c>
      <c r="B716" s="7">
        <v>85.740499999999997</v>
      </c>
      <c r="C716" s="8">
        <f t="shared" si="5"/>
        <v>89.751079061605182</v>
      </c>
      <c r="D716" s="9">
        <f t="shared" si="4"/>
        <v>63.695680028385844</v>
      </c>
      <c r="E716" s="9"/>
      <c r="F716" s="9">
        <f ca="1">IFERROR(__xludf.DUMMYFUNCTION("""COMPUTED_VALUE"""),44591)</f>
        <v>44591</v>
      </c>
      <c r="G716" s="9" t="str">
        <f ca="1">IFERROR(__xludf.DUMMYFUNCTION("""COMPUTED_VALUE"""),"1 USD = 176.5148 PKR")</f>
        <v>1 USD = 176.5148 PKR</v>
      </c>
      <c r="H716" s="9" t="str">
        <f ca="1">IFERROR(__xludf.DUMMYFUNCTION("""COMPUTED_VALUE"""),"USD PKR rate for 30/01/2022")</f>
        <v>USD PKR rate for 30/01/2022</v>
      </c>
      <c r="I716" s="9"/>
    </row>
    <row r="717" spans="1:9" ht="14.25" customHeight="1" x14ac:dyDescent="0.3">
      <c r="A717" s="6">
        <v>40434</v>
      </c>
      <c r="B717" s="7">
        <v>85.510300000000001</v>
      </c>
      <c r="C717" s="8">
        <f t="shared" si="5"/>
        <v>89.767131021305246</v>
      </c>
      <c r="D717" s="9">
        <f t="shared" si="4"/>
        <v>63.69841786118311</v>
      </c>
      <c r="E717" s="9"/>
      <c r="F717" s="9">
        <f ca="1">IFERROR(__xludf.DUMMYFUNCTION("""COMPUTED_VALUE"""),44590)</f>
        <v>44590</v>
      </c>
      <c r="G717" s="9" t="str">
        <f ca="1">IFERROR(__xludf.DUMMYFUNCTION("""COMPUTED_VALUE"""),"1 USD = 176.9501 PKR")</f>
        <v>1 USD = 176.9501 PKR</v>
      </c>
      <c r="H717" s="9" t="str">
        <f ca="1">IFERROR(__xludf.DUMMYFUNCTION("""COMPUTED_VALUE"""),"USD PKR rate for 29/01/2022")</f>
        <v>USD PKR rate for 29/01/2022</v>
      </c>
      <c r="I717" s="9"/>
    </row>
    <row r="718" spans="1:9" ht="14.25" customHeight="1" x14ac:dyDescent="0.3">
      <c r="A718" s="6">
        <v>40435</v>
      </c>
      <c r="B718" s="7">
        <v>85.556700000000006</v>
      </c>
      <c r="C718" s="8">
        <f t="shared" si="5"/>
        <v>89.783185851894586</v>
      </c>
      <c r="D718" s="9">
        <f t="shared" si="4"/>
        <v>63.701155693980375</v>
      </c>
      <c r="E718" s="9"/>
      <c r="F718" s="9">
        <f ca="1">IFERROR(__xludf.DUMMYFUNCTION("""COMPUTED_VALUE"""),44589)</f>
        <v>44589</v>
      </c>
      <c r="G718" s="9" t="str">
        <f ca="1">IFERROR(__xludf.DUMMYFUNCTION("""COMPUTED_VALUE"""),"1 USD = 176.9463 PKR")</f>
        <v>1 USD = 176.9463 PKR</v>
      </c>
      <c r="H718" s="9" t="str">
        <f ca="1">IFERROR(__xludf.DUMMYFUNCTION("""COMPUTED_VALUE"""),"USD PKR rate for 28/01/2022")</f>
        <v>USD PKR rate for 28/01/2022</v>
      </c>
      <c r="I718" s="9"/>
    </row>
    <row r="719" spans="1:9" ht="14.25" customHeight="1" x14ac:dyDescent="0.3">
      <c r="A719" s="6">
        <v>40436</v>
      </c>
      <c r="B719" s="7">
        <v>85.783100000000005</v>
      </c>
      <c r="C719" s="8">
        <f t="shared" si="5"/>
        <v>89.799243553886654</v>
      </c>
      <c r="D719" s="9">
        <f t="shared" si="4"/>
        <v>63.703893526777641</v>
      </c>
      <c r="E719" s="9"/>
      <c r="F719" s="9">
        <f ca="1">IFERROR(__xludf.DUMMYFUNCTION("""COMPUTED_VALUE"""),44588)</f>
        <v>44588</v>
      </c>
      <c r="G719" s="9" t="str">
        <f ca="1">IFERROR(__xludf.DUMMYFUNCTION("""COMPUTED_VALUE"""),"1 USD = 176.9603 PKR")</f>
        <v>1 USD = 176.9603 PKR</v>
      </c>
      <c r="H719" s="9" t="str">
        <f ca="1">IFERROR(__xludf.DUMMYFUNCTION("""COMPUTED_VALUE"""),"USD PKR rate for 27/01/2022")</f>
        <v>USD PKR rate for 27/01/2022</v>
      </c>
      <c r="I719" s="9"/>
    </row>
    <row r="720" spans="1:9" ht="14.25" customHeight="1" x14ac:dyDescent="0.3">
      <c r="A720" s="6">
        <v>40437</v>
      </c>
      <c r="B720" s="7">
        <v>85.719099999999997</v>
      </c>
      <c r="C720" s="8">
        <f t="shared" si="5"/>
        <v>89.815304127795002</v>
      </c>
      <c r="D720" s="9">
        <f t="shared" si="4"/>
        <v>63.706631359574907</v>
      </c>
      <c r="E720" s="9"/>
      <c r="F720" s="9">
        <f ca="1">IFERROR(__xludf.DUMMYFUNCTION("""COMPUTED_VALUE"""),44587)</f>
        <v>44587</v>
      </c>
      <c r="G720" s="9" t="str">
        <f ca="1">IFERROR(__xludf.DUMMYFUNCTION("""COMPUTED_VALUE"""),"1 USD = 176.8727 PKR")</f>
        <v>1 USD = 176.8727 PKR</v>
      </c>
      <c r="H720" s="9" t="str">
        <f ca="1">IFERROR(__xludf.DUMMYFUNCTION("""COMPUTED_VALUE"""),"USD PKR rate for 26/01/2022")</f>
        <v>USD PKR rate for 26/01/2022</v>
      </c>
      <c r="I720" s="9"/>
    </row>
    <row r="721" spans="1:9" ht="14.25" customHeight="1" x14ac:dyDescent="0.3">
      <c r="A721" s="6">
        <v>40438</v>
      </c>
      <c r="B721" s="7">
        <v>85.744</v>
      </c>
      <c r="C721" s="8">
        <f t="shared" si="5"/>
        <v>89.831367574133296</v>
      </c>
      <c r="D721" s="9">
        <f t="shared" si="4"/>
        <v>63.709369192372172</v>
      </c>
      <c r="E721" s="9"/>
      <c r="F721" s="9">
        <f ca="1">IFERROR(__xludf.DUMMYFUNCTION("""COMPUTED_VALUE"""),44586)</f>
        <v>44586</v>
      </c>
      <c r="G721" s="9" t="str">
        <f ca="1">IFERROR(__xludf.DUMMYFUNCTION("""COMPUTED_VALUE"""),"1 USD = 176.4463 PKR")</f>
        <v>1 USD = 176.4463 PKR</v>
      </c>
      <c r="H721" s="9" t="str">
        <f ca="1">IFERROR(__xludf.DUMMYFUNCTION("""COMPUTED_VALUE"""),"USD PKR rate for 25/01/2022")</f>
        <v>USD PKR rate for 25/01/2022</v>
      </c>
      <c r="I721" s="9"/>
    </row>
    <row r="722" spans="1:9" ht="14.25" customHeight="1" x14ac:dyDescent="0.3">
      <c r="A722" s="6">
        <v>40439</v>
      </c>
      <c r="B722" s="7">
        <v>85.919899999999998</v>
      </c>
      <c r="C722" s="8">
        <f t="shared" si="5"/>
        <v>89.847433893415214</v>
      </c>
      <c r="D722" s="9">
        <f t="shared" si="4"/>
        <v>63.712107025169438</v>
      </c>
      <c r="E722" s="9"/>
      <c r="F722" s="9">
        <f ca="1">IFERROR(__xludf.DUMMYFUNCTION("""COMPUTED_VALUE"""),44585)</f>
        <v>44585</v>
      </c>
      <c r="G722" s="9" t="str">
        <f ca="1">IFERROR(__xludf.DUMMYFUNCTION("""COMPUTED_VALUE"""),"1 USD = 176.4371 PKR")</f>
        <v>1 USD = 176.4371 PKR</v>
      </c>
      <c r="H722" s="9" t="str">
        <f ca="1">IFERROR(__xludf.DUMMYFUNCTION("""COMPUTED_VALUE"""),"USD PKR rate for 24/01/2022")</f>
        <v>USD PKR rate for 24/01/2022</v>
      </c>
      <c r="I722" s="9"/>
    </row>
    <row r="723" spans="1:9" ht="14.25" customHeight="1" x14ac:dyDescent="0.3">
      <c r="A723" s="6">
        <v>40440</v>
      </c>
      <c r="B723" s="7">
        <v>86.107299999999995</v>
      </c>
      <c r="C723" s="8">
        <f t="shared" si="5"/>
        <v>89.863503086154637</v>
      </c>
      <c r="D723" s="9">
        <f t="shared" si="4"/>
        <v>63.714844857966703</v>
      </c>
      <c r="E723" s="9"/>
      <c r="F723" s="9">
        <f ca="1">IFERROR(__xludf.DUMMYFUNCTION("""COMPUTED_VALUE"""),44584)</f>
        <v>44584</v>
      </c>
      <c r="G723" s="9" t="str">
        <f ca="1">IFERROR(__xludf.DUMMYFUNCTION("""COMPUTED_VALUE"""),"1 USD = 176.2883 PKR")</f>
        <v>1 USD = 176.2883 PKR</v>
      </c>
      <c r="H723" s="9" t="str">
        <f ca="1">IFERROR(__xludf.DUMMYFUNCTION("""COMPUTED_VALUE"""),"USD PKR rate for 23/01/2022")</f>
        <v>USD PKR rate for 23/01/2022</v>
      </c>
      <c r="I723" s="9"/>
    </row>
    <row r="724" spans="1:9" ht="14.25" customHeight="1" x14ac:dyDescent="0.3">
      <c r="A724" s="6">
        <v>40441</v>
      </c>
      <c r="B724" s="7">
        <v>86.025700000000001</v>
      </c>
      <c r="C724" s="8">
        <f t="shared" si="5"/>
        <v>89.879575152865456</v>
      </c>
      <c r="D724" s="9">
        <f t="shared" si="4"/>
        <v>63.717582690763969</v>
      </c>
      <c r="E724" s="9"/>
      <c r="F724" s="9">
        <f ca="1">IFERROR(__xludf.DUMMYFUNCTION("""COMPUTED_VALUE"""),44583)</f>
        <v>44583</v>
      </c>
      <c r="G724" s="9" t="str">
        <f ca="1">IFERROR(__xludf.DUMMYFUNCTION("""COMPUTED_VALUE"""),"1 USD = 176.4564 PKR")</f>
        <v>1 USD = 176.4564 PKR</v>
      </c>
      <c r="H724" s="9" t="str">
        <f ca="1">IFERROR(__xludf.DUMMYFUNCTION("""COMPUTED_VALUE"""),"USD PKR rate for 22/01/2022")</f>
        <v>USD PKR rate for 22/01/2022</v>
      </c>
      <c r="I724" s="9"/>
    </row>
    <row r="725" spans="1:9" ht="14.25" customHeight="1" x14ac:dyDescent="0.3">
      <c r="A725" s="6">
        <v>40442</v>
      </c>
      <c r="B725" s="7">
        <v>85.738100000000003</v>
      </c>
      <c r="C725" s="8">
        <f t="shared" si="5"/>
        <v>89.89565009406158</v>
      </c>
      <c r="D725" s="9">
        <f t="shared" si="4"/>
        <v>63.720320523561234</v>
      </c>
      <c r="E725" s="9"/>
      <c r="F725" s="9">
        <f ca="1">IFERROR(__xludf.DUMMYFUNCTION("""COMPUTED_VALUE"""),44582)</f>
        <v>44582</v>
      </c>
      <c r="G725" s="9" t="str">
        <f ca="1">IFERROR(__xludf.DUMMYFUNCTION("""COMPUTED_VALUE"""),"1 USD = 176.3815 PKR")</f>
        <v>1 USD = 176.3815 PKR</v>
      </c>
      <c r="H725" s="9" t="str">
        <f ca="1">IFERROR(__xludf.DUMMYFUNCTION("""COMPUTED_VALUE"""),"USD PKR rate for 21/01/2022")</f>
        <v>USD PKR rate for 21/01/2022</v>
      </c>
      <c r="I725" s="9"/>
    </row>
    <row r="726" spans="1:9" ht="14.25" customHeight="1" x14ac:dyDescent="0.3">
      <c r="A726" s="6">
        <v>40443</v>
      </c>
      <c r="B726" s="7">
        <v>85.948999999999998</v>
      </c>
      <c r="C726" s="8">
        <f t="shared" si="5"/>
        <v>89.911727910257312</v>
      </c>
      <c r="D726" s="9">
        <f t="shared" si="4"/>
        <v>63.7230583563585</v>
      </c>
      <c r="E726" s="9"/>
      <c r="F726" s="9">
        <f ca="1">IFERROR(__xludf.DUMMYFUNCTION("""COMPUTED_VALUE"""),44581)</f>
        <v>44581</v>
      </c>
      <c r="G726" s="9" t="str">
        <f ca="1">IFERROR(__xludf.DUMMYFUNCTION("""COMPUTED_VALUE"""),"1 USD = 176.4828 PKR")</f>
        <v>1 USD = 176.4828 PKR</v>
      </c>
      <c r="H726" s="9" t="str">
        <f ca="1">IFERROR(__xludf.DUMMYFUNCTION("""COMPUTED_VALUE"""),"USD PKR rate for 20/01/2022")</f>
        <v>USD PKR rate for 20/01/2022</v>
      </c>
      <c r="I726" s="9"/>
    </row>
    <row r="727" spans="1:9" ht="14.25" customHeight="1" x14ac:dyDescent="0.3">
      <c r="A727" s="6">
        <v>40444</v>
      </c>
      <c r="B727" s="7">
        <v>86.049099999999996</v>
      </c>
      <c r="C727" s="8">
        <f t="shared" si="5"/>
        <v>89.92780860196676</v>
      </c>
      <c r="D727" s="9">
        <f t="shared" si="4"/>
        <v>63.725796189155766</v>
      </c>
      <c r="E727" s="9"/>
      <c r="F727" s="9">
        <f ca="1">IFERROR(__xludf.DUMMYFUNCTION("""COMPUTED_VALUE"""),44580)</f>
        <v>44580</v>
      </c>
      <c r="G727" s="9" t="str">
        <f ca="1">IFERROR(__xludf.DUMMYFUNCTION("""COMPUTED_VALUE"""),"1 USD = 176.2485 PKR")</f>
        <v>1 USD = 176.2485 PKR</v>
      </c>
      <c r="H727" s="9" t="str">
        <f ca="1">IFERROR(__xludf.DUMMYFUNCTION("""COMPUTED_VALUE"""),"USD PKR rate for 19/01/2022")</f>
        <v>USD PKR rate for 19/01/2022</v>
      </c>
      <c r="I727" s="9"/>
    </row>
    <row r="728" spans="1:9" ht="14.25" customHeight="1" x14ac:dyDescent="0.3">
      <c r="A728" s="6">
        <v>40445</v>
      </c>
      <c r="B728" s="7">
        <v>86.181799999999996</v>
      </c>
      <c r="C728" s="8">
        <f t="shared" si="5"/>
        <v>89.943892169704185</v>
      </c>
      <c r="D728" s="9">
        <f t="shared" si="4"/>
        <v>63.728534021953031</v>
      </c>
      <c r="E728" s="9"/>
      <c r="F728" s="9">
        <f ca="1">IFERROR(__xludf.DUMMYFUNCTION("""COMPUTED_VALUE"""),44579)</f>
        <v>44579</v>
      </c>
      <c r="G728" s="9" t="str">
        <f ca="1">IFERROR(__xludf.DUMMYFUNCTION("""COMPUTED_VALUE"""),"1 USD = 176.0224 PKR")</f>
        <v>1 USD = 176.0224 PKR</v>
      </c>
      <c r="H728" s="9" t="str">
        <f ca="1">IFERROR(__xludf.DUMMYFUNCTION("""COMPUTED_VALUE"""),"USD PKR rate for 18/01/2022")</f>
        <v>USD PKR rate for 18/01/2022</v>
      </c>
      <c r="I728" s="9"/>
    </row>
    <row r="729" spans="1:9" ht="14.25" customHeight="1" x14ac:dyDescent="0.3">
      <c r="A729" s="6">
        <v>40446</v>
      </c>
      <c r="B729" s="7">
        <v>86.146799999999999</v>
      </c>
      <c r="C729" s="8">
        <f t="shared" si="5"/>
        <v>89.959978613983964</v>
      </c>
      <c r="D729" s="9">
        <f t="shared" si="4"/>
        <v>63.731271854750297</v>
      </c>
      <c r="E729" s="9"/>
      <c r="F729" s="9">
        <f ca="1">IFERROR(__xludf.DUMMYFUNCTION("""COMPUTED_VALUE"""),44578)</f>
        <v>44578</v>
      </c>
      <c r="G729" s="9" t="str">
        <f ca="1">IFERROR(__xludf.DUMMYFUNCTION("""COMPUTED_VALUE"""),"1 USD = 175.9659 PKR")</f>
        <v>1 USD = 175.9659 PKR</v>
      </c>
      <c r="H729" s="9" t="str">
        <f ca="1">IFERROR(__xludf.DUMMYFUNCTION("""COMPUTED_VALUE"""),"USD PKR rate for 17/01/2022")</f>
        <v>USD PKR rate for 17/01/2022</v>
      </c>
      <c r="I729" s="9"/>
    </row>
    <row r="730" spans="1:9" ht="14.25" customHeight="1" x14ac:dyDescent="0.3">
      <c r="A730" s="6">
        <v>40447</v>
      </c>
      <c r="B730" s="7">
        <v>86.173400000000001</v>
      </c>
      <c r="C730" s="8">
        <f t="shared" si="5"/>
        <v>89.976067935320572</v>
      </c>
      <c r="D730" s="9">
        <f t="shared" si="4"/>
        <v>63.734009687547562</v>
      </c>
      <c r="E730" s="9"/>
      <c r="F730" s="9">
        <f ca="1">IFERROR(__xludf.DUMMYFUNCTION("""COMPUTED_VALUE"""),44577)</f>
        <v>44577</v>
      </c>
      <c r="G730" s="9" t="str">
        <f ca="1">IFERROR(__xludf.DUMMYFUNCTION("""COMPUTED_VALUE"""),"1 USD = 175.9144 PKR")</f>
        <v>1 USD = 175.9144 PKR</v>
      </c>
      <c r="H730" s="9" t="str">
        <f ca="1">IFERROR(__xludf.DUMMYFUNCTION("""COMPUTED_VALUE"""),"USD PKR rate for 16/01/2022")</f>
        <v>USD PKR rate for 16/01/2022</v>
      </c>
      <c r="I730" s="9"/>
    </row>
    <row r="731" spans="1:9" ht="14.25" customHeight="1" x14ac:dyDescent="0.3">
      <c r="A731" s="6">
        <v>40448</v>
      </c>
      <c r="B731" s="7">
        <v>86.359099999999998</v>
      </c>
      <c r="C731" s="8">
        <f t="shared" si="5"/>
        <v>89.992160134228598</v>
      </c>
      <c r="D731" s="9">
        <f t="shared" si="4"/>
        <v>63.736747520344835</v>
      </c>
      <c r="E731" s="9"/>
      <c r="F731" s="9">
        <f ca="1">IFERROR(__xludf.DUMMYFUNCTION("""COMPUTED_VALUE"""),44576)</f>
        <v>44576</v>
      </c>
      <c r="G731" s="9" t="str">
        <f ca="1">IFERROR(__xludf.DUMMYFUNCTION("""COMPUTED_VALUE"""),"1 USD = 176.1567 PKR")</f>
        <v>1 USD = 176.1567 PKR</v>
      </c>
      <c r="H731" s="9" t="str">
        <f ca="1">IFERROR(__xludf.DUMMYFUNCTION("""COMPUTED_VALUE"""),"USD PKR rate for 15/01/2022")</f>
        <v>USD PKR rate for 15/01/2022</v>
      </c>
      <c r="I731" s="9"/>
    </row>
    <row r="732" spans="1:9" ht="14.25" customHeight="1" x14ac:dyDescent="0.3">
      <c r="A732" s="6">
        <v>40449</v>
      </c>
      <c r="B732" s="7">
        <v>86.397199999999998</v>
      </c>
      <c r="C732" s="8">
        <f t="shared" si="5"/>
        <v>90.008255211222632</v>
      </c>
      <c r="D732" s="9">
        <f t="shared" si="4"/>
        <v>63.739485353142101</v>
      </c>
      <c r="E732" s="9"/>
      <c r="F732" s="9">
        <f ca="1">IFERROR(__xludf.DUMMYFUNCTION("""COMPUTED_VALUE"""),44575)</f>
        <v>44575</v>
      </c>
      <c r="G732" s="9" t="str">
        <f ca="1">IFERROR(__xludf.DUMMYFUNCTION("""COMPUTED_VALUE"""),"1 USD = 176.1563 PKR")</f>
        <v>1 USD = 176.1563 PKR</v>
      </c>
      <c r="H732" s="9" t="str">
        <f ca="1">IFERROR(__xludf.DUMMYFUNCTION("""COMPUTED_VALUE"""),"USD PKR rate for 14/01/2022")</f>
        <v>USD PKR rate for 14/01/2022</v>
      </c>
      <c r="I732" s="9"/>
    </row>
    <row r="733" spans="1:9" ht="14.25" customHeight="1" x14ac:dyDescent="0.3">
      <c r="A733" s="6">
        <v>40450</v>
      </c>
      <c r="B733" s="7">
        <v>86.507400000000004</v>
      </c>
      <c r="C733" s="8">
        <f t="shared" si="5"/>
        <v>90.024353166817491</v>
      </c>
      <c r="D733" s="9">
        <f t="shared" si="4"/>
        <v>63.742223185939366</v>
      </c>
      <c r="E733" s="9"/>
      <c r="F733" s="9">
        <f ca="1">IFERROR(__xludf.DUMMYFUNCTION("""COMPUTED_VALUE"""),44574)</f>
        <v>44574</v>
      </c>
      <c r="G733" s="9" t="str">
        <f ca="1">IFERROR(__xludf.DUMMYFUNCTION("""COMPUTED_VALUE"""),"1 USD = 176.4043 PKR")</f>
        <v>1 USD = 176.4043 PKR</v>
      </c>
      <c r="H733" s="9" t="str">
        <f ca="1">IFERROR(__xludf.DUMMYFUNCTION("""COMPUTED_VALUE"""),"USD PKR rate for 13/01/2022")</f>
        <v>USD PKR rate for 13/01/2022</v>
      </c>
      <c r="I733" s="9"/>
    </row>
    <row r="734" spans="1:9" ht="14.25" customHeight="1" x14ac:dyDescent="0.3">
      <c r="A734" s="6">
        <v>40451</v>
      </c>
      <c r="B734" s="7">
        <v>86.403000000000006</v>
      </c>
      <c r="C734" s="8">
        <f t="shared" si="5"/>
        <v>90.040454001527962</v>
      </c>
      <c r="D734" s="9">
        <f t="shared" si="4"/>
        <v>63.744961018736632</v>
      </c>
      <c r="E734" s="9"/>
      <c r="F734" s="9">
        <f ca="1">IFERROR(__xludf.DUMMYFUNCTION("""COMPUTED_VALUE"""),44573)</f>
        <v>44573</v>
      </c>
      <c r="G734" s="9" t="str">
        <f ca="1">IFERROR(__xludf.DUMMYFUNCTION("""COMPUTED_VALUE"""),"1 USD = 176.1825 PKR")</f>
        <v>1 USD = 176.1825 PKR</v>
      </c>
      <c r="H734" s="9" t="str">
        <f ca="1">IFERROR(__xludf.DUMMYFUNCTION("""COMPUTED_VALUE"""),"USD PKR rate for 12/01/2022")</f>
        <v>USD PKR rate for 12/01/2022</v>
      </c>
      <c r="I734" s="9"/>
    </row>
    <row r="735" spans="1:9" ht="14.25" customHeight="1" x14ac:dyDescent="0.3">
      <c r="A735" s="6">
        <v>40452</v>
      </c>
      <c r="B735" s="7">
        <v>86.38</v>
      </c>
      <c r="C735" s="8">
        <f t="shared" si="5"/>
        <v>90.056557715869019</v>
      </c>
      <c r="D735" s="9">
        <f t="shared" si="4"/>
        <v>63.747698851533897</v>
      </c>
      <c r="E735" s="9"/>
      <c r="F735" s="9">
        <f ca="1">IFERROR(__xludf.DUMMYFUNCTION("""COMPUTED_VALUE"""),44572)</f>
        <v>44572</v>
      </c>
      <c r="G735" s="9" t="str">
        <f ca="1">IFERROR(__xludf.DUMMYFUNCTION("""COMPUTED_VALUE"""),"1 USD = 176.6612 PKR")</f>
        <v>1 USD = 176.6612 PKR</v>
      </c>
      <c r="H735" s="9" t="str">
        <f ca="1">IFERROR(__xludf.DUMMYFUNCTION("""COMPUTED_VALUE"""),"USD PKR rate for 11/01/2022")</f>
        <v>USD PKR rate for 11/01/2022</v>
      </c>
      <c r="I735" s="9"/>
    </row>
    <row r="736" spans="1:9" ht="14.25" customHeight="1" x14ac:dyDescent="0.3">
      <c r="A736" s="6">
        <v>40453</v>
      </c>
      <c r="B736" s="7">
        <v>86.231600000000014</v>
      </c>
      <c r="C736" s="8">
        <f t="shared" si="5"/>
        <v>90.072664310355634</v>
      </c>
      <c r="D736" s="9">
        <f t="shared" si="4"/>
        <v>63.750436684331163</v>
      </c>
      <c r="E736" s="9"/>
      <c r="F736" s="9">
        <f ca="1">IFERROR(__xludf.DUMMYFUNCTION("""COMPUTED_VALUE"""),44571)</f>
        <v>44571</v>
      </c>
      <c r="G736" s="9" t="str">
        <f ca="1">IFERROR(__xludf.DUMMYFUNCTION("""COMPUTED_VALUE"""),"1 USD = 176.7479 PKR")</f>
        <v>1 USD = 176.7479 PKR</v>
      </c>
      <c r="H736" s="9" t="str">
        <f ca="1">IFERROR(__xludf.DUMMYFUNCTION("""COMPUTED_VALUE"""),"USD PKR rate for 10/01/2022")</f>
        <v>USD PKR rate for 10/01/2022</v>
      </c>
      <c r="I736" s="9"/>
    </row>
    <row r="737" spans="1:9" ht="14.25" customHeight="1" x14ac:dyDescent="0.3">
      <c r="A737" s="6">
        <v>40454</v>
      </c>
      <c r="B737" s="7">
        <v>86.231499999999997</v>
      </c>
      <c r="C737" s="8">
        <f t="shared" si="5"/>
        <v>90.088773785502951</v>
      </c>
      <c r="D737" s="9">
        <f t="shared" si="4"/>
        <v>63.753174517128429</v>
      </c>
      <c r="E737" s="9"/>
      <c r="F737" s="9">
        <f ca="1">IFERROR(__xludf.DUMMYFUNCTION("""COMPUTED_VALUE"""),44570)</f>
        <v>44570</v>
      </c>
      <c r="G737" s="9" t="str">
        <f ca="1">IFERROR(__xludf.DUMMYFUNCTION("""COMPUTED_VALUE"""),"1 USD = 175.9705 PKR")</f>
        <v>1 USD = 175.9705 PKR</v>
      </c>
      <c r="H737" s="9" t="str">
        <f ca="1">IFERROR(__xludf.DUMMYFUNCTION("""COMPUTED_VALUE"""),"USD PKR rate for 09/01/2022")</f>
        <v>USD PKR rate for 09/01/2022</v>
      </c>
      <c r="I737" s="9"/>
    </row>
    <row r="738" spans="1:9" ht="14.25" customHeight="1" x14ac:dyDescent="0.3">
      <c r="A738" s="6">
        <v>40455</v>
      </c>
      <c r="B738" s="7">
        <v>86.069500000000005</v>
      </c>
      <c r="C738" s="8">
        <f t="shared" si="5"/>
        <v>90.104886141826157</v>
      </c>
      <c r="D738" s="9">
        <f t="shared" si="4"/>
        <v>63.755912349925694</v>
      </c>
      <c r="E738" s="9"/>
      <c r="F738" s="9">
        <f ca="1">IFERROR(__xludf.DUMMYFUNCTION("""COMPUTED_VALUE"""),44569)</f>
        <v>44569</v>
      </c>
      <c r="G738" s="9" t="str">
        <f ca="1">IFERROR(__xludf.DUMMYFUNCTION("""COMPUTED_VALUE"""),"1 USD = 175.7262 PKR")</f>
        <v>1 USD = 175.7262 PKR</v>
      </c>
      <c r="H738" s="9" t="str">
        <f ca="1">IFERROR(__xludf.DUMMYFUNCTION("""COMPUTED_VALUE"""),"USD PKR rate for 08/01/2022")</f>
        <v>USD PKR rate for 08/01/2022</v>
      </c>
      <c r="I738" s="9"/>
    </row>
    <row r="739" spans="1:9" ht="14.25" customHeight="1" x14ac:dyDescent="0.3">
      <c r="A739" s="6">
        <v>40456</v>
      </c>
      <c r="B739" s="7">
        <v>86.231399999999994</v>
      </c>
      <c r="C739" s="8">
        <f t="shared" si="5"/>
        <v>90.121001379840479</v>
      </c>
      <c r="D739" s="9">
        <f t="shared" si="4"/>
        <v>63.75865018272296</v>
      </c>
      <c r="E739" s="9"/>
      <c r="F739" s="9">
        <f ca="1">IFERROR(__xludf.DUMMYFUNCTION("""COMPUTED_VALUE"""),44568)</f>
        <v>44568</v>
      </c>
      <c r="G739" s="9" t="str">
        <f ca="1">IFERROR(__xludf.DUMMYFUNCTION("""COMPUTED_VALUE"""),"1 USD = 176.9939 PKR")</f>
        <v>1 USD = 176.9939 PKR</v>
      </c>
      <c r="H739" s="9" t="str">
        <f ca="1">IFERROR(__xludf.DUMMYFUNCTION("""COMPUTED_VALUE"""),"USD PKR rate for 07/01/2022")</f>
        <v>USD PKR rate for 07/01/2022</v>
      </c>
      <c r="I739" s="9"/>
    </row>
    <row r="740" spans="1:9" ht="14.25" customHeight="1" x14ac:dyDescent="0.3">
      <c r="A740" s="6">
        <v>40457</v>
      </c>
      <c r="B740" s="7">
        <v>86.1708</v>
      </c>
      <c r="C740" s="8">
        <f t="shared" si="5"/>
        <v>90.137119500061459</v>
      </c>
      <c r="D740" s="9">
        <f t="shared" si="4"/>
        <v>63.761388015520225</v>
      </c>
      <c r="E740" s="9"/>
      <c r="F740" s="9">
        <f ca="1">IFERROR(__xludf.DUMMYFUNCTION("""COMPUTED_VALUE"""),44567)</f>
        <v>44567</v>
      </c>
      <c r="G740" s="9" t="str">
        <f ca="1">IFERROR(__xludf.DUMMYFUNCTION("""COMPUTED_VALUE"""),"1 USD = 176.8188 PKR")</f>
        <v>1 USD = 176.8188 PKR</v>
      </c>
      <c r="H740" s="9" t="str">
        <f ca="1">IFERROR(__xludf.DUMMYFUNCTION("""COMPUTED_VALUE"""),"USD PKR rate for 06/01/2022")</f>
        <v>USD PKR rate for 06/01/2022</v>
      </c>
      <c r="I740" s="9"/>
    </row>
    <row r="741" spans="1:9" ht="14.25" customHeight="1" x14ac:dyDescent="0.3">
      <c r="A741" s="6">
        <v>40458</v>
      </c>
      <c r="B741" s="7">
        <v>86.31580000000001</v>
      </c>
      <c r="C741" s="8">
        <f t="shared" si="5"/>
        <v>90.153240503004525</v>
      </c>
      <c r="D741" s="9">
        <f t="shared" si="4"/>
        <v>63.764125848317491</v>
      </c>
      <c r="E741" s="9"/>
      <c r="F741" s="9">
        <f ca="1">IFERROR(__xludf.DUMMYFUNCTION("""COMPUTED_VALUE"""),44566)</f>
        <v>44566</v>
      </c>
      <c r="G741" s="9" t="str">
        <f ca="1">IFERROR(__xludf.DUMMYFUNCTION("""COMPUTED_VALUE"""),"1 USD = 176.6487 PKR")</f>
        <v>1 USD = 176.6487 PKR</v>
      </c>
      <c r="H741" s="9" t="str">
        <f ca="1">IFERROR(__xludf.DUMMYFUNCTION("""COMPUTED_VALUE"""),"USD PKR rate for 05/01/2022")</f>
        <v>USD PKR rate for 05/01/2022</v>
      </c>
      <c r="I741" s="9"/>
    </row>
    <row r="742" spans="1:9" ht="14.25" customHeight="1" x14ac:dyDescent="0.3">
      <c r="A742" s="6">
        <v>40459</v>
      </c>
      <c r="B742" s="7">
        <v>85.876000000000005</v>
      </c>
      <c r="C742" s="8">
        <f t="shared" si="5"/>
        <v>90.169364389185233</v>
      </c>
      <c r="D742" s="9">
        <f t="shared" si="4"/>
        <v>63.766863681114756</v>
      </c>
      <c r="E742" s="9"/>
      <c r="F742" s="9">
        <f ca="1">IFERROR(__xludf.DUMMYFUNCTION("""COMPUTED_VALUE"""),44565)</f>
        <v>44565</v>
      </c>
      <c r="G742" s="9" t="str">
        <f ca="1">IFERROR(__xludf.DUMMYFUNCTION("""COMPUTED_VALUE"""),"1 USD = 176.6761 PKR")</f>
        <v>1 USD = 176.6761 PKR</v>
      </c>
      <c r="H742" s="9" t="str">
        <f ca="1">IFERROR(__xludf.DUMMYFUNCTION("""COMPUTED_VALUE"""),"USD PKR rate for 04/01/2022")</f>
        <v>USD PKR rate for 04/01/2022</v>
      </c>
      <c r="I742" s="9"/>
    </row>
    <row r="743" spans="1:9" ht="14.25" customHeight="1" x14ac:dyDescent="0.3">
      <c r="A743" s="6">
        <v>40460</v>
      </c>
      <c r="B743" s="7">
        <v>85.4358</v>
      </c>
      <c r="C743" s="8">
        <f t="shared" si="5"/>
        <v>90.185491159119238</v>
      </c>
      <c r="D743" s="9">
        <f t="shared" si="4"/>
        <v>63.769601513912022</v>
      </c>
      <c r="E743" s="9"/>
      <c r="F743" s="9">
        <f ca="1">IFERROR(__xludf.DUMMYFUNCTION("""COMPUTED_VALUE"""),44564)</f>
        <v>44564</v>
      </c>
      <c r="G743" s="9" t="str">
        <f ca="1">IFERROR(__xludf.DUMMYFUNCTION("""COMPUTED_VALUE"""),"1 USD = 176.5269 PKR")</f>
        <v>1 USD = 176.5269 PKR</v>
      </c>
      <c r="H743" s="9" t="str">
        <f ca="1">IFERROR(__xludf.DUMMYFUNCTION("""COMPUTED_VALUE"""),"USD PKR rate for 03/01/2022")</f>
        <v>USD PKR rate for 03/01/2022</v>
      </c>
      <c r="I743" s="9"/>
    </row>
    <row r="744" spans="1:9" ht="14.25" customHeight="1" x14ac:dyDescent="0.3">
      <c r="A744" s="6">
        <v>40461</v>
      </c>
      <c r="B744" s="7">
        <v>85.434899999999999</v>
      </c>
      <c r="C744" s="8">
        <f t="shared" si="5"/>
        <v>90.201620813322307</v>
      </c>
      <c r="D744" s="9">
        <f t="shared" si="4"/>
        <v>63.772339346709288</v>
      </c>
      <c r="E744" s="9"/>
      <c r="F744" s="9">
        <f ca="1">IFERROR(__xludf.DUMMYFUNCTION("""COMPUTED_VALUE"""),44563)</f>
        <v>44563</v>
      </c>
      <c r="G744" s="9" t="str">
        <f ca="1">IFERROR(__xludf.DUMMYFUNCTION("""COMPUTED_VALUE"""),"1 USD = 177.2122 PKR")</f>
        <v>1 USD = 177.2122 PKR</v>
      </c>
      <c r="H744" s="9" t="str">
        <f ca="1">IFERROR(__xludf.DUMMYFUNCTION("""COMPUTED_VALUE"""),"USD PKR rate for 02/01/2022")</f>
        <v>USD PKR rate for 02/01/2022</v>
      </c>
      <c r="I744" s="9"/>
    </row>
    <row r="745" spans="1:9" ht="14.25" customHeight="1" x14ac:dyDescent="0.3">
      <c r="A745" s="6">
        <v>40462</v>
      </c>
      <c r="B745" s="7">
        <v>85.989900000000006</v>
      </c>
      <c r="C745" s="8">
        <f t="shared" si="5"/>
        <v>90.217753352310311</v>
      </c>
      <c r="D745" s="9">
        <f t="shared" si="4"/>
        <v>63.775077179506553</v>
      </c>
      <c r="E745" s="9"/>
      <c r="F745" s="9">
        <f ca="1">IFERROR(__xludf.DUMMYFUNCTION("""COMPUTED_VALUE"""),44562)</f>
        <v>44562</v>
      </c>
      <c r="G745" s="9" t="str">
        <f ca="1">IFERROR(__xludf.DUMMYFUNCTION("""COMPUTED_VALUE"""),"1 USD = 178.2435 PKR")</f>
        <v>1 USD = 178.2435 PKR</v>
      </c>
      <c r="H745" s="9" t="str">
        <f ca="1">IFERROR(__xludf.DUMMYFUNCTION("""COMPUTED_VALUE"""),"USD PKR rate for 01/01/2022")</f>
        <v>USD PKR rate for 01/01/2022</v>
      </c>
      <c r="I745" s="9"/>
    </row>
    <row r="746" spans="1:9" ht="14.25" customHeight="1" x14ac:dyDescent="0.3">
      <c r="A746" s="6">
        <v>40463</v>
      </c>
      <c r="B746" s="7">
        <v>86.132999999999996</v>
      </c>
      <c r="C746" s="8">
        <f t="shared" si="5"/>
        <v>90.233888776599173</v>
      </c>
      <c r="D746" s="9">
        <f t="shared" si="4"/>
        <v>63.777815012303819</v>
      </c>
      <c r="E746" s="9"/>
      <c r="F746" s="9">
        <f ca="1">IFERROR(__xludf.DUMMYFUNCTION("""COMPUTED_VALUE"""),44561)</f>
        <v>44561</v>
      </c>
      <c r="G746" s="9" t="str">
        <f ca="1">IFERROR(__xludf.DUMMYFUNCTION("""COMPUTED_VALUE"""),"1 USD = 178.2439 PKR")</f>
        <v>1 USD = 178.2439 PKR</v>
      </c>
      <c r="H746" s="9" t="str">
        <f ca="1">IFERROR(__xludf.DUMMYFUNCTION("""COMPUTED_VALUE"""),"USD PKR rate for 31/12/2021")</f>
        <v>USD PKR rate for 31/12/2021</v>
      </c>
      <c r="I746" s="9"/>
    </row>
    <row r="747" spans="1:9" ht="14.25" customHeight="1" x14ac:dyDescent="0.3">
      <c r="A747" s="6">
        <v>40464</v>
      </c>
      <c r="B747" s="7">
        <v>86.323800000000006</v>
      </c>
      <c r="C747" s="8">
        <f t="shared" si="5"/>
        <v>90.250027086704932</v>
      </c>
      <c r="D747" s="9">
        <f t="shared" si="4"/>
        <v>63.780552845101084</v>
      </c>
      <c r="E747" s="9"/>
      <c r="F747" s="9">
        <f ca="1">IFERROR(__xludf.DUMMYFUNCTION("""COMPUTED_VALUE"""),44560)</f>
        <v>44560</v>
      </c>
      <c r="G747" s="9" t="str">
        <f ca="1">IFERROR(__xludf.DUMMYFUNCTION("""COMPUTED_VALUE"""),"1 USD = 178.4863 PKR")</f>
        <v>1 USD = 178.4863 PKR</v>
      </c>
      <c r="H747" s="9" t="str">
        <f ca="1">IFERROR(__xludf.DUMMYFUNCTION("""COMPUTED_VALUE"""),"USD PKR rate for 30/12/2021")</f>
        <v>USD PKR rate for 30/12/2021</v>
      </c>
      <c r="I747" s="9"/>
    </row>
    <row r="748" spans="1:9" ht="14.25" customHeight="1" x14ac:dyDescent="0.3">
      <c r="A748" s="6">
        <v>40465</v>
      </c>
      <c r="B748" s="7">
        <v>85.564600000000013</v>
      </c>
      <c r="C748" s="8">
        <f t="shared" si="5"/>
        <v>90.266168283143614</v>
      </c>
      <c r="D748" s="9">
        <f t="shared" si="4"/>
        <v>63.78329067789835</v>
      </c>
      <c r="E748" s="9"/>
      <c r="F748" s="9">
        <f ca="1">IFERROR(__xludf.DUMMYFUNCTION("""COMPUTED_VALUE"""),44559)</f>
        <v>44559</v>
      </c>
      <c r="G748" s="9" t="str">
        <f ca="1">IFERROR(__xludf.DUMMYFUNCTION("""COMPUTED_VALUE"""),"1 USD = 178.4214 PKR")</f>
        <v>1 USD = 178.4214 PKR</v>
      </c>
      <c r="H748" s="9" t="str">
        <f ca="1">IFERROR(__xludf.DUMMYFUNCTION("""COMPUTED_VALUE"""),"USD PKR rate for 29/12/2021")</f>
        <v>USD PKR rate for 29/12/2021</v>
      </c>
      <c r="I748" s="9"/>
    </row>
    <row r="749" spans="1:9" ht="14.25" customHeight="1" x14ac:dyDescent="0.3">
      <c r="A749" s="6">
        <v>40466</v>
      </c>
      <c r="B749" s="7">
        <v>85.509900000000016</v>
      </c>
      <c r="C749" s="8">
        <f t="shared" si="5"/>
        <v>90.28231236643164</v>
      </c>
      <c r="D749" s="9">
        <f t="shared" si="4"/>
        <v>63.786028510695616</v>
      </c>
      <c r="E749" s="9"/>
      <c r="F749" s="9">
        <f ca="1">IFERROR(__xludf.DUMMYFUNCTION("""COMPUTED_VALUE"""),44558)</f>
        <v>44558</v>
      </c>
      <c r="G749" s="9" t="str">
        <f ca="1">IFERROR(__xludf.DUMMYFUNCTION("""COMPUTED_VALUE"""),"1 USD = 178.436 PKR")</f>
        <v>1 USD = 178.436 PKR</v>
      </c>
      <c r="H749" s="9" t="str">
        <f ca="1">IFERROR(__xludf.DUMMYFUNCTION("""COMPUTED_VALUE"""),"USD PKR rate for 28/12/2021")</f>
        <v>USD PKR rate for 28/12/2021</v>
      </c>
      <c r="I749" s="9"/>
    </row>
    <row r="750" spans="1:9" ht="14.25" customHeight="1" x14ac:dyDescent="0.3">
      <c r="A750" s="6">
        <v>40467</v>
      </c>
      <c r="B750" s="7">
        <v>86.061199999999999</v>
      </c>
      <c r="C750" s="8">
        <f t="shared" si="5"/>
        <v>90.298459337085205</v>
      </c>
      <c r="D750" s="9">
        <f t="shared" si="4"/>
        <v>63.788766343492881</v>
      </c>
      <c r="E750" s="9"/>
      <c r="F750" s="9">
        <f ca="1">IFERROR(__xludf.DUMMYFUNCTION("""COMPUTED_VALUE"""),44557)</f>
        <v>44557</v>
      </c>
      <c r="G750" s="9" t="str">
        <f ca="1">IFERROR(__xludf.DUMMYFUNCTION("""COMPUTED_VALUE"""),"1 USD = 175.3512 PKR")</f>
        <v>1 USD = 175.3512 PKR</v>
      </c>
      <c r="H750" s="9" t="str">
        <f ca="1">IFERROR(__xludf.DUMMYFUNCTION("""COMPUTED_VALUE"""),"USD PKR rate for 27/12/2021")</f>
        <v>USD PKR rate for 27/12/2021</v>
      </c>
      <c r="I750" s="9"/>
    </row>
    <row r="751" spans="1:9" ht="14.25" customHeight="1" x14ac:dyDescent="0.3">
      <c r="A751" s="6">
        <v>40468</v>
      </c>
      <c r="B751" s="7">
        <v>86.2179</v>
      </c>
      <c r="C751" s="8">
        <f t="shared" si="5"/>
        <v>90.314609195620747</v>
      </c>
      <c r="D751" s="9">
        <f t="shared" si="4"/>
        <v>63.791504176290147</v>
      </c>
      <c r="E751" s="9"/>
      <c r="F751" s="9">
        <f ca="1">IFERROR(__xludf.DUMMYFUNCTION("""COMPUTED_VALUE"""),44556)</f>
        <v>44556</v>
      </c>
      <c r="G751" s="9" t="str">
        <f ca="1">IFERROR(__xludf.DUMMYFUNCTION("""COMPUTED_VALUE"""),"1 USD = 178.3064 PKR")</f>
        <v>1 USD = 178.3064 PKR</v>
      </c>
      <c r="H751" s="9" t="str">
        <f ca="1">IFERROR(__xludf.DUMMYFUNCTION("""COMPUTED_VALUE"""),"USD PKR rate for 26/12/2021")</f>
        <v>USD PKR rate for 26/12/2021</v>
      </c>
      <c r="I751" s="9"/>
    </row>
    <row r="752" spans="1:9" ht="14.25" customHeight="1" x14ac:dyDescent="0.3">
      <c r="A752" s="6">
        <v>40469</v>
      </c>
      <c r="B752" s="7">
        <v>85.992599999999996</v>
      </c>
      <c r="C752" s="8">
        <f t="shared" si="5"/>
        <v>90.330761942554744</v>
      </c>
      <c r="D752" s="9">
        <f t="shared" si="4"/>
        <v>63.794242009087412</v>
      </c>
      <c r="E752" s="9"/>
      <c r="F752" s="9">
        <f ca="1">IFERROR(__xludf.DUMMYFUNCTION("""COMPUTED_VALUE"""),44555)</f>
        <v>44555</v>
      </c>
      <c r="G752" s="9" t="str">
        <f ca="1">IFERROR(__xludf.DUMMYFUNCTION("""COMPUTED_VALUE"""),"1 USD = 178.1065 PKR")</f>
        <v>1 USD = 178.1065 PKR</v>
      </c>
      <c r="H752" s="9" t="str">
        <f ca="1">IFERROR(__xludf.DUMMYFUNCTION("""COMPUTED_VALUE"""),"USD PKR rate for 25/12/2021")</f>
        <v>USD PKR rate for 25/12/2021</v>
      </c>
      <c r="I752" s="9"/>
    </row>
    <row r="753" spans="1:9" ht="14.25" customHeight="1" x14ac:dyDescent="0.3">
      <c r="A753" s="6">
        <v>40470</v>
      </c>
      <c r="B753" s="7">
        <v>86.363399999999999</v>
      </c>
      <c r="C753" s="8">
        <f t="shared" si="5"/>
        <v>90.346917578403804</v>
      </c>
      <c r="D753" s="9">
        <f t="shared" si="4"/>
        <v>63.796979841884678</v>
      </c>
      <c r="E753" s="9"/>
      <c r="F753" s="9">
        <f ca="1">IFERROR(__xludf.DUMMYFUNCTION("""COMPUTED_VALUE"""),44554)</f>
        <v>44554</v>
      </c>
      <c r="G753" s="9" t="str">
        <f ca="1">IFERROR(__xludf.DUMMYFUNCTION("""COMPUTED_VALUE"""),"1 USD = 178.1 PKR")</f>
        <v>1 USD = 178.1 PKR</v>
      </c>
      <c r="H753" s="9" t="str">
        <f ca="1">IFERROR(__xludf.DUMMYFUNCTION("""COMPUTED_VALUE"""),"USD PKR rate for 24/12/2021")</f>
        <v>USD PKR rate for 24/12/2021</v>
      </c>
      <c r="I753" s="9"/>
    </row>
    <row r="754" spans="1:9" ht="14.25" customHeight="1" x14ac:dyDescent="0.3">
      <c r="A754" s="6">
        <v>40471</v>
      </c>
      <c r="B754" s="7">
        <v>86.151600000000002</v>
      </c>
      <c r="C754" s="8">
        <f t="shared" si="5"/>
        <v>90.363076103684563</v>
      </c>
      <c r="D754" s="9">
        <f t="shared" si="4"/>
        <v>63.799717674681943</v>
      </c>
      <c r="E754" s="9"/>
      <c r="F754" s="9">
        <f ca="1">IFERROR(__xludf.DUMMYFUNCTION("""COMPUTED_VALUE"""),44553)</f>
        <v>44553</v>
      </c>
      <c r="G754" s="9" t="str">
        <f ca="1">IFERROR(__xludf.DUMMYFUNCTION("""COMPUTED_VALUE"""),"1 USD = 178.3902 PKR")</f>
        <v>1 USD = 178.3902 PKR</v>
      </c>
      <c r="H754" s="9" t="str">
        <f ca="1">IFERROR(__xludf.DUMMYFUNCTION("""COMPUTED_VALUE"""),"USD PKR rate for 23/12/2021")</f>
        <v>USD PKR rate for 23/12/2021</v>
      </c>
      <c r="I754" s="9"/>
    </row>
    <row r="755" spans="1:9" ht="14.25" customHeight="1" x14ac:dyDescent="0.3">
      <c r="A755" s="6">
        <v>40472</v>
      </c>
      <c r="B755" s="7">
        <v>86.077699999999993</v>
      </c>
      <c r="C755" s="8">
        <f t="shared" si="5"/>
        <v>90.37923751891384</v>
      </c>
      <c r="D755" s="9">
        <f t="shared" si="4"/>
        <v>63.802455507479209</v>
      </c>
      <c r="E755" s="9"/>
      <c r="F755" s="9">
        <f ca="1">IFERROR(__xludf.DUMMYFUNCTION("""COMPUTED_VALUE"""),44552)</f>
        <v>44552</v>
      </c>
      <c r="G755" s="9" t="str">
        <f ca="1">IFERROR(__xludf.DUMMYFUNCTION("""COMPUTED_VALUE"""),"1 USD = 178.4347 PKR")</f>
        <v>1 USD = 178.4347 PKR</v>
      </c>
      <c r="H755" s="9" t="str">
        <f ca="1">IFERROR(__xludf.DUMMYFUNCTION("""COMPUTED_VALUE"""),"USD PKR rate for 22/12/2021")</f>
        <v>USD PKR rate for 22/12/2021</v>
      </c>
      <c r="I755" s="9"/>
    </row>
    <row r="756" spans="1:9" ht="14.25" customHeight="1" x14ac:dyDescent="0.3">
      <c r="A756" s="6">
        <v>40473</v>
      </c>
      <c r="B756" s="7">
        <v>86.142100000000013</v>
      </c>
      <c r="C756" s="8">
        <f t="shared" si="5"/>
        <v>90.395401824608498</v>
      </c>
      <c r="D756" s="9">
        <f t="shared" si="4"/>
        <v>63.805193340276475</v>
      </c>
      <c r="E756" s="9"/>
      <c r="F756" s="9">
        <f ca="1">IFERROR(__xludf.DUMMYFUNCTION("""COMPUTED_VALUE"""),44551)</f>
        <v>44551</v>
      </c>
      <c r="G756" s="9" t="str">
        <f ca="1">IFERROR(__xludf.DUMMYFUNCTION("""COMPUTED_VALUE"""),"1 USD = 178.019 PKR")</f>
        <v>1 USD = 178.019 PKR</v>
      </c>
      <c r="H756" s="9" t="str">
        <f ca="1">IFERROR(__xludf.DUMMYFUNCTION("""COMPUTED_VALUE"""),"USD PKR rate for 21/12/2021")</f>
        <v>USD PKR rate for 21/12/2021</v>
      </c>
      <c r="I756" s="9"/>
    </row>
    <row r="757" spans="1:9" ht="14.25" customHeight="1" x14ac:dyDescent="0.3">
      <c r="A757" s="6">
        <v>40474</v>
      </c>
      <c r="B757" s="7">
        <v>86.378900000000016</v>
      </c>
      <c r="C757" s="8">
        <f t="shared" si="5"/>
        <v>90.411569021285388</v>
      </c>
      <c r="D757" s="9">
        <f t="shared" si="4"/>
        <v>63.80793117307374</v>
      </c>
      <c r="E757" s="9"/>
      <c r="F757" s="9">
        <f ca="1">IFERROR(__xludf.DUMMYFUNCTION("""COMPUTED_VALUE"""),44550)</f>
        <v>44550</v>
      </c>
      <c r="G757" s="9" t="str">
        <f ca="1">IFERROR(__xludf.DUMMYFUNCTION("""COMPUTED_VALUE"""),"1 USD = 178.1136 PKR")</f>
        <v>1 USD = 178.1136 PKR</v>
      </c>
      <c r="H757" s="9" t="str">
        <f ca="1">IFERROR(__xludf.DUMMYFUNCTION("""COMPUTED_VALUE"""),"USD PKR rate for 20/12/2021")</f>
        <v>USD PKR rate for 20/12/2021</v>
      </c>
      <c r="I757" s="9"/>
    </row>
    <row r="758" spans="1:9" ht="14.25" customHeight="1" x14ac:dyDescent="0.3">
      <c r="A758" s="6">
        <v>40475</v>
      </c>
      <c r="B758" s="7">
        <v>86.378500000000003</v>
      </c>
      <c r="C758" s="8">
        <f t="shared" si="5"/>
        <v>90.427739109461726</v>
      </c>
      <c r="D758" s="9">
        <f t="shared" si="4"/>
        <v>63.810669005871006</v>
      </c>
      <c r="E758" s="9"/>
      <c r="F758" s="9">
        <f ca="1">IFERROR(__xludf.DUMMYFUNCTION("""COMPUTED_VALUE"""),44549)</f>
        <v>44549</v>
      </c>
      <c r="G758" s="9" t="str">
        <f ca="1">IFERROR(__xludf.DUMMYFUNCTION("""COMPUTED_VALUE"""),"1 USD = 179.1671 PKR")</f>
        <v>1 USD = 179.1671 PKR</v>
      </c>
      <c r="H758" s="9" t="str">
        <f ca="1">IFERROR(__xludf.DUMMYFUNCTION("""COMPUTED_VALUE"""),"USD PKR rate for 19/12/2021")</f>
        <v>USD PKR rate for 19/12/2021</v>
      </c>
      <c r="I758" s="9"/>
    </row>
    <row r="759" spans="1:9" ht="14.25" customHeight="1" x14ac:dyDescent="0.3">
      <c r="A759" s="6">
        <v>40476</v>
      </c>
      <c r="B759" s="7">
        <v>86.031300000000002</v>
      </c>
      <c r="C759" s="8">
        <f t="shared" si="5"/>
        <v>90.443912089654631</v>
      </c>
      <c r="D759" s="9">
        <f t="shared" si="4"/>
        <v>63.813406838668271</v>
      </c>
      <c r="E759" s="9"/>
      <c r="F759" s="9">
        <f ca="1">IFERROR(__xludf.DUMMYFUNCTION("""COMPUTED_VALUE"""),44548)</f>
        <v>44548</v>
      </c>
      <c r="G759" s="9" t="str">
        <f ca="1">IFERROR(__xludf.DUMMYFUNCTION("""COMPUTED_VALUE"""),"1 USD = 178.1434 PKR")</f>
        <v>1 USD = 178.1434 PKR</v>
      </c>
      <c r="H759" s="9" t="str">
        <f ca="1">IFERROR(__xludf.DUMMYFUNCTION("""COMPUTED_VALUE"""),"USD PKR rate for 18/12/2021")</f>
        <v>USD PKR rate for 18/12/2021</v>
      </c>
      <c r="I759" s="9"/>
    </row>
    <row r="760" spans="1:9" ht="14.25" customHeight="1" x14ac:dyDescent="0.3">
      <c r="A760" s="6">
        <v>40477</v>
      </c>
      <c r="B760" s="7">
        <v>86.119299999999996</v>
      </c>
      <c r="C760" s="8">
        <f t="shared" si="5"/>
        <v>90.460087962381266</v>
      </c>
      <c r="D760" s="9">
        <f t="shared" si="4"/>
        <v>63.816144671465537</v>
      </c>
      <c r="E760" s="9"/>
      <c r="F760" s="9">
        <f ca="1">IFERROR(__xludf.DUMMYFUNCTION("""COMPUTED_VALUE"""),44547)</f>
        <v>44547</v>
      </c>
      <c r="G760" s="9" t="str">
        <f ca="1">IFERROR(__xludf.DUMMYFUNCTION("""COMPUTED_VALUE"""),"1 USD = 178.1504 PKR")</f>
        <v>1 USD = 178.1504 PKR</v>
      </c>
      <c r="H760" s="9" t="str">
        <f ca="1">IFERROR(__xludf.DUMMYFUNCTION("""COMPUTED_VALUE"""),"USD PKR rate for 17/12/2021")</f>
        <v>USD PKR rate for 17/12/2021</v>
      </c>
      <c r="I760" s="9"/>
    </row>
    <row r="761" spans="1:9" ht="14.25" customHeight="1" x14ac:dyDescent="0.3">
      <c r="A761" s="6">
        <v>40478</v>
      </c>
      <c r="B761" s="7">
        <v>85.643500000000003</v>
      </c>
      <c r="C761" s="8">
        <f t="shared" si="5"/>
        <v>90.47626672815899</v>
      </c>
      <c r="D761" s="9">
        <f t="shared" si="4"/>
        <v>63.818882504262803</v>
      </c>
      <c r="E761" s="9"/>
      <c r="F761" s="9">
        <f ca="1">IFERROR(__xludf.DUMMYFUNCTION("""COMPUTED_VALUE"""),44546)</f>
        <v>44546</v>
      </c>
      <c r="G761" s="9" t="str">
        <f ca="1">IFERROR(__xludf.DUMMYFUNCTION("""COMPUTED_VALUE"""),"1 USD = 178.0619 PKR")</f>
        <v>1 USD = 178.0619 PKR</v>
      </c>
      <c r="H761" s="9" t="str">
        <f ca="1">IFERROR(__xludf.DUMMYFUNCTION("""COMPUTED_VALUE"""),"USD PKR rate for 16/12/2021")</f>
        <v>USD PKR rate for 16/12/2021</v>
      </c>
      <c r="I761" s="9"/>
    </row>
    <row r="762" spans="1:9" ht="14.25" customHeight="1" x14ac:dyDescent="0.3">
      <c r="A762" s="6">
        <v>40479</v>
      </c>
      <c r="B762" s="7">
        <v>85.694400000000016</v>
      </c>
      <c r="C762" s="8">
        <f t="shared" si="5"/>
        <v>90.492448387505235</v>
      </c>
      <c r="D762" s="9">
        <f t="shared" si="4"/>
        <v>63.821620337060068</v>
      </c>
      <c r="E762" s="9"/>
      <c r="F762" s="9">
        <f ca="1">IFERROR(__xludf.DUMMYFUNCTION("""COMPUTED_VALUE"""),44545)</f>
        <v>44545</v>
      </c>
      <c r="G762" s="9" t="str">
        <f ca="1">IFERROR(__xludf.DUMMYFUNCTION("""COMPUTED_VALUE"""),"1 USD = 178.1331 PKR")</f>
        <v>1 USD = 178.1331 PKR</v>
      </c>
      <c r="H762" s="9" t="str">
        <f ca="1">IFERROR(__xludf.DUMMYFUNCTION("""COMPUTED_VALUE"""),"USD PKR rate for 15/12/2021")</f>
        <v>USD PKR rate for 15/12/2021</v>
      </c>
      <c r="I762" s="9"/>
    </row>
    <row r="763" spans="1:9" ht="14.25" customHeight="1" x14ac:dyDescent="0.3">
      <c r="A763" s="6">
        <v>40480</v>
      </c>
      <c r="B763" s="7">
        <v>85.589500000000001</v>
      </c>
      <c r="C763" s="8">
        <f t="shared" si="5"/>
        <v>90.508632940937503</v>
      </c>
      <c r="D763" s="9">
        <f t="shared" si="4"/>
        <v>63.824358169857334</v>
      </c>
      <c r="E763" s="9"/>
      <c r="F763" s="9">
        <f ca="1">IFERROR(__xludf.DUMMYFUNCTION("""COMPUTED_VALUE"""),44544)</f>
        <v>44544</v>
      </c>
      <c r="G763" s="9" t="str">
        <f ca="1">IFERROR(__xludf.DUMMYFUNCTION("""COMPUTED_VALUE"""),"1 USD = 178.1973 PKR")</f>
        <v>1 USD = 178.1973 PKR</v>
      </c>
      <c r="H763" s="9" t="str">
        <f ca="1">IFERROR(__xludf.DUMMYFUNCTION("""COMPUTED_VALUE"""),"USD PKR rate for 14/12/2021")</f>
        <v>USD PKR rate for 14/12/2021</v>
      </c>
      <c r="I763" s="9"/>
    </row>
    <row r="764" spans="1:9" ht="14.25" customHeight="1" x14ac:dyDescent="0.3">
      <c r="A764" s="6">
        <v>40481</v>
      </c>
      <c r="B764" s="7">
        <v>85.331299999999999</v>
      </c>
      <c r="C764" s="8">
        <f t="shared" si="5"/>
        <v>90.52482038897341</v>
      </c>
      <c r="D764" s="9">
        <f t="shared" si="4"/>
        <v>63.827096002654599</v>
      </c>
      <c r="E764" s="9"/>
      <c r="F764" s="9">
        <f ca="1">IFERROR(__xludf.DUMMYFUNCTION("""COMPUTED_VALUE"""),44543)</f>
        <v>44543</v>
      </c>
      <c r="G764" s="9" t="str">
        <f ca="1">IFERROR(__xludf.DUMMYFUNCTION("""COMPUTED_VALUE"""),"1 USD = 178.063 PKR")</f>
        <v>1 USD = 178.063 PKR</v>
      </c>
      <c r="H764" s="9" t="str">
        <f ca="1">IFERROR(__xludf.DUMMYFUNCTION("""COMPUTED_VALUE"""),"USD PKR rate for 13/12/2021")</f>
        <v>USD PKR rate for 13/12/2021</v>
      </c>
      <c r="I764" s="9"/>
    </row>
    <row r="765" spans="1:9" ht="14.25" customHeight="1" x14ac:dyDescent="0.3">
      <c r="A765" s="6">
        <v>40482</v>
      </c>
      <c r="B765" s="7">
        <v>85.331500000000005</v>
      </c>
      <c r="C765" s="8">
        <f t="shared" si="5"/>
        <v>90.541010732130644</v>
      </c>
      <c r="D765" s="9">
        <f t="shared" si="4"/>
        <v>63.829833835451865</v>
      </c>
      <c r="E765" s="9"/>
      <c r="F765" s="9">
        <f ca="1">IFERROR(__xludf.DUMMYFUNCTION("""COMPUTED_VALUE"""),44542)</f>
        <v>44542</v>
      </c>
      <c r="G765" s="9" t="str">
        <f ca="1">IFERROR(__xludf.DUMMYFUNCTION("""COMPUTED_VALUE"""),"1 USD = 177.2176 PKR")</f>
        <v>1 USD = 177.2176 PKR</v>
      </c>
      <c r="H765" s="9" t="str">
        <f ca="1">IFERROR(__xludf.DUMMYFUNCTION("""COMPUTED_VALUE"""),"USD PKR rate for 12/12/2021")</f>
        <v>USD PKR rate for 12/12/2021</v>
      </c>
      <c r="I765" s="9"/>
    </row>
    <row r="766" spans="1:9" ht="14.25" customHeight="1" x14ac:dyDescent="0.3">
      <c r="A766" s="6">
        <v>40483</v>
      </c>
      <c r="B766" s="7">
        <v>85.966899999999995</v>
      </c>
      <c r="C766" s="8">
        <f t="shared" si="5"/>
        <v>90.557203970926906</v>
      </c>
      <c r="D766" s="9">
        <f t="shared" si="4"/>
        <v>63.83257166824913</v>
      </c>
      <c r="E766" s="9"/>
      <c r="F766" s="9">
        <f ca="1">IFERROR(__xludf.DUMMYFUNCTION("""COMPUTED_VALUE"""),44541)</f>
        <v>44541</v>
      </c>
      <c r="G766" s="9" t="str">
        <f ca="1">IFERROR(__xludf.DUMMYFUNCTION("""COMPUTED_VALUE"""),"1 USD = 176.9567 PKR")</f>
        <v>1 USD = 176.9567 PKR</v>
      </c>
      <c r="H766" s="9" t="str">
        <f ca="1">IFERROR(__xludf.DUMMYFUNCTION("""COMPUTED_VALUE"""),"USD PKR rate for 11/12/2021")</f>
        <v>USD PKR rate for 11/12/2021</v>
      </c>
      <c r="I766" s="9"/>
    </row>
    <row r="767" spans="1:9" ht="14.25" customHeight="1" x14ac:dyDescent="0.3">
      <c r="A767" s="6">
        <v>40484</v>
      </c>
      <c r="B767" s="7">
        <v>85.784000000000006</v>
      </c>
      <c r="C767" s="8">
        <f t="shared" si="5"/>
        <v>90.573400105880282</v>
      </c>
      <c r="D767" s="9">
        <f t="shared" si="4"/>
        <v>63.835309501046396</v>
      </c>
      <c r="E767" s="9"/>
      <c r="F767" s="9">
        <f ca="1">IFERROR(__xludf.DUMMYFUNCTION("""COMPUTED_VALUE"""),44540)</f>
        <v>44540</v>
      </c>
      <c r="G767" s="9" t="str">
        <f ca="1">IFERROR(__xludf.DUMMYFUNCTION("""COMPUTED_VALUE"""),"1 USD = 178.1503 PKR")</f>
        <v>1 USD = 178.1503 PKR</v>
      </c>
      <c r="H767" s="9" t="str">
        <f ca="1">IFERROR(__xludf.DUMMYFUNCTION("""COMPUTED_VALUE"""),"USD PKR rate for 10/12/2021")</f>
        <v>USD PKR rate for 10/12/2021</v>
      </c>
      <c r="I767" s="9"/>
    </row>
    <row r="768" spans="1:9" ht="14.25" customHeight="1" x14ac:dyDescent="0.3">
      <c r="A768" s="6">
        <v>40485</v>
      </c>
      <c r="B768" s="7">
        <v>85.793899999999994</v>
      </c>
      <c r="C768" s="8">
        <f t="shared" si="5"/>
        <v>90.589599137508628</v>
      </c>
      <c r="D768" s="9">
        <f t="shared" ref="D768:D1022" si="6">(A768-$A$3)/365.2524</f>
        <v>63.838047333843662</v>
      </c>
      <c r="E768" s="9"/>
      <c r="F768" s="9">
        <f ca="1">IFERROR(__xludf.DUMMYFUNCTION("""COMPUTED_VALUE"""),44539)</f>
        <v>44539</v>
      </c>
      <c r="G768" s="9" t="str">
        <f ca="1">IFERROR(__xludf.DUMMYFUNCTION("""COMPUTED_VALUE"""),"1 USD = 177.8823 PKR")</f>
        <v>1 USD = 177.8823 PKR</v>
      </c>
      <c r="H768" s="9" t="str">
        <f ca="1">IFERROR(__xludf.DUMMYFUNCTION("""COMPUTED_VALUE"""),"USD PKR rate for 09/12/2021")</f>
        <v>USD PKR rate for 09/12/2021</v>
      </c>
      <c r="I768" s="9"/>
    </row>
    <row r="769" spans="1:9" ht="14.25" customHeight="1" x14ac:dyDescent="0.3">
      <c r="A769" s="6">
        <v>40486</v>
      </c>
      <c r="B769" s="7">
        <v>85.779200000000003</v>
      </c>
      <c r="C769" s="8">
        <f t="shared" ref="C769:C1023" si="7">(1+$C$1)^D769*$C$3</f>
        <v>90.605801066330031</v>
      </c>
      <c r="D769" s="9">
        <f t="shared" si="6"/>
        <v>63.840785166640927</v>
      </c>
      <c r="E769" s="9"/>
      <c r="F769" s="9">
        <f ca="1">IFERROR(__xludf.DUMMYFUNCTION("""COMPUTED_VALUE"""),44538)</f>
        <v>44538</v>
      </c>
      <c r="G769" s="9" t="str">
        <f ca="1">IFERROR(__xludf.DUMMYFUNCTION("""COMPUTED_VALUE"""),"1 USD = 177.3467 PKR")</f>
        <v>1 USD = 177.3467 PKR</v>
      </c>
      <c r="H769" s="9" t="str">
        <f ca="1">IFERROR(__xludf.DUMMYFUNCTION("""COMPUTED_VALUE"""),"USD PKR rate for 08/12/2021")</f>
        <v>USD PKR rate for 08/12/2021</v>
      </c>
      <c r="I769" s="9"/>
    </row>
    <row r="770" spans="1:9" ht="14.25" customHeight="1" x14ac:dyDescent="0.3">
      <c r="A770" s="6">
        <v>40487</v>
      </c>
      <c r="B770" s="7">
        <v>85.789300000000011</v>
      </c>
      <c r="C770" s="8">
        <f t="shared" si="7"/>
        <v>90.622005892862646</v>
      </c>
      <c r="D770" s="9">
        <f t="shared" si="6"/>
        <v>63.843522999438193</v>
      </c>
      <c r="E770" s="9"/>
      <c r="F770" s="9">
        <f ca="1">IFERROR(__xludf.DUMMYFUNCTION("""COMPUTED_VALUE"""),44537)</f>
        <v>44537</v>
      </c>
      <c r="G770" s="9" t="str">
        <f ca="1">IFERROR(__xludf.DUMMYFUNCTION("""COMPUTED_VALUE"""),"1 USD = 176.8132 PKR")</f>
        <v>1 USD = 176.8132 PKR</v>
      </c>
      <c r="H770" s="9" t="str">
        <f ca="1">IFERROR(__xludf.DUMMYFUNCTION("""COMPUTED_VALUE"""),"USD PKR rate for 07/12/2021")</f>
        <v>USD PKR rate for 07/12/2021</v>
      </c>
      <c r="I770" s="9"/>
    </row>
    <row r="771" spans="1:9" ht="14.25" customHeight="1" x14ac:dyDescent="0.3">
      <c r="A771" s="6">
        <v>40488</v>
      </c>
      <c r="B771" s="7">
        <v>85.834400000000016</v>
      </c>
      <c r="C771" s="8">
        <f t="shared" si="7"/>
        <v>90.638213617624757</v>
      </c>
      <c r="D771" s="9">
        <f t="shared" si="6"/>
        <v>63.846260832235458</v>
      </c>
      <c r="E771" s="9"/>
      <c r="F771" s="9">
        <f ca="1">IFERROR(__xludf.DUMMYFUNCTION("""COMPUTED_VALUE"""),44536)</f>
        <v>44536</v>
      </c>
      <c r="G771" s="9" t="str">
        <f ca="1">IFERROR(__xludf.DUMMYFUNCTION("""COMPUTED_VALUE"""),"1 USD = 176.3799 PKR")</f>
        <v>1 USD = 176.3799 PKR</v>
      </c>
      <c r="H771" s="9" t="str">
        <f ca="1">IFERROR(__xludf.DUMMYFUNCTION("""COMPUTED_VALUE"""),"USD PKR rate for 06/12/2021")</f>
        <v>USD PKR rate for 06/12/2021</v>
      </c>
      <c r="I771" s="9"/>
    </row>
    <row r="772" spans="1:9" ht="14.25" customHeight="1" x14ac:dyDescent="0.3">
      <c r="A772" s="6">
        <v>40489</v>
      </c>
      <c r="B772" s="7">
        <v>85.832000000000008</v>
      </c>
      <c r="C772" s="8">
        <f t="shared" si="7"/>
        <v>90.654424241134663</v>
      </c>
      <c r="D772" s="9">
        <f t="shared" si="6"/>
        <v>63.848998665032724</v>
      </c>
      <c r="E772" s="9"/>
      <c r="F772" s="9">
        <f ca="1">IFERROR(__xludf.DUMMYFUNCTION("""COMPUTED_VALUE"""),44535)</f>
        <v>44535</v>
      </c>
      <c r="G772" s="9" t="str">
        <f ca="1">IFERROR(__xludf.DUMMYFUNCTION("""COMPUTED_VALUE"""),"1 USD = 176.7547 PKR")</f>
        <v>1 USD = 176.7547 PKR</v>
      </c>
      <c r="H772" s="9" t="str">
        <f ca="1">IFERROR(__xludf.DUMMYFUNCTION("""COMPUTED_VALUE"""),"USD PKR rate for 05/12/2021")</f>
        <v>USD PKR rate for 05/12/2021</v>
      </c>
      <c r="I772" s="9"/>
    </row>
    <row r="773" spans="1:9" ht="14.25" customHeight="1" x14ac:dyDescent="0.3">
      <c r="A773" s="6">
        <v>40490</v>
      </c>
      <c r="B773" s="7">
        <v>85.515699999999995</v>
      </c>
      <c r="C773" s="8">
        <f t="shared" si="7"/>
        <v>90.670637763910833</v>
      </c>
      <c r="D773" s="9">
        <f t="shared" si="6"/>
        <v>63.85173649782999</v>
      </c>
      <c r="E773" s="9"/>
      <c r="F773" s="9">
        <f ca="1">IFERROR(__xludf.DUMMYFUNCTION("""COMPUTED_VALUE"""),44534)</f>
        <v>44534</v>
      </c>
      <c r="G773" s="9" t="str">
        <f ca="1">IFERROR(__xludf.DUMMYFUNCTION("""COMPUTED_VALUE"""),"1 USD = 176.6467 PKR")</f>
        <v>1 USD = 176.6467 PKR</v>
      </c>
      <c r="H773" s="9" t="str">
        <f ca="1">IFERROR(__xludf.DUMMYFUNCTION("""COMPUTED_VALUE"""),"USD PKR rate for 04/12/2021")</f>
        <v>USD PKR rate for 04/12/2021</v>
      </c>
      <c r="I773" s="9"/>
    </row>
    <row r="774" spans="1:9" ht="14.25" customHeight="1" x14ac:dyDescent="0.3">
      <c r="A774" s="6">
        <v>40491</v>
      </c>
      <c r="B774" s="7">
        <v>85.524699999999996</v>
      </c>
      <c r="C774" s="8">
        <f t="shared" si="7"/>
        <v>90.686854186471791</v>
      </c>
      <c r="D774" s="9">
        <f t="shared" si="6"/>
        <v>63.854474330627255</v>
      </c>
      <c r="E774" s="9"/>
      <c r="F774" s="9">
        <f ca="1">IFERROR(__xludf.DUMMYFUNCTION("""COMPUTED_VALUE"""),44533)</f>
        <v>44533</v>
      </c>
      <c r="G774" s="9" t="str">
        <f ca="1">IFERROR(__xludf.DUMMYFUNCTION("""COMPUTED_VALUE"""),"1 USD = 175.5434 PKR")</f>
        <v>1 USD = 175.5434 PKR</v>
      </c>
      <c r="H774" s="9" t="str">
        <f ca="1">IFERROR(__xludf.DUMMYFUNCTION("""COMPUTED_VALUE"""),"USD PKR rate for 03/12/2021")</f>
        <v>USD PKR rate for 03/12/2021</v>
      </c>
      <c r="I774" s="9"/>
    </row>
    <row r="775" spans="1:9" ht="14.25" customHeight="1" x14ac:dyDescent="0.3">
      <c r="A775" s="6">
        <v>40492</v>
      </c>
      <c r="B775" s="7">
        <v>85.390500000000003</v>
      </c>
      <c r="C775" s="8">
        <f t="shared" si="7"/>
        <v>90.703073509336093</v>
      </c>
      <c r="D775" s="9">
        <f t="shared" si="6"/>
        <v>63.857212163424521</v>
      </c>
      <c r="E775" s="9"/>
      <c r="F775" s="9">
        <f ca="1">IFERROR(__xludf.DUMMYFUNCTION("""COMPUTED_VALUE"""),44532)</f>
        <v>44532</v>
      </c>
      <c r="G775" s="9" t="str">
        <f ca="1">IFERROR(__xludf.DUMMYFUNCTION("""COMPUTED_VALUE"""),"1 USD = 176.1932 PKR")</f>
        <v>1 USD = 176.1932 PKR</v>
      </c>
      <c r="H775" s="9" t="str">
        <f ca="1">IFERROR(__xludf.DUMMYFUNCTION("""COMPUTED_VALUE"""),"USD PKR rate for 02/12/2021")</f>
        <v>USD PKR rate for 02/12/2021</v>
      </c>
      <c r="I775" s="9"/>
    </row>
    <row r="776" spans="1:9" ht="14.25" customHeight="1" x14ac:dyDescent="0.3">
      <c r="A776" s="6">
        <v>40493</v>
      </c>
      <c r="B776" s="7">
        <v>85.346199999999996</v>
      </c>
      <c r="C776" s="8">
        <f t="shared" si="7"/>
        <v>90.719295733022619</v>
      </c>
      <c r="D776" s="9">
        <f t="shared" si="6"/>
        <v>63.859949996221786</v>
      </c>
      <c r="E776" s="9"/>
      <c r="F776" s="9">
        <f ca="1">IFERROR(__xludf.DUMMYFUNCTION("""COMPUTED_VALUE"""),44531)</f>
        <v>44531</v>
      </c>
      <c r="G776" s="9" t="str">
        <f ca="1">IFERROR(__xludf.DUMMYFUNCTION("""COMPUTED_VALUE"""),"1 USD = 175.3083 PKR")</f>
        <v>1 USD = 175.3083 PKR</v>
      </c>
      <c r="H776" s="9" t="str">
        <f ca="1">IFERROR(__xludf.DUMMYFUNCTION("""COMPUTED_VALUE"""),"USD PKR rate for 01/12/2021")</f>
        <v>USD PKR rate for 01/12/2021</v>
      </c>
      <c r="I776" s="9"/>
    </row>
    <row r="777" spans="1:9" ht="14.25" customHeight="1" x14ac:dyDescent="0.3">
      <c r="A777" s="6">
        <v>40494</v>
      </c>
      <c r="B777" s="7">
        <v>85.595299999999995</v>
      </c>
      <c r="C777" s="8">
        <f t="shared" si="7"/>
        <v>90.73552085805008</v>
      </c>
      <c r="D777" s="9">
        <f t="shared" si="6"/>
        <v>63.862687829019052</v>
      </c>
      <c r="E777" s="9"/>
      <c r="F777" s="9">
        <f ca="1">IFERROR(__xludf.DUMMYFUNCTION("""COMPUTED_VALUE"""),44530)</f>
        <v>44530</v>
      </c>
      <c r="G777" s="9" t="str">
        <f ca="1">IFERROR(__xludf.DUMMYFUNCTION("""COMPUTED_VALUE"""),"1 USD = 176.2706 PKR")</f>
        <v>1 USD = 176.2706 PKR</v>
      </c>
      <c r="H777" s="9" t="str">
        <f ca="1">IFERROR(__xludf.DUMMYFUNCTION("""COMPUTED_VALUE"""),"USD PKR rate for 30/11/2021")</f>
        <v>USD PKR rate for 30/11/2021</v>
      </c>
      <c r="I777" s="9"/>
    </row>
    <row r="778" spans="1:9" ht="14.25" customHeight="1" x14ac:dyDescent="0.3">
      <c r="A778" s="6">
        <v>40495</v>
      </c>
      <c r="B778" s="7">
        <v>85.872399999999999</v>
      </c>
      <c r="C778" s="8">
        <f t="shared" si="7"/>
        <v>90.751748884937413</v>
      </c>
      <c r="D778" s="9">
        <f t="shared" si="6"/>
        <v>63.865425661816317</v>
      </c>
      <c r="E778" s="9"/>
      <c r="F778" s="9">
        <f ca="1">IFERROR(__xludf.DUMMYFUNCTION("""COMPUTED_VALUE"""),44529)</f>
        <v>44529</v>
      </c>
      <c r="G778" s="9" t="str">
        <f ca="1">IFERROR(__xludf.DUMMYFUNCTION("""COMPUTED_VALUE"""),"1 USD = 176.373 PKR")</f>
        <v>1 USD = 176.373 PKR</v>
      </c>
      <c r="H778" s="9" t="str">
        <f ca="1">IFERROR(__xludf.DUMMYFUNCTION("""COMPUTED_VALUE"""),"USD PKR rate for 29/11/2021")</f>
        <v>USD PKR rate for 29/11/2021</v>
      </c>
      <c r="I778" s="9"/>
    </row>
    <row r="779" spans="1:9" ht="14.25" customHeight="1" x14ac:dyDescent="0.3">
      <c r="A779" s="6">
        <v>40496</v>
      </c>
      <c r="B779" s="7">
        <v>85.883100000000013</v>
      </c>
      <c r="C779" s="8">
        <f t="shared" si="7"/>
        <v>90.767979814203585</v>
      </c>
      <c r="D779" s="9">
        <f t="shared" si="6"/>
        <v>63.868163494613583</v>
      </c>
      <c r="E779" s="9"/>
      <c r="F779" s="9">
        <f ca="1">IFERROR(__xludf.DUMMYFUNCTION("""COMPUTED_VALUE"""),44528)</f>
        <v>44528</v>
      </c>
      <c r="G779" s="9" t="str">
        <f ca="1">IFERROR(__xludf.DUMMYFUNCTION("""COMPUTED_VALUE"""),"1 USD = 176.5839 PKR")</f>
        <v>1 USD = 176.5839 PKR</v>
      </c>
      <c r="H779" s="9" t="str">
        <f ca="1">IFERROR(__xludf.DUMMYFUNCTION("""COMPUTED_VALUE"""),"USD PKR rate for 28/11/2021")</f>
        <v>USD PKR rate for 28/11/2021</v>
      </c>
      <c r="I779" s="9"/>
    </row>
    <row r="780" spans="1:9" ht="14.25" customHeight="1" x14ac:dyDescent="0.3">
      <c r="A780" s="6">
        <v>40497</v>
      </c>
      <c r="B780" s="7">
        <v>85.623999999999995</v>
      </c>
      <c r="C780" s="8">
        <f t="shared" si="7"/>
        <v>90.784213646367689</v>
      </c>
      <c r="D780" s="9">
        <f t="shared" si="6"/>
        <v>63.870901327410849</v>
      </c>
      <c r="E780" s="9"/>
      <c r="F780" s="9">
        <f ca="1">IFERROR(__xludf.DUMMYFUNCTION("""COMPUTED_VALUE"""),44527)</f>
        <v>44527</v>
      </c>
      <c r="G780" s="9" t="str">
        <f ca="1">IFERROR(__xludf.DUMMYFUNCTION("""COMPUTED_VALUE"""),"1 USD = 176.4991 PKR")</f>
        <v>1 USD = 176.4991 PKR</v>
      </c>
      <c r="H780" s="9" t="str">
        <f ca="1">IFERROR(__xludf.DUMMYFUNCTION("""COMPUTED_VALUE"""),"USD PKR rate for 27/11/2021")</f>
        <v>USD PKR rate for 27/11/2021</v>
      </c>
      <c r="I780" s="9"/>
    </row>
    <row r="781" spans="1:9" ht="14.25" customHeight="1" x14ac:dyDescent="0.3">
      <c r="A781" s="6">
        <v>40498</v>
      </c>
      <c r="B781" s="7">
        <v>85.484499999999997</v>
      </c>
      <c r="C781" s="8">
        <f t="shared" si="7"/>
        <v>90.80045038194892</v>
      </c>
      <c r="D781" s="9">
        <f t="shared" si="6"/>
        <v>63.873639160208114</v>
      </c>
      <c r="E781" s="9"/>
      <c r="F781" s="9">
        <f ca="1">IFERROR(__xludf.DUMMYFUNCTION("""COMPUTED_VALUE"""),44526)</f>
        <v>44526</v>
      </c>
      <c r="G781" s="9" t="str">
        <f ca="1">IFERROR(__xludf.DUMMYFUNCTION("""COMPUTED_VALUE"""),"1 USD = 176.5103 PKR")</f>
        <v>1 USD = 176.5103 PKR</v>
      </c>
      <c r="H781" s="9" t="str">
        <f ca="1">IFERROR(__xludf.DUMMYFUNCTION("""COMPUTED_VALUE"""),"USD PKR rate for 26/11/2021")</f>
        <v>USD PKR rate for 26/11/2021</v>
      </c>
      <c r="I781" s="9"/>
    </row>
    <row r="782" spans="1:9" ht="14.25" customHeight="1" x14ac:dyDescent="0.3">
      <c r="A782" s="6">
        <v>40499</v>
      </c>
      <c r="B782" s="7">
        <v>85.56</v>
      </c>
      <c r="C782" s="8">
        <f t="shared" si="7"/>
        <v>90.816690021466556</v>
      </c>
      <c r="D782" s="9">
        <f t="shared" si="6"/>
        <v>63.87637699300538</v>
      </c>
      <c r="E782" s="9"/>
      <c r="F782" s="9">
        <f ca="1">IFERROR(__xludf.DUMMYFUNCTION("""COMPUTED_VALUE"""),44525)</f>
        <v>44525</v>
      </c>
      <c r="G782" s="9" t="str">
        <f ca="1">IFERROR(__xludf.DUMMYFUNCTION("""COMPUTED_VALUE"""),"1 USD = 175.3741 PKR")</f>
        <v>1 USD = 175.3741 PKR</v>
      </c>
      <c r="H782" s="9" t="str">
        <f ca="1">IFERROR(__xludf.DUMMYFUNCTION("""COMPUTED_VALUE"""),"USD PKR rate for 25/11/2021")</f>
        <v>USD PKR rate for 25/11/2021</v>
      </c>
      <c r="I782" s="9"/>
    </row>
    <row r="783" spans="1:9" ht="14.25" customHeight="1" x14ac:dyDescent="0.3">
      <c r="A783" s="6">
        <v>40500</v>
      </c>
      <c r="B783" s="7">
        <v>85.426599999999993</v>
      </c>
      <c r="C783" s="8">
        <f t="shared" si="7"/>
        <v>90.832932565439947</v>
      </c>
      <c r="D783" s="9">
        <f t="shared" si="6"/>
        <v>63.879114825802645</v>
      </c>
      <c r="E783" s="9"/>
      <c r="F783" s="9">
        <f ca="1">IFERROR(__xludf.DUMMYFUNCTION("""COMPUTED_VALUE"""),44524)</f>
        <v>44524</v>
      </c>
      <c r="G783" s="9" t="str">
        <f ca="1">IFERROR(__xludf.DUMMYFUNCTION("""COMPUTED_VALUE"""),"1 USD = 175.1416 PKR")</f>
        <v>1 USD = 175.1416 PKR</v>
      </c>
      <c r="H783" s="9" t="str">
        <f ca="1">IFERROR(__xludf.DUMMYFUNCTION("""COMPUTED_VALUE"""),"USD PKR rate for 24/11/2021")</f>
        <v>USD PKR rate for 24/11/2021</v>
      </c>
      <c r="I783" s="9"/>
    </row>
    <row r="784" spans="1:9" ht="14.25" customHeight="1" x14ac:dyDescent="0.3">
      <c r="A784" s="6">
        <v>40501</v>
      </c>
      <c r="B784" s="7">
        <v>85.262799999999999</v>
      </c>
      <c r="C784" s="8">
        <f t="shared" si="7"/>
        <v>90.849178014388499</v>
      </c>
      <c r="D784" s="9">
        <f t="shared" si="6"/>
        <v>63.881852658599911</v>
      </c>
      <c r="E784" s="9"/>
      <c r="F784" s="9">
        <f ca="1">IFERROR(__xludf.DUMMYFUNCTION("""COMPUTED_VALUE"""),44523)</f>
        <v>44523</v>
      </c>
      <c r="G784" s="9" t="str">
        <f ca="1">IFERROR(__xludf.DUMMYFUNCTION("""COMPUTED_VALUE"""),"1 USD = 174.8665 PKR")</f>
        <v>1 USD = 174.8665 PKR</v>
      </c>
      <c r="H784" s="9" t="str">
        <f ca="1">IFERROR(__xludf.DUMMYFUNCTION("""COMPUTED_VALUE"""),"USD PKR rate for 23/11/2021")</f>
        <v>USD PKR rate for 23/11/2021</v>
      </c>
      <c r="I784" s="9"/>
    </row>
    <row r="785" spans="1:9" ht="14.25" customHeight="1" x14ac:dyDescent="0.3">
      <c r="A785" s="6">
        <v>40502</v>
      </c>
      <c r="B785" s="7">
        <v>85.048199999999994</v>
      </c>
      <c r="C785" s="8">
        <f t="shared" si="7"/>
        <v>90.865426368831891</v>
      </c>
      <c r="D785" s="9">
        <f t="shared" si="6"/>
        <v>63.884590491397176</v>
      </c>
      <c r="E785" s="9"/>
      <c r="F785" s="9">
        <f ca="1">IFERROR(__xludf.DUMMYFUNCTION("""COMPUTED_VALUE"""),44522)</f>
        <v>44522</v>
      </c>
      <c r="G785" s="9" t="str">
        <f ca="1">IFERROR(__xludf.DUMMYFUNCTION("""COMPUTED_VALUE"""),"1 USD = 175.165 PKR")</f>
        <v>1 USD = 175.165 PKR</v>
      </c>
      <c r="H785" s="9" t="str">
        <f ca="1">IFERROR(__xludf.DUMMYFUNCTION("""COMPUTED_VALUE"""),"USD PKR rate for 22/11/2021")</f>
        <v>USD PKR rate for 22/11/2021</v>
      </c>
      <c r="I785" s="9"/>
    </row>
    <row r="786" spans="1:9" ht="14.25" customHeight="1" x14ac:dyDescent="0.3">
      <c r="A786" s="6">
        <v>40503</v>
      </c>
      <c r="B786" s="7">
        <v>85.037500000000009</v>
      </c>
      <c r="C786" s="8">
        <f t="shared" si="7"/>
        <v>90.881677629289726</v>
      </c>
      <c r="D786" s="9">
        <f t="shared" si="6"/>
        <v>63.887328324194442</v>
      </c>
      <c r="E786" s="9"/>
      <c r="F786" s="9">
        <f ca="1">IFERROR(__xludf.DUMMYFUNCTION("""COMPUTED_VALUE"""),44521)</f>
        <v>44521</v>
      </c>
      <c r="G786" s="9" t="str">
        <f ca="1">IFERROR(__xludf.DUMMYFUNCTION("""COMPUTED_VALUE"""),"1 USD = 175.0444 PKR")</f>
        <v>1 USD = 175.0444 PKR</v>
      </c>
      <c r="H786" s="9" t="str">
        <f ca="1">IFERROR(__xludf.DUMMYFUNCTION("""COMPUTED_VALUE"""),"USD PKR rate for 21/11/2021")</f>
        <v>USD PKR rate for 21/11/2021</v>
      </c>
      <c r="I786" s="9"/>
    </row>
    <row r="787" spans="1:9" ht="14.25" customHeight="1" x14ac:dyDescent="0.3">
      <c r="A787" s="6">
        <v>40504</v>
      </c>
      <c r="B787" s="7">
        <v>85.463999999999999</v>
      </c>
      <c r="C787" s="8">
        <f t="shared" si="7"/>
        <v>90.897931796281725</v>
      </c>
      <c r="D787" s="9">
        <f t="shared" si="6"/>
        <v>63.890066156991708</v>
      </c>
      <c r="E787" s="9"/>
      <c r="F787" s="9">
        <f ca="1">IFERROR(__xludf.DUMMYFUNCTION("""COMPUTED_VALUE"""),44520)</f>
        <v>44520</v>
      </c>
      <c r="G787" s="9" t="str">
        <f ca="1">IFERROR(__xludf.DUMMYFUNCTION("""COMPUTED_VALUE"""),"1 USD = 175.0632 PKR")</f>
        <v>1 USD = 175.0632 PKR</v>
      </c>
      <c r="H787" s="9" t="str">
        <f ca="1">IFERROR(__xludf.DUMMYFUNCTION("""COMPUTED_VALUE"""),"USD PKR rate for 20/11/2021")</f>
        <v>USD PKR rate for 20/11/2021</v>
      </c>
      <c r="I787" s="9"/>
    </row>
    <row r="788" spans="1:9" ht="14.25" customHeight="1" x14ac:dyDescent="0.3">
      <c r="A788" s="6">
        <v>40505</v>
      </c>
      <c r="B788" s="7">
        <v>85.699700000000007</v>
      </c>
      <c r="C788" s="8">
        <f t="shared" si="7"/>
        <v>90.914188870327735</v>
      </c>
      <c r="D788" s="9">
        <f t="shared" si="6"/>
        <v>63.892803989788973</v>
      </c>
      <c r="E788" s="9"/>
      <c r="F788" s="9">
        <f ca="1">IFERROR(__xludf.DUMMYFUNCTION("""COMPUTED_VALUE"""),44519)</f>
        <v>44519</v>
      </c>
      <c r="G788" s="9" t="str">
        <f ca="1">IFERROR(__xludf.DUMMYFUNCTION("""COMPUTED_VALUE"""),"1 USD = 175.0607 PKR")</f>
        <v>1 USD = 175.0607 PKR</v>
      </c>
      <c r="H788" s="9" t="str">
        <f ca="1">IFERROR(__xludf.DUMMYFUNCTION("""COMPUTED_VALUE"""),"USD PKR rate for 19/11/2021")</f>
        <v>USD PKR rate for 19/11/2021</v>
      </c>
      <c r="I788" s="9"/>
    </row>
    <row r="789" spans="1:9" ht="14.25" customHeight="1" x14ac:dyDescent="0.3">
      <c r="A789" s="6">
        <v>40506</v>
      </c>
      <c r="B789" s="7">
        <v>85.543999999999997</v>
      </c>
      <c r="C789" s="8">
        <f t="shared" si="7"/>
        <v>90.930448851947659</v>
      </c>
      <c r="D789" s="9">
        <f t="shared" si="6"/>
        <v>63.895541822586239</v>
      </c>
      <c r="E789" s="9"/>
      <c r="F789" s="9">
        <f ca="1">IFERROR(__xludf.DUMMYFUNCTION("""COMPUTED_VALUE"""),44518)</f>
        <v>44518</v>
      </c>
      <c r="G789" s="9" t="str">
        <f ca="1">IFERROR(__xludf.DUMMYFUNCTION("""COMPUTED_VALUE"""),"1 USD = 174.2033 PKR")</f>
        <v>1 USD = 174.2033 PKR</v>
      </c>
      <c r="H789" s="9" t="str">
        <f ca="1">IFERROR(__xludf.DUMMYFUNCTION("""COMPUTED_VALUE"""),"USD PKR rate for 18/11/2021")</f>
        <v>USD PKR rate for 18/11/2021</v>
      </c>
      <c r="I789" s="9"/>
    </row>
    <row r="790" spans="1:9" ht="14.25" customHeight="1" x14ac:dyDescent="0.3">
      <c r="A790" s="6">
        <v>40507</v>
      </c>
      <c r="B790" s="7">
        <v>85.506699999999995</v>
      </c>
      <c r="C790" s="8">
        <f t="shared" si="7"/>
        <v>90.946711741661531</v>
      </c>
      <c r="D790" s="9">
        <f t="shared" si="6"/>
        <v>63.898279655383504</v>
      </c>
      <c r="E790" s="9"/>
      <c r="F790" s="9">
        <f ca="1">IFERROR(__xludf.DUMMYFUNCTION("""COMPUTED_VALUE"""),44517)</f>
        <v>44517</v>
      </c>
      <c r="G790" s="9" t="str">
        <f ca="1">IFERROR(__xludf.DUMMYFUNCTION("""COMPUTED_VALUE"""),"1 USD = 175.1305 PKR")</f>
        <v>1 USD = 175.1305 PKR</v>
      </c>
      <c r="H790" s="9" t="str">
        <f ca="1">IFERROR(__xludf.DUMMYFUNCTION("""COMPUTED_VALUE"""),"USD PKR rate for 17/11/2021")</f>
        <v>USD PKR rate for 17/11/2021</v>
      </c>
      <c r="I790" s="9"/>
    </row>
    <row r="791" spans="1:9" ht="14.25" customHeight="1" x14ac:dyDescent="0.3">
      <c r="A791" s="6">
        <v>40508</v>
      </c>
      <c r="B791" s="7">
        <v>85.672100000000015</v>
      </c>
      <c r="C791" s="8">
        <f t="shared" si="7"/>
        <v>90.962977539989453</v>
      </c>
      <c r="D791" s="9">
        <f t="shared" si="6"/>
        <v>63.90101748818077</v>
      </c>
      <c r="E791" s="9"/>
      <c r="F791" s="9">
        <f ca="1">IFERROR(__xludf.DUMMYFUNCTION("""COMPUTED_VALUE"""),44516)</f>
        <v>44516</v>
      </c>
      <c r="G791" s="9" t="str">
        <f ca="1">IFERROR(__xludf.DUMMYFUNCTION("""COMPUTED_VALUE"""),"1 USD = 174.5397 PKR")</f>
        <v>1 USD = 174.5397 PKR</v>
      </c>
      <c r="H791" s="9" t="str">
        <f ca="1">IFERROR(__xludf.DUMMYFUNCTION("""COMPUTED_VALUE"""),"USD PKR rate for 16/11/2021")</f>
        <v>USD PKR rate for 16/11/2021</v>
      </c>
      <c r="I791" s="9"/>
    </row>
    <row r="792" spans="1:9" ht="14.25" customHeight="1" x14ac:dyDescent="0.3">
      <c r="A792" s="6">
        <v>40509</v>
      </c>
      <c r="B792" s="7">
        <v>85.822699999999998</v>
      </c>
      <c r="C792" s="8">
        <f t="shared" si="7"/>
        <v>90.979246247451655</v>
      </c>
      <c r="D792" s="9">
        <f t="shared" si="6"/>
        <v>63.903755320978036</v>
      </c>
      <c r="E792" s="9"/>
      <c r="F792" s="9">
        <f ca="1">IFERROR(__xludf.DUMMYFUNCTION("""COMPUTED_VALUE"""),44515)</f>
        <v>44515</v>
      </c>
      <c r="G792" s="9" t="str">
        <f ca="1">IFERROR(__xludf.DUMMYFUNCTION("""COMPUTED_VALUE"""),"1 USD = 174.8643 PKR")</f>
        <v>1 USD = 174.8643 PKR</v>
      </c>
      <c r="H792" s="9" t="str">
        <f ca="1">IFERROR(__xludf.DUMMYFUNCTION("""COMPUTED_VALUE"""),"USD PKR rate for 15/11/2021")</f>
        <v>USD PKR rate for 15/11/2021</v>
      </c>
      <c r="I792" s="9"/>
    </row>
    <row r="793" spans="1:9" ht="14.25" customHeight="1" x14ac:dyDescent="0.3">
      <c r="A793" s="6">
        <v>40510</v>
      </c>
      <c r="B793" s="7">
        <v>85.804500000000004</v>
      </c>
      <c r="C793" s="8">
        <f t="shared" si="7"/>
        <v>90.995517864568342</v>
      </c>
      <c r="D793" s="9">
        <f t="shared" si="6"/>
        <v>63.906493153775301</v>
      </c>
      <c r="E793" s="9"/>
      <c r="F793" s="9">
        <f ca="1">IFERROR(__xludf.DUMMYFUNCTION("""COMPUTED_VALUE"""),44514)</f>
        <v>44514</v>
      </c>
      <c r="G793" s="9" t="str">
        <f ca="1">IFERROR(__xludf.DUMMYFUNCTION("""COMPUTED_VALUE"""),"1 USD = 175.7512 PKR")</f>
        <v>1 USD = 175.7512 PKR</v>
      </c>
      <c r="H793" s="9" t="str">
        <f ca="1">IFERROR(__xludf.DUMMYFUNCTION("""COMPUTED_VALUE"""),"USD PKR rate for 14/11/2021")</f>
        <v>USD PKR rate for 14/11/2021</v>
      </c>
      <c r="I793" s="9"/>
    </row>
    <row r="794" spans="1:9" ht="14.25" customHeight="1" x14ac:dyDescent="0.3">
      <c r="A794" s="6">
        <v>40511</v>
      </c>
      <c r="B794" s="7">
        <v>85.887900000000016</v>
      </c>
      <c r="C794" s="8">
        <f t="shared" si="7"/>
        <v>91.011792391860055</v>
      </c>
      <c r="D794" s="9">
        <f t="shared" si="6"/>
        <v>63.909230986572567</v>
      </c>
      <c r="E794" s="9"/>
      <c r="F794" s="9">
        <f ca="1">IFERROR(__xludf.DUMMYFUNCTION("""COMPUTED_VALUE"""),44513)</f>
        <v>44513</v>
      </c>
      <c r="G794" s="9" t="str">
        <f ca="1">IFERROR(__xludf.DUMMYFUNCTION("""COMPUTED_VALUE"""),"1 USD = 172.7 PKR")</f>
        <v>1 USD = 172.7 PKR</v>
      </c>
      <c r="H794" s="9" t="str">
        <f ca="1">IFERROR(__xludf.DUMMYFUNCTION("""COMPUTED_VALUE"""),"USD PKR rate for 13/11/2021")</f>
        <v>USD PKR rate for 13/11/2021</v>
      </c>
      <c r="I794" s="9"/>
    </row>
    <row r="795" spans="1:9" ht="14.25" customHeight="1" x14ac:dyDescent="0.3">
      <c r="A795" s="6">
        <v>40512</v>
      </c>
      <c r="B795" s="7">
        <v>85.674000000000007</v>
      </c>
      <c r="C795" s="8">
        <f t="shared" si="7"/>
        <v>91.028069829847198</v>
      </c>
      <c r="D795" s="9">
        <f t="shared" si="6"/>
        <v>63.911968819369832</v>
      </c>
      <c r="E795" s="9"/>
      <c r="F795" s="9">
        <f ca="1">IFERROR(__xludf.DUMMYFUNCTION("""COMPUTED_VALUE"""),44512)</f>
        <v>44512</v>
      </c>
      <c r="G795" s="9" t="str">
        <f ca="1">IFERROR(__xludf.DUMMYFUNCTION("""COMPUTED_VALUE"""),"1 USD = 172.6964 PKR")</f>
        <v>1 USD = 172.6964 PKR</v>
      </c>
      <c r="H795" s="9" t="str">
        <f ca="1">IFERROR(__xludf.DUMMYFUNCTION("""COMPUTED_VALUE"""),"USD PKR rate for 12/11/2021")</f>
        <v>USD PKR rate for 12/11/2021</v>
      </c>
      <c r="I795" s="9"/>
    </row>
    <row r="796" spans="1:9" ht="14.25" customHeight="1" x14ac:dyDescent="0.3">
      <c r="A796" s="6">
        <v>40513</v>
      </c>
      <c r="B796" s="7">
        <v>85.668199999999999</v>
      </c>
      <c r="C796" s="8">
        <f t="shared" si="7"/>
        <v>91.044350179050355</v>
      </c>
      <c r="D796" s="9">
        <f t="shared" si="6"/>
        <v>63.914706652167098</v>
      </c>
      <c r="E796" s="9"/>
      <c r="F796" s="9">
        <f ca="1">IFERROR(__xludf.DUMMYFUNCTION("""COMPUTED_VALUE"""),44511)</f>
        <v>44511</v>
      </c>
      <c r="G796" s="9" t="str">
        <f ca="1">IFERROR(__xludf.DUMMYFUNCTION("""COMPUTED_VALUE"""),"1 USD = 171.3525 PKR")</f>
        <v>1 USD = 171.3525 PKR</v>
      </c>
      <c r="H796" s="9" t="str">
        <f ca="1">IFERROR(__xludf.DUMMYFUNCTION("""COMPUTED_VALUE"""),"USD PKR rate for 11/11/2021")</f>
        <v>USD PKR rate for 11/11/2021</v>
      </c>
      <c r="I796" s="9"/>
    </row>
    <row r="797" spans="1:9" ht="14.25" customHeight="1" x14ac:dyDescent="0.3">
      <c r="A797" s="6">
        <v>40514</v>
      </c>
      <c r="B797" s="7">
        <v>85.672200000000004</v>
      </c>
      <c r="C797" s="8">
        <f t="shared" si="7"/>
        <v>91.060633439990212</v>
      </c>
      <c r="D797" s="9">
        <f t="shared" si="6"/>
        <v>63.917444484964363</v>
      </c>
      <c r="E797" s="9"/>
      <c r="F797" s="9">
        <f ca="1">IFERROR(__xludf.DUMMYFUNCTION("""COMPUTED_VALUE"""),44510)</f>
        <v>44510</v>
      </c>
      <c r="G797" s="9" t="str">
        <f ca="1">IFERROR(__xludf.DUMMYFUNCTION("""COMPUTED_VALUE"""),"1 USD = 171.35 PKR")</f>
        <v>1 USD = 171.35 PKR</v>
      </c>
      <c r="H797" s="9" t="str">
        <f ca="1">IFERROR(__xludf.DUMMYFUNCTION("""COMPUTED_VALUE"""),"USD PKR rate for 10/11/2021")</f>
        <v>USD PKR rate for 10/11/2021</v>
      </c>
      <c r="I797" s="9"/>
    </row>
    <row r="798" spans="1:9" ht="14.25" customHeight="1" x14ac:dyDescent="0.3">
      <c r="A798" s="6">
        <v>40515</v>
      </c>
      <c r="B798" s="7">
        <v>85.888000000000005</v>
      </c>
      <c r="C798" s="8">
        <f t="shared" si="7"/>
        <v>91.076919613187499</v>
      </c>
      <c r="D798" s="9">
        <f t="shared" si="6"/>
        <v>63.920182317761629</v>
      </c>
      <c r="E798" s="9"/>
      <c r="F798" s="9">
        <f ca="1">IFERROR(__xludf.DUMMYFUNCTION("""COMPUTED_VALUE"""),44509)</f>
        <v>44509</v>
      </c>
      <c r="G798" s="9" t="str">
        <f ca="1">IFERROR(__xludf.DUMMYFUNCTION("""COMPUTED_VALUE"""),"1 USD = 171.3279 PKR")</f>
        <v>1 USD = 171.3279 PKR</v>
      </c>
      <c r="H798" s="9" t="str">
        <f ca="1">IFERROR(__xludf.DUMMYFUNCTION("""COMPUTED_VALUE"""),"USD PKR rate for 09/11/2021")</f>
        <v>USD PKR rate for 09/11/2021</v>
      </c>
      <c r="I798" s="9"/>
    </row>
    <row r="799" spans="1:9" ht="14.25" customHeight="1" x14ac:dyDescent="0.3">
      <c r="A799" s="6">
        <v>40516</v>
      </c>
      <c r="B799" s="7">
        <v>85.748199999999997</v>
      </c>
      <c r="C799" s="8">
        <f t="shared" si="7"/>
        <v>91.093208699163085</v>
      </c>
      <c r="D799" s="9">
        <f t="shared" si="6"/>
        <v>63.922920150558895</v>
      </c>
      <c r="E799" s="9"/>
      <c r="F799" s="9">
        <f ca="1">IFERROR(__xludf.DUMMYFUNCTION("""COMPUTED_VALUE"""),44508)</f>
        <v>44508</v>
      </c>
      <c r="G799" s="9" t="str">
        <f ca="1">IFERROR(__xludf.DUMMYFUNCTION("""COMPUTED_VALUE"""),"1 USD = 170.348 PKR")</f>
        <v>1 USD = 170.348 PKR</v>
      </c>
      <c r="H799" s="9" t="str">
        <f ca="1">IFERROR(__xludf.DUMMYFUNCTION("""COMPUTED_VALUE"""),"USD PKR rate for 08/11/2021")</f>
        <v>USD PKR rate for 08/11/2021</v>
      </c>
      <c r="I799" s="9"/>
    </row>
    <row r="800" spans="1:9" ht="14.25" customHeight="1" x14ac:dyDescent="0.3">
      <c r="A800" s="6">
        <v>40517</v>
      </c>
      <c r="B800" s="7">
        <v>85.787899999999993</v>
      </c>
      <c r="C800" s="8">
        <f t="shared" si="7"/>
        <v>91.109500698437941</v>
      </c>
      <c r="D800" s="9">
        <f t="shared" si="6"/>
        <v>63.92565798335616</v>
      </c>
      <c r="E800" s="9"/>
      <c r="F800" s="9">
        <f ca="1">IFERROR(__xludf.DUMMYFUNCTION("""COMPUTED_VALUE"""),44507)</f>
        <v>44507</v>
      </c>
      <c r="G800" s="9" t="str">
        <f ca="1">IFERROR(__xludf.DUMMYFUNCTION("""COMPUTED_VALUE"""),"1 USD = 170.0514 PKR")</f>
        <v>1 USD = 170.0514 PKR</v>
      </c>
      <c r="H800" s="9" t="str">
        <f ca="1">IFERROR(__xludf.DUMMYFUNCTION("""COMPUTED_VALUE"""),"USD PKR rate for 07/11/2021")</f>
        <v>USD PKR rate for 07/11/2021</v>
      </c>
      <c r="I800" s="9"/>
    </row>
    <row r="801" spans="1:9" ht="14.25" customHeight="1" x14ac:dyDescent="0.3">
      <c r="A801" s="6">
        <v>40518</v>
      </c>
      <c r="B801" s="7">
        <v>85.821200000000019</v>
      </c>
      <c r="C801" s="8">
        <f t="shared" si="7"/>
        <v>91.125795611533078</v>
      </c>
      <c r="D801" s="9">
        <f t="shared" si="6"/>
        <v>63.928395816153426</v>
      </c>
      <c r="E801" s="9"/>
      <c r="F801" s="9">
        <f ca="1">IFERROR(__xludf.DUMMYFUNCTION("""COMPUTED_VALUE"""),44506)</f>
        <v>44506</v>
      </c>
      <c r="G801" s="9" t="str">
        <f ca="1">IFERROR(__xludf.DUMMYFUNCTION("""COMPUTED_VALUE"""),"1 USD = 170.1499 PKR")</f>
        <v>1 USD = 170.1499 PKR</v>
      </c>
      <c r="H801" s="9" t="str">
        <f ca="1">IFERROR(__xludf.DUMMYFUNCTION("""COMPUTED_VALUE"""),"USD PKR rate for 06/11/2021")</f>
        <v>USD PKR rate for 06/11/2021</v>
      </c>
      <c r="I801" s="9"/>
    </row>
    <row r="802" spans="1:9" ht="14.25" customHeight="1" x14ac:dyDescent="0.3">
      <c r="A802" s="6">
        <v>40519</v>
      </c>
      <c r="B802" s="7">
        <v>85.827299999999994</v>
      </c>
      <c r="C802" s="8">
        <f t="shared" si="7"/>
        <v>91.142093438969582</v>
      </c>
      <c r="D802" s="9">
        <f t="shared" si="6"/>
        <v>63.931133648950691</v>
      </c>
      <c r="E802" s="9"/>
      <c r="F802" s="9">
        <f ca="1">IFERROR(__xludf.DUMMYFUNCTION("""COMPUTED_VALUE"""),44505)</f>
        <v>44505</v>
      </c>
      <c r="G802" s="9" t="str">
        <f ca="1">IFERROR(__xludf.DUMMYFUNCTION("""COMPUTED_VALUE"""),"1 USD = 170.1499 PKR")</f>
        <v>1 USD = 170.1499 PKR</v>
      </c>
      <c r="H802" s="9" t="str">
        <f ca="1">IFERROR(__xludf.DUMMYFUNCTION("""COMPUTED_VALUE"""),"USD PKR rate for 05/11/2021")</f>
        <v>USD PKR rate for 05/11/2021</v>
      </c>
      <c r="I802" s="9"/>
    </row>
    <row r="803" spans="1:9" ht="14.25" customHeight="1" x14ac:dyDescent="0.3">
      <c r="A803" s="6">
        <v>40520</v>
      </c>
      <c r="B803" s="7">
        <v>85.845600000000005</v>
      </c>
      <c r="C803" s="8">
        <f t="shared" si="7"/>
        <v>91.158394181268818</v>
      </c>
      <c r="D803" s="9">
        <f t="shared" si="6"/>
        <v>63.933871481747957</v>
      </c>
      <c r="E803" s="9"/>
      <c r="F803" s="9">
        <f ca="1">IFERROR(__xludf.DUMMYFUNCTION("""COMPUTED_VALUE"""),44504)</f>
        <v>44504</v>
      </c>
      <c r="G803" s="9" t="str">
        <f ca="1">IFERROR(__xludf.DUMMYFUNCTION("""COMPUTED_VALUE"""),"1 USD = 170.0352 PKR")</f>
        <v>1 USD = 170.0352 PKR</v>
      </c>
      <c r="H803" s="9" t="str">
        <f ca="1">IFERROR(__xludf.DUMMYFUNCTION("""COMPUTED_VALUE"""),"USD PKR rate for 04/11/2021")</f>
        <v>USD PKR rate for 04/11/2021</v>
      </c>
      <c r="I803" s="9"/>
    </row>
    <row r="804" spans="1:9" ht="14.25" customHeight="1" x14ac:dyDescent="0.3">
      <c r="A804" s="6">
        <v>40521</v>
      </c>
      <c r="B804" s="7">
        <v>85.7453</v>
      </c>
      <c r="C804" s="8">
        <f t="shared" si="7"/>
        <v>91.174697838952042</v>
      </c>
      <c r="D804" s="9">
        <f t="shared" si="6"/>
        <v>63.936609314545223</v>
      </c>
      <c r="E804" s="9"/>
      <c r="F804" s="9">
        <f ca="1">IFERROR(__xludf.DUMMYFUNCTION("""COMPUTED_VALUE"""),44503)</f>
        <v>44503</v>
      </c>
      <c r="G804" s="9" t="str">
        <f ca="1">IFERROR(__xludf.DUMMYFUNCTION("""COMPUTED_VALUE"""),"1 USD = 169.5337 PKR")</f>
        <v>1 USD = 169.5337 PKR</v>
      </c>
      <c r="H804" s="9" t="str">
        <f ca="1">IFERROR(__xludf.DUMMYFUNCTION("""COMPUTED_VALUE"""),"USD PKR rate for 03/11/2021")</f>
        <v>USD PKR rate for 03/11/2021</v>
      </c>
      <c r="I804" s="9"/>
    </row>
    <row r="805" spans="1:9" ht="14.25" customHeight="1" x14ac:dyDescent="0.3">
      <c r="A805" s="6">
        <v>40522</v>
      </c>
      <c r="B805" s="7">
        <v>85.839500000000001</v>
      </c>
      <c r="C805" s="8">
        <f t="shared" si="7"/>
        <v>91.191004412540664</v>
      </c>
      <c r="D805" s="9">
        <f t="shared" si="6"/>
        <v>63.939347147342488</v>
      </c>
      <c r="E805" s="9"/>
      <c r="F805" s="9">
        <f ca="1">IFERROR(__xludf.DUMMYFUNCTION("""COMPUTED_VALUE"""),44502)</f>
        <v>44502</v>
      </c>
      <c r="G805" s="9" t="str">
        <f ca="1">IFERROR(__xludf.DUMMYFUNCTION("""COMPUTED_VALUE"""),"1 USD = 170.4675 PKR")</f>
        <v>1 USD = 170.4675 PKR</v>
      </c>
      <c r="H805" s="9" t="str">
        <f ca="1">IFERROR(__xludf.DUMMYFUNCTION("""COMPUTED_VALUE"""),"USD PKR rate for 02/11/2021")</f>
        <v>USD PKR rate for 02/11/2021</v>
      </c>
      <c r="I805" s="9"/>
    </row>
    <row r="806" spans="1:9" ht="14.25" customHeight="1" x14ac:dyDescent="0.3">
      <c r="A806" s="6">
        <v>40523</v>
      </c>
      <c r="B806" s="7">
        <v>85.9589</v>
      </c>
      <c r="C806" s="8">
        <f t="shared" si="7"/>
        <v>91.207313902556194</v>
      </c>
      <c r="D806" s="9">
        <f t="shared" si="6"/>
        <v>63.942084980139754</v>
      </c>
      <c r="E806" s="9"/>
      <c r="F806" s="9">
        <f ca="1">IFERROR(__xludf.DUMMYFUNCTION("""COMPUTED_VALUE"""),44501)</f>
        <v>44501</v>
      </c>
      <c r="G806" s="9" t="str">
        <f ca="1">IFERROR(__xludf.DUMMYFUNCTION("""COMPUTED_VALUE"""),"1 USD = 171.7518 PKR")</f>
        <v>1 USD = 171.7518 PKR</v>
      </c>
      <c r="H806" s="9" t="str">
        <f ca="1">IFERROR(__xludf.DUMMYFUNCTION("""COMPUTED_VALUE"""),"USD PKR rate for 01/11/2021")</f>
        <v>USD PKR rate for 01/11/2021</v>
      </c>
      <c r="I806" s="9"/>
    </row>
    <row r="807" spans="1:9" ht="14.25" customHeight="1" x14ac:dyDescent="0.3">
      <c r="A807" s="6">
        <v>40524</v>
      </c>
      <c r="B807" s="7">
        <v>85.955800000000011</v>
      </c>
      <c r="C807" s="8">
        <f t="shared" si="7"/>
        <v>91.223626309520228</v>
      </c>
      <c r="D807" s="9">
        <f t="shared" si="6"/>
        <v>63.944822812937019</v>
      </c>
      <c r="E807" s="9"/>
      <c r="F807" s="9">
        <f ca="1">IFERROR(__xludf.DUMMYFUNCTION("""COMPUTED_VALUE"""),44500)</f>
        <v>44500</v>
      </c>
      <c r="G807" s="9" t="str">
        <f ca="1">IFERROR(__xludf.DUMMYFUNCTION("""COMPUTED_VALUE"""),"1 USD = 171.4745 PKR")</f>
        <v>1 USD = 171.4745 PKR</v>
      </c>
      <c r="H807" s="9" t="str">
        <f ca="1">IFERROR(__xludf.DUMMYFUNCTION("""COMPUTED_VALUE"""),"USD PKR rate for 31/10/2021")</f>
        <v>USD PKR rate for 31/10/2021</v>
      </c>
      <c r="I807" s="9"/>
    </row>
    <row r="808" spans="1:9" ht="14.25" customHeight="1" x14ac:dyDescent="0.3">
      <c r="A808" s="6">
        <v>40525</v>
      </c>
      <c r="B808" s="7">
        <v>85.915599999999998</v>
      </c>
      <c r="C808" s="8">
        <f t="shared" si="7"/>
        <v>91.239941633954501</v>
      </c>
      <c r="D808" s="9">
        <f t="shared" si="6"/>
        <v>63.947560645734285</v>
      </c>
      <c r="E808" s="9"/>
      <c r="F808" s="9">
        <f ca="1">IFERROR(__xludf.DUMMYFUNCTION("""COMPUTED_VALUE"""),44499)</f>
        <v>44499</v>
      </c>
      <c r="G808" s="9" t="str">
        <f ca="1">IFERROR(__xludf.DUMMYFUNCTION("""COMPUTED_VALUE"""),"1 USD = 172.15 PKR")</f>
        <v>1 USD = 172.15 PKR</v>
      </c>
      <c r="H808" s="9" t="str">
        <f ca="1">IFERROR(__xludf.DUMMYFUNCTION("""COMPUTED_VALUE"""),"USD PKR rate for 30/10/2021")</f>
        <v>USD PKR rate for 30/10/2021</v>
      </c>
      <c r="I808" s="9"/>
    </row>
    <row r="809" spans="1:9" ht="14.25" customHeight="1" x14ac:dyDescent="0.3">
      <c r="A809" s="6">
        <v>40526</v>
      </c>
      <c r="B809" s="7">
        <v>85.778800000000004</v>
      </c>
      <c r="C809" s="8">
        <f t="shared" si="7"/>
        <v>91.256259876380739</v>
      </c>
      <c r="D809" s="9">
        <f t="shared" si="6"/>
        <v>63.95029847853155</v>
      </c>
      <c r="E809" s="9"/>
      <c r="F809" s="9">
        <f ca="1">IFERROR(__xludf.DUMMYFUNCTION("""COMPUTED_VALUE"""),44498)</f>
        <v>44498</v>
      </c>
      <c r="G809" s="9" t="str">
        <f ca="1">IFERROR(__xludf.DUMMYFUNCTION("""COMPUTED_VALUE"""),"1 USD = 172.15 PKR")</f>
        <v>1 USD = 172.15 PKR</v>
      </c>
      <c r="H809" s="9" t="str">
        <f ca="1">IFERROR(__xludf.DUMMYFUNCTION("""COMPUTED_VALUE"""),"USD PKR rate for 29/10/2021")</f>
        <v>USD PKR rate for 29/10/2021</v>
      </c>
      <c r="I809" s="9"/>
    </row>
    <row r="810" spans="1:9" ht="14.25" customHeight="1" x14ac:dyDescent="0.3">
      <c r="A810" s="6">
        <v>40527</v>
      </c>
      <c r="B810" s="7">
        <v>85.928899999999999</v>
      </c>
      <c r="C810" s="8">
        <f t="shared" si="7"/>
        <v>91.272581037320862</v>
      </c>
      <c r="D810" s="9">
        <f t="shared" si="6"/>
        <v>63.953036311328816</v>
      </c>
      <c r="E810" s="9"/>
      <c r="F810" s="9">
        <f ca="1">IFERROR(__xludf.DUMMYFUNCTION("""COMPUTED_VALUE"""),44497)</f>
        <v>44497</v>
      </c>
      <c r="G810" s="9" t="str">
        <f ca="1">IFERROR(__xludf.DUMMYFUNCTION("""COMPUTED_VALUE"""),"1 USD = 172.098 PKR")</f>
        <v>1 USD = 172.098 PKR</v>
      </c>
      <c r="H810" s="9" t="str">
        <f ca="1">IFERROR(__xludf.DUMMYFUNCTION("""COMPUTED_VALUE"""),"USD PKR rate for 28/10/2021")</f>
        <v>USD PKR rate for 28/10/2021</v>
      </c>
      <c r="I810" s="9"/>
    </row>
    <row r="811" spans="1:9" ht="14.25" customHeight="1" x14ac:dyDescent="0.3">
      <c r="A811" s="6">
        <v>40528</v>
      </c>
      <c r="B811" s="7">
        <v>85.910499999999999</v>
      </c>
      <c r="C811" s="8">
        <f t="shared" si="7"/>
        <v>91.288905117296835</v>
      </c>
      <c r="D811" s="9">
        <f t="shared" si="6"/>
        <v>63.955774144126089</v>
      </c>
      <c r="E811" s="9"/>
      <c r="F811" s="9">
        <f ca="1">IFERROR(__xludf.DUMMYFUNCTION("""COMPUTED_VALUE"""),44496)</f>
        <v>44496</v>
      </c>
      <c r="G811" s="9" t="str">
        <f ca="1">IFERROR(__xludf.DUMMYFUNCTION("""COMPUTED_VALUE"""),"1 USD = 174.1244 PKR")</f>
        <v>1 USD = 174.1244 PKR</v>
      </c>
      <c r="H811" s="9" t="str">
        <f ca="1">IFERROR(__xludf.DUMMYFUNCTION("""COMPUTED_VALUE"""),"USD PKR rate for 27/10/2021")</f>
        <v>USD PKR rate for 27/10/2021</v>
      </c>
      <c r="I811" s="9"/>
    </row>
    <row r="812" spans="1:9" ht="14.25" customHeight="1" x14ac:dyDescent="0.3">
      <c r="A812" s="6">
        <v>40529</v>
      </c>
      <c r="B812" s="7">
        <v>85.732500000000002</v>
      </c>
      <c r="C812" s="8">
        <f t="shared" si="7"/>
        <v>91.305232116830737</v>
      </c>
      <c r="D812" s="9">
        <f t="shared" si="6"/>
        <v>63.958511976923354</v>
      </c>
      <c r="E812" s="9"/>
      <c r="F812" s="9">
        <f ca="1">IFERROR(__xludf.DUMMYFUNCTION("""COMPUTED_VALUE"""),44495)</f>
        <v>44495</v>
      </c>
      <c r="G812" s="9" t="str">
        <f ca="1">IFERROR(__xludf.DUMMYFUNCTION("""COMPUTED_VALUE"""),"1 USD = 175.1237 PKR")</f>
        <v>1 USD = 175.1237 PKR</v>
      </c>
      <c r="H812" s="9" t="str">
        <f ca="1">IFERROR(__xludf.DUMMYFUNCTION("""COMPUTED_VALUE"""),"USD PKR rate for 26/10/2021")</f>
        <v>USD PKR rate for 26/10/2021</v>
      </c>
      <c r="I812" s="9"/>
    </row>
    <row r="813" spans="1:9" ht="14.25" customHeight="1" x14ac:dyDescent="0.3">
      <c r="A813" s="6">
        <v>40530</v>
      </c>
      <c r="B813" s="7">
        <v>86.238699999999994</v>
      </c>
      <c r="C813" s="8">
        <f t="shared" si="7"/>
        <v>91.321562036444718</v>
      </c>
      <c r="D813" s="9">
        <f t="shared" si="6"/>
        <v>63.96124980972062</v>
      </c>
      <c r="E813" s="9"/>
      <c r="F813" s="9">
        <f ca="1">IFERROR(__xludf.DUMMYFUNCTION("""COMPUTED_VALUE"""),44494)</f>
        <v>44494</v>
      </c>
      <c r="G813" s="9" t="str">
        <f ca="1">IFERROR(__xludf.DUMMYFUNCTION("""COMPUTED_VALUE"""),"1 USD = 174.4999 PKR")</f>
        <v>1 USD = 174.4999 PKR</v>
      </c>
      <c r="H813" s="9" t="str">
        <f ca="1">IFERROR(__xludf.DUMMYFUNCTION("""COMPUTED_VALUE"""),"USD PKR rate for 25/10/2021")</f>
        <v>USD PKR rate for 25/10/2021</v>
      </c>
      <c r="I813" s="9"/>
    </row>
    <row r="814" spans="1:9" ht="14.25" customHeight="1" x14ac:dyDescent="0.3">
      <c r="A814" s="6">
        <v>40531</v>
      </c>
      <c r="B814" s="7">
        <v>86.355500000000006</v>
      </c>
      <c r="C814" s="8">
        <f t="shared" si="7"/>
        <v>91.337894876661039</v>
      </c>
      <c r="D814" s="9">
        <f t="shared" si="6"/>
        <v>63.963987642517885</v>
      </c>
      <c r="E814" s="9"/>
      <c r="F814" s="9">
        <f ca="1">IFERROR(__xludf.DUMMYFUNCTION("""COMPUTED_VALUE"""),44493)</f>
        <v>44493</v>
      </c>
      <c r="G814" s="9" t="str">
        <f ca="1">IFERROR(__xludf.DUMMYFUNCTION("""COMPUTED_VALUE"""),"1 USD = 174.356 PKR")</f>
        <v>1 USD = 174.356 PKR</v>
      </c>
      <c r="H814" s="9" t="str">
        <f ca="1">IFERROR(__xludf.DUMMYFUNCTION("""COMPUTED_VALUE"""),"USD PKR rate for 24/10/2021")</f>
        <v>USD PKR rate for 24/10/2021</v>
      </c>
      <c r="I814" s="9"/>
    </row>
    <row r="815" spans="1:9" ht="14.25" customHeight="1" x14ac:dyDescent="0.3">
      <c r="A815" s="6">
        <v>40532</v>
      </c>
      <c r="B815" s="7">
        <v>85.641099999999994</v>
      </c>
      <c r="C815" s="8">
        <f t="shared" si="7"/>
        <v>91.354230638002065</v>
      </c>
      <c r="D815" s="9">
        <f t="shared" si="6"/>
        <v>63.966725475315151</v>
      </c>
      <c r="E815" s="9"/>
      <c r="F815" s="9">
        <f ca="1">IFERROR(__xludf.DUMMYFUNCTION("""COMPUTED_VALUE"""),44492)</f>
        <v>44492</v>
      </c>
      <c r="G815" s="9" t="str">
        <f ca="1">IFERROR(__xludf.DUMMYFUNCTION("""COMPUTED_VALUE"""),"1 USD = 174.3517 PKR")</f>
        <v>1 USD = 174.3517 PKR</v>
      </c>
      <c r="H815" s="9" t="str">
        <f ca="1">IFERROR(__xludf.DUMMYFUNCTION("""COMPUTED_VALUE"""),"USD PKR rate for 23/10/2021")</f>
        <v>USD PKR rate for 23/10/2021</v>
      </c>
      <c r="I815" s="9"/>
    </row>
    <row r="816" spans="1:9" ht="14.25" customHeight="1" x14ac:dyDescent="0.3">
      <c r="A816" s="6">
        <v>40533</v>
      </c>
      <c r="B816" s="7">
        <v>85.79</v>
      </c>
      <c r="C816" s="8">
        <f t="shared" si="7"/>
        <v>91.370569320990128</v>
      </c>
      <c r="D816" s="9">
        <f t="shared" si="6"/>
        <v>63.969463308112417</v>
      </c>
      <c r="E816" s="9"/>
      <c r="F816" s="9">
        <f ca="1">IFERROR(__xludf.DUMMYFUNCTION("""COMPUTED_VALUE"""),44491)</f>
        <v>44491</v>
      </c>
      <c r="G816" s="9" t="str">
        <f ca="1">IFERROR(__xludf.DUMMYFUNCTION("""COMPUTED_VALUE"""),"1 USD = 174.4504 PKR")</f>
        <v>1 USD = 174.4504 PKR</v>
      </c>
      <c r="H816" s="9" t="str">
        <f ca="1">IFERROR(__xludf.DUMMYFUNCTION("""COMPUTED_VALUE"""),"USD PKR rate for 22/10/2021")</f>
        <v>USD PKR rate for 22/10/2021</v>
      </c>
      <c r="I816" s="9"/>
    </row>
    <row r="817" spans="1:9" ht="14.25" customHeight="1" x14ac:dyDescent="0.3">
      <c r="A817" s="6">
        <v>40534</v>
      </c>
      <c r="B817" s="7">
        <v>85.683000000000007</v>
      </c>
      <c r="C817" s="8">
        <f t="shared" si="7"/>
        <v>91.386910926147948</v>
      </c>
      <c r="D817" s="9">
        <f t="shared" si="6"/>
        <v>63.972201140909682</v>
      </c>
      <c r="E817" s="9"/>
      <c r="F817" s="9">
        <f ca="1">IFERROR(__xludf.DUMMYFUNCTION("""COMPUTED_VALUE"""),44490)</f>
        <v>44490</v>
      </c>
      <c r="G817" s="9" t="str">
        <f ca="1">IFERROR(__xludf.DUMMYFUNCTION("""COMPUTED_VALUE"""),"1 USD = 173.2374 PKR")</f>
        <v>1 USD = 173.2374 PKR</v>
      </c>
      <c r="H817" s="9" t="str">
        <f ca="1">IFERROR(__xludf.DUMMYFUNCTION("""COMPUTED_VALUE"""),"USD PKR rate for 21/10/2021")</f>
        <v>USD PKR rate for 21/10/2021</v>
      </c>
      <c r="I817" s="9"/>
    </row>
    <row r="818" spans="1:9" ht="14.25" customHeight="1" x14ac:dyDescent="0.3">
      <c r="A818" s="6">
        <v>40535</v>
      </c>
      <c r="B818" s="7">
        <v>85.624600000000001</v>
      </c>
      <c r="C818" s="8">
        <f t="shared" si="7"/>
        <v>91.403255453998057</v>
      </c>
      <c r="D818" s="9">
        <f t="shared" si="6"/>
        <v>63.974938973706948</v>
      </c>
      <c r="E818" s="9"/>
      <c r="F818" s="9">
        <f ca="1">IFERROR(__xludf.DUMMYFUNCTION("""COMPUTED_VALUE"""),44489)</f>
        <v>44489</v>
      </c>
      <c r="G818" s="9" t="str">
        <f ca="1">IFERROR(__xludf.DUMMYFUNCTION("""COMPUTED_VALUE"""),"1 USD = 173.4094 PKR")</f>
        <v>1 USD = 173.4094 PKR</v>
      </c>
      <c r="H818" s="9" t="str">
        <f ca="1">IFERROR(__xludf.DUMMYFUNCTION("""COMPUTED_VALUE"""),"USD PKR rate for 20/10/2021")</f>
        <v>USD PKR rate for 20/10/2021</v>
      </c>
      <c r="I818" s="9"/>
    </row>
    <row r="819" spans="1:9" ht="14.25" customHeight="1" x14ac:dyDescent="0.3">
      <c r="A819" s="6">
        <v>40536</v>
      </c>
      <c r="B819" s="7">
        <v>85.613900000000001</v>
      </c>
      <c r="C819" s="8">
        <f t="shared" si="7"/>
        <v>91.419602905063186</v>
      </c>
      <c r="D819" s="9">
        <f t="shared" si="6"/>
        <v>63.977676806504213</v>
      </c>
      <c r="E819" s="9"/>
      <c r="F819" s="9">
        <f ca="1">IFERROR(__xludf.DUMMYFUNCTION("""COMPUTED_VALUE"""),44488)</f>
        <v>44488</v>
      </c>
      <c r="G819" s="9" t="str">
        <f ca="1">IFERROR(__xludf.DUMMYFUNCTION("""COMPUTED_VALUE"""),"1 USD = 172.5682 PKR")</f>
        <v>1 USD = 172.5682 PKR</v>
      </c>
      <c r="H819" s="9" t="str">
        <f ca="1">IFERROR(__xludf.DUMMYFUNCTION("""COMPUTED_VALUE"""),"USD PKR rate for 19/10/2021")</f>
        <v>USD PKR rate for 19/10/2021</v>
      </c>
      <c r="I819" s="9"/>
    </row>
    <row r="820" spans="1:9" ht="14.25" customHeight="1" x14ac:dyDescent="0.3">
      <c r="A820" s="6">
        <v>40537</v>
      </c>
      <c r="B820" s="7">
        <v>85.642899999999997</v>
      </c>
      <c r="C820" s="8">
        <f t="shared" si="7"/>
        <v>91.435953279866155</v>
      </c>
      <c r="D820" s="9">
        <f t="shared" si="6"/>
        <v>63.980414639301479</v>
      </c>
      <c r="E820" s="9"/>
      <c r="F820" s="9">
        <f ca="1">IFERROR(__xludf.DUMMYFUNCTION("""COMPUTED_VALUE"""),44487)</f>
        <v>44487</v>
      </c>
      <c r="G820" s="9" t="str">
        <f ca="1">IFERROR(__xludf.DUMMYFUNCTION("""COMPUTED_VALUE"""),"1 USD = 171.9524 PKR")</f>
        <v>1 USD = 171.9524 PKR</v>
      </c>
      <c r="H820" s="9" t="str">
        <f ca="1">IFERROR(__xludf.DUMMYFUNCTION("""COMPUTED_VALUE"""),"USD PKR rate for 18/10/2021")</f>
        <v>USD PKR rate for 18/10/2021</v>
      </c>
      <c r="I820" s="9"/>
    </row>
    <row r="821" spans="1:9" ht="14.25" customHeight="1" x14ac:dyDescent="0.3">
      <c r="A821" s="6">
        <v>40538</v>
      </c>
      <c r="B821" s="7">
        <v>85.822900000000004</v>
      </c>
      <c r="C821" s="8">
        <f t="shared" si="7"/>
        <v>91.452306578929878</v>
      </c>
      <c r="D821" s="9">
        <f t="shared" si="6"/>
        <v>63.983152472098745</v>
      </c>
      <c r="E821" s="9"/>
      <c r="F821" s="9">
        <f ca="1">IFERROR(__xludf.DUMMYFUNCTION("""COMPUTED_VALUE"""),44486)</f>
        <v>44486</v>
      </c>
      <c r="G821" s="9" t="str">
        <f ca="1">IFERROR(__xludf.DUMMYFUNCTION("""COMPUTED_VALUE"""),"1 USD = 171.2808 PKR")</f>
        <v>1 USD = 171.2808 PKR</v>
      </c>
      <c r="H821" s="9" t="str">
        <f ca="1">IFERROR(__xludf.DUMMYFUNCTION("""COMPUTED_VALUE"""),"USD PKR rate for 17/10/2021")</f>
        <v>USD PKR rate for 17/10/2021</v>
      </c>
      <c r="I821" s="9"/>
    </row>
    <row r="822" spans="1:9" ht="14.25" customHeight="1" x14ac:dyDescent="0.3">
      <c r="A822" s="6">
        <v>40539</v>
      </c>
      <c r="B822" s="7">
        <v>86.187600000000003</v>
      </c>
      <c r="C822" s="8">
        <f t="shared" si="7"/>
        <v>91.468662802777317</v>
      </c>
      <c r="D822" s="9">
        <f t="shared" si="6"/>
        <v>63.98589030489601</v>
      </c>
      <c r="E822" s="9"/>
      <c r="F822" s="9">
        <f ca="1">IFERROR(__xludf.DUMMYFUNCTION("""COMPUTED_VALUE"""),44485)</f>
        <v>44485</v>
      </c>
      <c r="G822" s="9" t="str">
        <f ca="1">IFERROR(__xludf.DUMMYFUNCTION("""COMPUTED_VALUE"""),"1 USD = 171.2001 PKR")</f>
        <v>1 USD = 171.2001 PKR</v>
      </c>
      <c r="H822" s="9" t="str">
        <f ca="1">IFERROR(__xludf.DUMMYFUNCTION("""COMPUTED_VALUE"""),"USD PKR rate for 16/10/2021")</f>
        <v>USD PKR rate for 16/10/2021</v>
      </c>
      <c r="I822" s="9"/>
    </row>
    <row r="823" spans="1:9" ht="14.25" customHeight="1" x14ac:dyDescent="0.3">
      <c r="A823" s="6">
        <v>40540</v>
      </c>
      <c r="B823" s="7">
        <v>85.788100000000014</v>
      </c>
      <c r="C823" s="8">
        <f t="shared" si="7"/>
        <v>91.485021951931628</v>
      </c>
      <c r="D823" s="9">
        <f t="shared" si="6"/>
        <v>63.988628137693276</v>
      </c>
      <c r="E823" s="9"/>
      <c r="F823" s="9">
        <f ca="1">IFERROR(__xludf.DUMMYFUNCTION("""COMPUTED_VALUE"""),44484)</f>
        <v>44484</v>
      </c>
      <c r="G823" s="9" t="str">
        <f ca="1">IFERROR(__xludf.DUMMYFUNCTION("""COMPUTED_VALUE"""),"1 USD = 171.2038 PKR")</f>
        <v>1 USD = 171.2038 PKR</v>
      </c>
      <c r="H823" s="9" t="str">
        <f ca="1">IFERROR(__xludf.DUMMYFUNCTION("""COMPUTED_VALUE"""),"USD PKR rate for 15/10/2021")</f>
        <v>USD PKR rate for 15/10/2021</v>
      </c>
      <c r="I823" s="9"/>
    </row>
    <row r="824" spans="1:9" ht="14.25" customHeight="1" x14ac:dyDescent="0.3">
      <c r="A824" s="6">
        <v>40541</v>
      </c>
      <c r="B824" s="7">
        <v>85.962199999999996</v>
      </c>
      <c r="C824" s="8">
        <f t="shared" si="7"/>
        <v>91.501384026915986</v>
      </c>
      <c r="D824" s="9">
        <f t="shared" si="6"/>
        <v>63.991365970490541</v>
      </c>
      <c r="E824" s="9"/>
      <c r="F824" s="9">
        <f ca="1">IFERROR(__xludf.DUMMYFUNCTION("""COMPUTED_VALUE"""),44483)</f>
        <v>44483</v>
      </c>
      <c r="G824" s="9" t="str">
        <f ca="1">IFERROR(__xludf.DUMMYFUNCTION("""COMPUTED_VALUE"""),"1 USD = 170.526 PKR")</f>
        <v>1 USD = 170.526 PKR</v>
      </c>
      <c r="H824" s="9" t="str">
        <f ca="1">IFERROR(__xludf.DUMMYFUNCTION("""COMPUTED_VALUE"""),"USD PKR rate for 14/10/2021")</f>
        <v>USD PKR rate for 14/10/2021</v>
      </c>
      <c r="I824" s="9"/>
    </row>
    <row r="825" spans="1:9" ht="14.25" customHeight="1" x14ac:dyDescent="0.3">
      <c r="A825" s="6">
        <v>40542</v>
      </c>
      <c r="B825" s="7">
        <v>85.455500000000001</v>
      </c>
      <c r="C825" s="8">
        <f t="shared" si="7"/>
        <v>91.517749028253576</v>
      </c>
      <c r="D825" s="9">
        <f t="shared" si="6"/>
        <v>63.994103803287807</v>
      </c>
      <c r="E825" s="9"/>
      <c r="F825" s="9">
        <f ca="1">IFERROR(__xludf.DUMMYFUNCTION("""COMPUTED_VALUE"""),44482)</f>
        <v>44482</v>
      </c>
      <c r="G825" s="9" t="str">
        <f ca="1">IFERROR(__xludf.DUMMYFUNCTION("""COMPUTED_VALUE"""),"1 USD = 170.9832 PKR")</f>
        <v>1 USD = 170.9832 PKR</v>
      </c>
      <c r="H825" s="9" t="str">
        <f ca="1">IFERROR(__xludf.DUMMYFUNCTION("""COMPUTED_VALUE"""),"USD PKR rate for 13/10/2021")</f>
        <v>USD PKR rate for 13/10/2021</v>
      </c>
      <c r="I825" s="9"/>
    </row>
    <row r="826" spans="1:9" ht="14.25" customHeight="1" x14ac:dyDescent="0.3">
      <c r="A826" s="6">
        <v>40543</v>
      </c>
      <c r="B826" s="7">
        <v>85.857100000000003</v>
      </c>
      <c r="C826" s="8">
        <f t="shared" si="7"/>
        <v>91.53411695646794</v>
      </c>
      <c r="D826" s="9">
        <f t="shared" si="6"/>
        <v>63.996841636085072</v>
      </c>
      <c r="E826" s="9"/>
      <c r="F826" s="9">
        <f ca="1">IFERROR(__xludf.DUMMYFUNCTION("""COMPUTED_VALUE"""),44481)</f>
        <v>44481</v>
      </c>
      <c r="G826" s="9" t="str">
        <f ca="1">IFERROR(__xludf.DUMMYFUNCTION("""COMPUTED_VALUE"""),"1 USD = 171.1986 PKR")</f>
        <v>1 USD = 171.1986 PKR</v>
      </c>
      <c r="H826" s="9" t="str">
        <f ca="1">IFERROR(__xludf.DUMMYFUNCTION("""COMPUTED_VALUE"""),"USD PKR rate for 12/10/2021")</f>
        <v>USD PKR rate for 12/10/2021</v>
      </c>
      <c r="I826" s="9"/>
    </row>
    <row r="827" spans="1:9" ht="14.25" customHeight="1" x14ac:dyDescent="0.3">
      <c r="A827" s="6">
        <v>40544</v>
      </c>
      <c r="B827" s="7">
        <v>85.886600000000001</v>
      </c>
      <c r="C827" s="8">
        <f t="shared" si="7"/>
        <v>91.550487812082466</v>
      </c>
      <c r="D827" s="9">
        <f t="shared" si="6"/>
        <v>63.999579468882338</v>
      </c>
      <c r="E827" s="9"/>
      <c r="F827" s="9">
        <f ca="1">IFERROR(__xludf.DUMMYFUNCTION("""COMPUTED_VALUE"""),44480)</f>
        <v>44480</v>
      </c>
      <c r="G827" s="9" t="str">
        <f ca="1">IFERROR(__xludf.DUMMYFUNCTION("""COMPUTED_VALUE"""),"1 USD = 171.1301 PKR")</f>
        <v>1 USD = 171.1301 PKR</v>
      </c>
      <c r="H827" s="9" t="str">
        <f ca="1">IFERROR(__xludf.DUMMYFUNCTION("""COMPUTED_VALUE"""),"USD PKR rate for 11/10/2021")</f>
        <v>USD PKR rate for 11/10/2021</v>
      </c>
      <c r="I827" s="9"/>
    </row>
    <row r="828" spans="1:9" ht="14.25" customHeight="1" x14ac:dyDescent="0.3">
      <c r="A828" s="6">
        <v>40545</v>
      </c>
      <c r="B828" s="7">
        <v>85.886600000000001</v>
      </c>
      <c r="C828" s="8">
        <f t="shared" si="7"/>
        <v>91.566861595620736</v>
      </c>
      <c r="D828" s="9">
        <f t="shared" si="6"/>
        <v>64.002317301679597</v>
      </c>
      <c r="E828" s="9"/>
      <c r="F828" s="9">
        <f ca="1">IFERROR(__xludf.DUMMYFUNCTION("""COMPUTED_VALUE"""),44479)</f>
        <v>44479</v>
      </c>
      <c r="G828" s="9" t="str">
        <f ca="1">IFERROR(__xludf.DUMMYFUNCTION("""COMPUTED_VALUE"""),"1 USD = 170.8098 PKR")</f>
        <v>1 USD = 170.8098 PKR</v>
      </c>
      <c r="H828" s="9" t="str">
        <f ca="1">IFERROR(__xludf.DUMMYFUNCTION("""COMPUTED_VALUE"""),"USD PKR rate for 10/10/2021")</f>
        <v>USD PKR rate for 10/10/2021</v>
      </c>
      <c r="I828" s="9"/>
    </row>
    <row r="829" spans="1:9" ht="14.25" customHeight="1" x14ac:dyDescent="0.3">
      <c r="A829" s="6">
        <v>40546</v>
      </c>
      <c r="B829" s="7">
        <v>86.036199999999994</v>
      </c>
      <c r="C829" s="8">
        <f t="shared" si="7"/>
        <v>91.583238307606408</v>
      </c>
      <c r="D829" s="9">
        <f t="shared" si="6"/>
        <v>64.005055134476862</v>
      </c>
      <c r="E829" s="9"/>
      <c r="F829" s="9">
        <f ca="1">IFERROR(__xludf.DUMMYFUNCTION("""COMPUTED_VALUE"""),44478)</f>
        <v>44478</v>
      </c>
      <c r="G829" s="9" t="str">
        <f ca="1">IFERROR(__xludf.DUMMYFUNCTION("""COMPUTED_VALUE"""),"1 USD = 170.8133 PKR")</f>
        <v>1 USD = 170.8133 PKR</v>
      </c>
      <c r="H829" s="9" t="str">
        <f ca="1">IFERROR(__xludf.DUMMYFUNCTION("""COMPUTED_VALUE"""),"USD PKR rate for 09/10/2021")</f>
        <v>USD PKR rate for 09/10/2021</v>
      </c>
      <c r="I829" s="9"/>
    </row>
    <row r="830" spans="1:9" ht="14.25" customHeight="1" x14ac:dyDescent="0.3">
      <c r="A830" s="6">
        <v>40547</v>
      </c>
      <c r="B830" s="7">
        <v>85.354800000000012</v>
      </c>
      <c r="C830" s="8">
        <f t="shared" si="7"/>
        <v>91.599617948563136</v>
      </c>
      <c r="D830" s="9">
        <f t="shared" si="6"/>
        <v>64.007792967274128</v>
      </c>
      <c r="E830" s="9"/>
      <c r="F830" s="9">
        <f ca="1">IFERROR(__xludf.DUMMYFUNCTION("""COMPUTED_VALUE"""),44477)</f>
        <v>44477</v>
      </c>
      <c r="G830" s="9" t="str">
        <f ca="1">IFERROR(__xludf.DUMMYFUNCTION("""COMPUTED_VALUE"""),"1 USD = 170.51 PKR")</f>
        <v>1 USD = 170.51 PKR</v>
      </c>
      <c r="H830" s="9" t="str">
        <f ca="1">IFERROR(__xludf.DUMMYFUNCTION("""COMPUTED_VALUE"""),"USD PKR rate for 08/10/2021")</f>
        <v>USD PKR rate for 08/10/2021</v>
      </c>
      <c r="I830" s="9"/>
    </row>
    <row r="831" spans="1:9" ht="14.25" customHeight="1" x14ac:dyDescent="0.3">
      <c r="A831" s="6">
        <v>40548</v>
      </c>
      <c r="B831" s="7">
        <v>85.313800000000001</v>
      </c>
      <c r="C831" s="8">
        <f t="shared" si="7"/>
        <v>91.616000519014918</v>
      </c>
      <c r="D831" s="9">
        <f t="shared" si="6"/>
        <v>64.010530800071393</v>
      </c>
      <c r="E831" s="9"/>
      <c r="F831" s="9">
        <f ca="1">IFERROR(__xludf.DUMMYFUNCTION("""COMPUTED_VALUE"""),44476)</f>
        <v>44476</v>
      </c>
      <c r="G831" s="9" t="str">
        <f ca="1">IFERROR(__xludf.DUMMYFUNCTION("""COMPUTED_VALUE"""),"1 USD = 171.0402 PKR")</f>
        <v>1 USD = 171.0402 PKR</v>
      </c>
      <c r="H831" s="9" t="str">
        <f ca="1">IFERROR(__xludf.DUMMYFUNCTION("""COMPUTED_VALUE"""),"USD PKR rate for 07/10/2021")</f>
        <v>USD PKR rate for 07/10/2021</v>
      </c>
      <c r="I831" s="9"/>
    </row>
    <row r="832" spans="1:9" ht="14.25" customHeight="1" x14ac:dyDescent="0.3">
      <c r="A832" s="6">
        <v>40549</v>
      </c>
      <c r="B832" s="7">
        <v>85.501599999999996</v>
      </c>
      <c r="C832" s="8">
        <f t="shared" si="7"/>
        <v>91.632386019485651</v>
      </c>
      <c r="D832" s="9">
        <f t="shared" si="6"/>
        <v>64.013268632868659</v>
      </c>
      <c r="E832" s="9"/>
      <c r="F832" s="9">
        <f ca="1">IFERROR(__xludf.DUMMYFUNCTION("""COMPUTED_VALUE"""),44475)</f>
        <v>44475</v>
      </c>
      <c r="G832" s="9" t="str">
        <f ca="1">IFERROR(__xludf.DUMMYFUNCTION("""COMPUTED_VALUE"""),"1 USD = 170.8512 PKR")</f>
        <v>1 USD = 170.8512 PKR</v>
      </c>
      <c r="H832" s="9" t="str">
        <f ca="1">IFERROR(__xludf.DUMMYFUNCTION("""COMPUTED_VALUE"""),"USD PKR rate for 06/10/2021")</f>
        <v>USD PKR rate for 06/10/2021</v>
      </c>
      <c r="I832" s="9"/>
    </row>
    <row r="833" spans="1:9" ht="14.25" customHeight="1" x14ac:dyDescent="0.3">
      <c r="A833" s="6">
        <v>40550</v>
      </c>
      <c r="B833" s="7">
        <v>86.088600000000014</v>
      </c>
      <c r="C833" s="8">
        <f t="shared" si="7"/>
        <v>91.648774450499346</v>
      </c>
      <c r="D833" s="9">
        <f t="shared" si="6"/>
        <v>64.016006465665924</v>
      </c>
      <c r="E833" s="9"/>
      <c r="F833" s="9">
        <f ca="1">IFERROR(__xludf.DUMMYFUNCTION("""COMPUTED_VALUE"""),44474)</f>
        <v>44474</v>
      </c>
      <c r="G833" s="9" t="str">
        <f ca="1">IFERROR(__xludf.DUMMYFUNCTION("""COMPUTED_VALUE"""),"1 USD = 170.9066 PKR")</f>
        <v>1 USD = 170.9066 PKR</v>
      </c>
      <c r="H833" s="9" t="str">
        <f ca="1">IFERROR(__xludf.DUMMYFUNCTION("""COMPUTED_VALUE"""),"USD PKR rate for 05/10/2021")</f>
        <v>USD PKR rate for 05/10/2021</v>
      </c>
      <c r="I833" s="9"/>
    </row>
    <row r="834" spans="1:9" ht="14.25" customHeight="1" x14ac:dyDescent="0.3">
      <c r="A834" s="6">
        <v>40551</v>
      </c>
      <c r="B834" s="7">
        <v>86.088600000000014</v>
      </c>
      <c r="C834" s="8">
        <f t="shared" si="7"/>
        <v>91.665165812580128</v>
      </c>
      <c r="D834" s="9">
        <f t="shared" si="6"/>
        <v>64.01874429846319</v>
      </c>
      <c r="E834" s="9"/>
      <c r="F834" s="9">
        <f ca="1">IFERROR(__xludf.DUMMYFUNCTION("""COMPUTED_VALUE"""),44473)</f>
        <v>44473</v>
      </c>
      <c r="G834" s="9" t="str">
        <f ca="1">IFERROR(__xludf.DUMMYFUNCTION("""COMPUTED_VALUE"""),"1 USD = 170.8922 PKR")</f>
        <v>1 USD = 170.8922 PKR</v>
      </c>
      <c r="H834" s="9" t="str">
        <f ca="1">IFERROR(__xludf.DUMMYFUNCTION("""COMPUTED_VALUE"""),"USD PKR rate for 04/10/2021")</f>
        <v>USD PKR rate for 04/10/2021</v>
      </c>
      <c r="I834" s="9"/>
    </row>
    <row r="835" spans="1:9" ht="14.25" customHeight="1" x14ac:dyDescent="0.3">
      <c r="A835" s="6">
        <v>40552</v>
      </c>
      <c r="B835" s="7">
        <v>86.116299999999995</v>
      </c>
      <c r="C835" s="8">
        <f t="shared" si="7"/>
        <v>91.681560106252221</v>
      </c>
      <c r="D835" s="9">
        <f t="shared" si="6"/>
        <v>64.021482131260456</v>
      </c>
      <c r="E835" s="9"/>
      <c r="F835" s="9">
        <f ca="1">IFERROR(__xludf.DUMMYFUNCTION("""COMPUTED_VALUE"""),44472)</f>
        <v>44472</v>
      </c>
      <c r="G835" s="9" t="str">
        <f ca="1">IFERROR(__xludf.DUMMYFUNCTION("""COMPUTED_VALUE"""),"1 USD = 170.6943 PKR")</f>
        <v>1 USD = 170.6943 PKR</v>
      </c>
      <c r="H835" s="9" t="str">
        <f ca="1">IFERROR(__xludf.DUMMYFUNCTION("""COMPUTED_VALUE"""),"USD PKR rate for 03/10/2021")</f>
        <v>USD PKR rate for 03/10/2021</v>
      </c>
      <c r="I835" s="9"/>
    </row>
    <row r="836" spans="1:9" ht="14.25" customHeight="1" x14ac:dyDescent="0.3">
      <c r="A836" s="6">
        <v>40553</v>
      </c>
      <c r="B836" s="7">
        <v>85.728300000000004</v>
      </c>
      <c r="C836" s="8">
        <f t="shared" si="7"/>
        <v>91.697957332039934</v>
      </c>
      <c r="D836" s="9">
        <f t="shared" si="6"/>
        <v>64.024219964057721</v>
      </c>
      <c r="E836" s="9"/>
      <c r="F836" s="9">
        <f ca="1">IFERROR(__xludf.DUMMYFUNCTION("""COMPUTED_VALUE"""),44471)</f>
        <v>44471</v>
      </c>
      <c r="G836" s="9" t="str">
        <f ca="1">IFERROR(__xludf.DUMMYFUNCTION("""COMPUTED_VALUE"""),"1 USD = 170.7499 PKR")</f>
        <v>1 USD = 170.7499 PKR</v>
      </c>
      <c r="H836" s="9" t="str">
        <f ca="1">IFERROR(__xludf.DUMMYFUNCTION("""COMPUTED_VALUE"""),"USD PKR rate for 02/10/2021")</f>
        <v>USD PKR rate for 02/10/2021</v>
      </c>
      <c r="I836" s="9"/>
    </row>
    <row r="837" spans="1:9" ht="14.25" customHeight="1" x14ac:dyDescent="0.3">
      <c r="A837" s="6">
        <v>40554</v>
      </c>
      <c r="B837" s="7">
        <v>85.643699999999995</v>
      </c>
      <c r="C837" s="8">
        <f t="shared" si="7"/>
        <v>91.714357490467677</v>
      </c>
      <c r="D837" s="9">
        <f t="shared" si="6"/>
        <v>64.026957796854987</v>
      </c>
      <c r="E837" s="9"/>
      <c r="F837" s="9">
        <f ca="1">IFERROR(__xludf.DUMMYFUNCTION("""COMPUTED_VALUE"""),44470)</f>
        <v>44470</v>
      </c>
      <c r="G837" s="9" t="str">
        <f ca="1">IFERROR(__xludf.DUMMYFUNCTION("""COMPUTED_VALUE"""),"1 USD = 170.7503 PKR")</f>
        <v>1 USD = 170.7503 PKR</v>
      </c>
      <c r="H837" s="9" t="str">
        <f ca="1">IFERROR(__xludf.DUMMYFUNCTION("""COMPUTED_VALUE"""),"USD PKR rate for 01/10/2021")</f>
        <v>USD PKR rate for 01/10/2021</v>
      </c>
      <c r="I837" s="9"/>
    </row>
    <row r="838" spans="1:9" ht="14.25" customHeight="1" x14ac:dyDescent="0.3">
      <c r="A838" s="6">
        <v>40555</v>
      </c>
      <c r="B838" s="7">
        <v>85.596800000000002</v>
      </c>
      <c r="C838" s="8">
        <f t="shared" si="7"/>
        <v>91.730760582059986</v>
      </c>
      <c r="D838" s="9">
        <f t="shared" si="6"/>
        <v>64.029695629652252</v>
      </c>
      <c r="E838" s="9"/>
      <c r="F838" s="9">
        <f ca="1">IFERROR(__xludf.DUMMYFUNCTION("""COMPUTED_VALUE"""),44469)</f>
        <v>44469</v>
      </c>
      <c r="G838" s="9" t="str">
        <f ca="1">IFERROR(__xludf.DUMMYFUNCTION("""COMPUTED_VALUE"""),"1 USD = 170.6786 PKR")</f>
        <v>1 USD = 170.6786 PKR</v>
      </c>
      <c r="H838" s="9" t="str">
        <f ca="1">IFERROR(__xludf.DUMMYFUNCTION("""COMPUTED_VALUE"""),"USD PKR rate for 30/09/2021")</f>
        <v>USD PKR rate for 30/09/2021</v>
      </c>
      <c r="I838" s="9"/>
    </row>
    <row r="839" spans="1:9" ht="14.25" customHeight="1" x14ac:dyDescent="0.3">
      <c r="A839" s="6">
        <v>40556</v>
      </c>
      <c r="B839" s="7">
        <v>86.056299999999993</v>
      </c>
      <c r="C839" s="8">
        <f t="shared" si="7"/>
        <v>91.747166607341327</v>
      </c>
      <c r="D839" s="9">
        <f t="shared" si="6"/>
        <v>64.032433462449518</v>
      </c>
      <c r="E839" s="9"/>
      <c r="F839" s="9">
        <f ca="1">IFERROR(__xludf.DUMMYFUNCTION("""COMPUTED_VALUE"""),44468)</f>
        <v>44468</v>
      </c>
      <c r="G839" s="9" t="str">
        <f ca="1">IFERROR(__xludf.DUMMYFUNCTION("""COMPUTED_VALUE"""),"1 USD = 170.4663 PKR")</f>
        <v>1 USD = 170.4663 PKR</v>
      </c>
      <c r="H839" s="9" t="str">
        <f ca="1">IFERROR(__xludf.DUMMYFUNCTION("""COMPUTED_VALUE"""),"USD PKR rate for 29/09/2021")</f>
        <v>USD PKR rate for 29/09/2021</v>
      </c>
      <c r="I839" s="9"/>
    </row>
    <row r="840" spans="1:9" ht="14.25" customHeight="1" x14ac:dyDescent="0.3">
      <c r="A840" s="6">
        <v>40557</v>
      </c>
      <c r="B840" s="7">
        <v>85.859200000000001</v>
      </c>
      <c r="C840" s="8">
        <f t="shared" si="7"/>
        <v>91.763575566836565</v>
      </c>
      <c r="D840" s="9">
        <f t="shared" si="6"/>
        <v>64.035171295246784</v>
      </c>
      <c r="E840" s="9"/>
      <c r="F840" s="9">
        <f ca="1">IFERROR(__xludf.DUMMYFUNCTION("""COMPUTED_VALUE"""),44467)</f>
        <v>44467</v>
      </c>
      <c r="G840" s="9" t="str">
        <f ca="1">IFERROR(__xludf.DUMMYFUNCTION("""COMPUTED_VALUE"""),"1 USD = 170.1956 PKR")</f>
        <v>1 USD = 170.1956 PKR</v>
      </c>
      <c r="H840" s="9" t="str">
        <f ca="1">IFERROR(__xludf.DUMMYFUNCTION("""COMPUTED_VALUE"""),"USD PKR rate for 28/09/2021")</f>
        <v>USD PKR rate for 28/09/2021</v>
      </c>
      <c r="I840" s="9"/>
    </row>
    <row r="841" spans="1:9" ht="14.25" customHeight="1" x14ac:dyDescent="0.3">
      <c r="A841" s="6">
        <v>40558</v>
      </c>
      <c r="B841" s="7">
        <v>85.852000000000004</v>
      </c>
      <c r="C841" s="8">
        <f t="shared" si="7"/>
        <v>91.779987461070405</v>
      </c>
      <c r="D841" s="9">
        <f t="shared" si="6"/>
        <v>64.037909128044049</v>
      </c>
      <c r="E841" s="9"/>
      <c r="F841" s="9">
        <f ca="1">IFERROR(__xludf.DUMMYFUNCTION("""COMPUTED_VALUE"""),44466)</f>
        <v>44466</v>
      </c>
      <c r="G841" s="9" t="str">
        <f ca="1">IFERROR(__xludf.DUMMYFUNCTION("""COMPUTED_VALUE"""),"1 USD = 169.672 PKR")</f>
        <v>1 USD = 169.672 PKR</v>
      </c>
      <c r="H841" s="9" t="str">
        <f ca="1">IFERROR(__xludf.DUMMYFUNCTION("""COMPUTED_VALUE"""),"USD PKR rate for 27/09/2021")</f>
        <v>USD PKR rate for 27/09/2021</v>
      </c>
      <c r="I841" s="9"/>
    </row>
    <row r="842" spans="1:9" ht="14.25" customHeight="1" x14ac:dyDescent="0.3">
      <c r="A842" s="6">
        <v>40559</v>
      </c>
      <c r="B842" s="7">
        <v>85.787099999999995</v>
      </c>
      <c r="C842" s="8">
        <f t="shared" si="7"/>
        <v>91.796402290567741</v>
      </c>
      <c r="D842" s="9">
        <f t="shared" si="6"/>
        <v>64.040646960841315</v>
      </c>
      <c r="E842" s="9"/>
      <c r="F842" s="9">
        <f ca="1">IFERROR(__xludf.DUMMYFUNCTION("""COMPUTED_VALUE"""),44465)</f>
        <v>44465</v>
      </c>
      <c r="G842" s="9" t="str">
        <f ca="1">IFERROR(__xludf.DUMMYFUNCTION("""COMPUTED_VALUE"""),"1 USD = 169.2621 PKR")</f>
        <v>1 USD = 169.2621 PKR</v>
      </c>
      <c r="H842" s="9" t="str">
        <f ca="1">IFERROR(__xludf.DUMMYFUNCTION("""COMPUTED_VALUE"""),"USD PKR rate for 26/09/2021")</f>
        <v>USD PKR rate for 26/09/2021</v>
      </c>
      <c r="I842" s="9"/>
    </row>
    <row r="843" spans="1:9" ht="14.25" customHeight="1" x14ac:dyDescent="0.3">
      <c r="A843" s="6">
        <v>40560</v>
      </c>
      <c r="B843" s="7">
        <v>85.523899999999998</v>
      </c>
      <c r="C843" s="8">
        <f t="shared" si="7"/>
        <v>91.812820055853521</v>
      </c>
      <c r="D843" s="9">
        <f t="shared" si="6"/>
        <v>64.04338479363858</v>
      </c>
      <c r="E843" s="9"/>
      <c r="F843" s="9">
        <f ca="1">IFERROR(__xludf.DUMMYFUNCTION("""COMPUTED_VALUE"""),44464)</f>
        <v>44464</v>
      </c>
      <c r="G843" s="9" t="str">
        <f ca="1">IFERROR(__xludf.DUMMYFUNCTION("""COMPUTED_VALUE"""),"1 USD = 169.1 PKR")</f>
        <v>1 USD = 169.1 PKR</v>
      </c>
      <c r="H843" s="9" t="str">
        <f ca="1">IFERROR(__xludf.DUMMYFUNCTION("""COMPUTED_VALUE"""),"USD PKR rate for 25/09/2021")</f>
        <v>USD PKR rate for 25/09/2021</v>
      </c>
      <c r="I843" s="9"/>
    </row>
    <row r="844" spans="1:9" ht="14.25" customHeight="1" x14ac:dyDescent="0.3">
      <c r="A844" s="6">
        <v>40561</v>
      </c>
      <c r="B844" s="7">
        <v>85.888199999999998</v>
      </c>
      <c r="C844" s="8">
        <f t="shared" si="7"/>
        <v>91.829240757452823</v>
      </c>
      <c r="D844" s="9">
        <f t="shared" si="6"/>
        <v>64.046122626435846</v>
      </c>
      <c r="E844" s="9"/>
      <c r="F844" s="9">
        <f ca="1">IFERROR(__xludf.DUMMYFUNCTION("""COMPUTED_VALUE"""),44463)</f>
        <v>44463</v>
      </c>
      <c r="G844" s="9" t="str">
        <f ca="1">IFERROR(__xludf.DUMMYFUNCTION("""COMPUTED_VALUE"""),"1 USD = 169.1083 PKR")</f>
        <v>1 USD = 169.1083 PKR</v>
      </c>
      <c r="H844" s="9" t="str">
        <f ca="1">IFERROR(__xludf.DUMMYFUNCTION("""COMPUTED_VALUE"""),"USD PKR rate for 24/09/2021")</f>
        <v>USD PKR rate for 24/09/2021</v>
      </c>
      <c r="I844" s="9"/>
    </row>
    <row r="845" spans="1:9" ht="14.25" customHeight="1" x14ac:dyDescent="0.3">
      <c r="A845" s="6">
        <v>40562</v>
      </c>
      <c r="B845" s="7">
        <v>85.447800000000001</v>
      </c>
      <c r="C845" s="8">
        <f t="shared" si="7"/>
        <v>91.845664395890793</v>
      </c>
      <c r="D845" s="9">
        <f t="shared" si="6"/>
        <v>64.048860459233111</v>
      </c>
      <c r="E845" s="9"/>
      <c r="F845" s="9">
        <f ca="1">IFERROR(__xludf.DUMMYFUNCTION("""COMPUTED_VALUE"""),44462)</f>
        <v>44462</v>
      </c>
      <c r="G845" s="9" t="str">
        <f ca="1">IFERROR(__xludf.DUMMYFUNCTION("""COMPUTED_VALUE"""),"1 USD = 168.9483 PKR")</f>
        <v>1 USD = 168.9483 PKR</v>
      </c>
      <c r="H845" s="9" t="str">
        <f ca="1">IFERROR(__xludf.DUMMYFUNCTION("""COMPUTED_VALUE"""),"USD PKR rate for 23/09/2021")</f>
        <v>USD PKR rate for 23/09/2021</v>
      </c>
      <c r="I845" s="9"/>
    </row>
    <row r="846" spans="1:9" ht="14.25" customHeight="1" x14ac:dyDescent="0.3">
      <c r="A846" s="6">
        <v>40563</v>
      </c>
      <c r="B846" s="7">
        <v>85.327200000000019</v>
      </c>
      <c r="C846" s="8">
        <f t="shared" si="7"/>
        <v>91.862090971692709</v>
      </c>
      <c r="D846" s="9">
        <f t="shared" si="6"/>
        <v>64.051598292030377</v>
      </c>
      <c r="E846" s="9"/>
      <c r="F846" s="9">
        <f ca="1">IFERROR(__xludf.DUMMYFUNCTION("""COMPUTED_VALUE"""),44461)</f>
        <v>44461</v>
      </c>
      <c r="G846" s="9" t="str">
        <f ca="1">IFERROR(__xludf.DUMMYFUNCTION("""COMPUTED_VALUE"""),"1 USD = 168.4876 PKR")</f>
        <v>1 USD = 168.4876 PKR</v>
      </c>
      <c r="H846" s="9" t="str">
        <f ca="1">IFERROR(__xludf.DUMMYFUNCTION("""COMPUTED_VALUE"""),"USD PKR rate for 22/09/2021")</f>
        <v>USD PKR rate for 22/09/2021</v>
      </c>
      <c r="I846" s="9"/>
    </row>
    <row r="847" spans="1:9" ht="14.25" customHeight="1" x14ac:dyDescent="0.3">
      <c r="A847" s="6">
        <v>40564</v>
      </c>
      <c r="B847" s="7">
        <v>86.367599999999996</v>
      </c>
      <c r="C847" s="8">
        <f t="shared" si="7"/>
        <v>91.878520485383902</v>
      </c>
      <c r="D847" s="9">
        <f t="shared" si="6"/>
        <v>64.054336124827643</v>
      </c>
      <c r="E847" s="9"/>
      <c r="F847" s="9">
        <f ca="1">IFERROR(__xludf.DUMMYFUNCTION("""COMPUTED_VALUE"""),44460)</f>
        <v>44460</v>
      </c>
      <c r="G847" s="9" t="str">
        <f ca="1">IFERROR(__xludf.DUMMYFUNCTION("""COMPUTED_VALUE"""),"1 USD = 168.9545 PKR")</f>
        <v>1 USD = 168.9545 PKR</v>
      </c>
      <c r="H847" s="9" t="str">
        <f ca="1">IFERROR(__xludf.DUMMYFUNCTION("""COMPUTED_VALUE"""),"USD PKR rate for 21/09/2021")</f>
        <v>USD PKR rate for 21/09/2021</v>
      </c>
      <c r="I847" s="9"/>
    </row>
    <row r="848" spans="1:9" ht="14.25" customHeight="1" x14ac:dyDescent="0.3">
      <c r="A848" s="6">
        <v>40565</v>
      </c>
      <c r="B848" s="7">
        <v>86.316199999999995</v>
      </c>
      <c r="C848" s="8">
        <f t="shared" si="7"/>
        <v>91.894952937489705</v>
      </c>
      <c r="D848" s="9">
        <f t="shared" si="6"/>
        <v>64.057073957624908</v>
      </c>
      <c r="E848" s="9"/>
      <c r="F848" s="9">
        <f ca="1">IFERROR(__xludf.DUMMYFUNCTION("""COMPUTED_VALUE"""),44459)</f>
        <v>44459</v>
      </c>
      <c r="G848" s="9" t="str">
        <f ca="1">IFERROR(__xludf.DUMMYFUNCTION("""COMPUTED_VALUE"""),"1 USD = 168.6762 PKR")</f>
        <v>1 USD = 168.6762 PKR</v>
      </c>
      <c r="H848" s="9" t="str">
        <f ca="1">IFERROR(__xludf.DUMMYFUNCTION("""COMPUTED_VALUE"""),"USD PKR rate for 20/09/2021")</f>
        <v>USD PKR rate for 20/09/2021</v>
      </c>
      <c r="I848" s="9"/>
    </row>
    <row r="849" spans="1:9" ht="14.25" customHeight="1" x14ac:dyDescent="0.3">
      <c r="A849" s="6">
        <v>40566</v>
      </c>
      <c r="B849" s="7">
        <v>86.376000000000005</v>
      </c>
      <c r="C849" s="8">
        <f t="shared" si="7"/>
        <v>91.911388328535864</v>
      </c>
      <c r="D849" s="9">
        <f t="shared" si="6"/>
        <v>64.059811790422174</v>
      </c>
      <c r="E849" s="9"/>
      <c r="F849" s="9">
        <f ca="1">IFERROR(__xludf.DUMMYFUNCTION("""COMPUTED_VALUE"""),44458)</f>
        <v>44458</v>
      </c>
      <c r="G849" s="9" t="str">
        <f ca="1">IFERROR(__xludf.DUMMYFUNCTION("""COMPUTED_VALUE"""),"1 USD = 167.9169 PKR")</f>
        <v>1 USD = 167.9169 PKR</v>
      </c>
      <c r="H849" s="9" t="str">
        <f ca="1">IFERROR(__xludf.DUMMYFUNCTION("""COMPUTED_VALUE"""),"USD PKR rate for 19/09/2021")</f>
        <v>USD PKR rate for 19/09/2021</v>
      </c>
      <c r="I849" s="9"/>
    </row>
    <row r="850" spans="1:9" ht="14.25" customHeight="1" x14ac:dyDescent="0.3">
      <c r="A850" s="6">
        <v>40567</v>
      </c>
      <c r="B850" s="7">
        <v>86.242099999999994</v>
      </c>
      <c r="C850" s="8">
        <f t="shared" si="7"/>
        <v>91.927826659047895</v>
      </c>
      <c r="D850" s="9">
        <f t="shared" si="6"/>
        <v>64.062549623219439</v>
      </c>
      <c r="E850" s="9"/>
      <c r="F850" s="9">
        <f ca="1">IFERROR(__xludf.DUMMYFUNCTION("""COMPUTED_VALUE"""),44457)</f>
        <v>44457</v>
      </c>
      <c r="G850" s="9" t="str">
        <f ca="1">IFERROR(__xludf.DUMMYFUNCTION("""COMPUTED_VALUE"""),"1 USD = 168.106 PKR")</f>
        <v>1 USD = 168.106 PKR</v>
      </c>
      <c r="H850" s="9" t="str">
        <f ca="1">IFERROR(__xludf.DUMMYFUNCTION("""COMPUTED_VALUE"""),"USD PKR rate for 18/09/2021")</f>
        <v>USD PKR rate for 18/09/2021</v>
      </c>
      <c r="I850" s="9"/>
    </row>
    <row r="851" spans="1:9" ht="14.25" customHeight="1" x14ac:dyDescent="0.3">
      <c r="A851" s="6">
        <v>40568</v>
      </c>
      <c r="B851" s="7">
        <v>86.005799999999994</v>
      </c>
      <c r="C851" s="8">
        <f t="shared" si="7"/>
        <v>91.944267929551614</v>
      </c>
      <c r="D851" s="9">
        <f t="shared" si="6"/>
        <v>64.065287456016719</v>
      </c>
      <c r="E851" s="9"/>
      <c r="F851" s="9">
        <f ca="1">IFERROR(__xludf.DUMMYFUNCTION("""COMPUTED_VALUE"""),44456)</f>
        <v>44456</v>
      </c>
      <c r="G851" s="9" t="str">
        <f ca="1">IFERROR(__xludf.DUMMYFUNCTION("""COMPUTED_VALUE"""),"1 USD = 168.1098 PKR")</f>
        <v>1 USD = 168.1098 PKR</v>
      </c>
      <c r="H851" s="9" t="str">
        <f ca="1">IFERROR(__xludf.DUMMYFUNCTION("""COMPUTED_VALUE"""),"USD PKR rate for 17/09/2021")</f>
        <v>USD PKR rate for 17/09/2021</v>
      </c>
      <c r="I851" s="9"/>
    </row>
    <row r="852" spans="1:9" ht="14.25" customHeight="1" x14ac:dyDescent="0.3">
      <c r="A852" s="6">
        <v>40569</v>
      </c>
      <c r="B852" s="7">
        <v>85.787099999999995</v>
      </c>
      <c r="C852" s="8">
        <f t="shared" si="7"/>
        <v>91.960712140572682</v>
      </c>
      <c r="D852" s="9">
        <f t="shared" si="6"/>
        <v>64.068025288813985</v>
      </c>
      <c r="E852" s="9"/>
      <c r="F852" s="9">
        <f ca="1">IFERROR(__xludf.DUMMYFUNCTION("""COMPUTED_VALUE"""),44455)</f>
        <v>44455</v>
      </c>
      <c r="G852" s="9" t="str">
        <f ca="1">IFERROR(__xludf.DUMMYFUNCTION("""COMPUTED_VALUE"""),"1 USD = 168.2102 PKR")</f>
        <v>1 USD = 168.2102 PKR</v>
      </c>
      <c r="H852" s="9" t="str">
        <f ca="1">IFERROR(__xludf.DUMMYFUNCTION("""COMPUTED_VALUE"""),"USD PKR rate for 16/09/2021")</f>
        <v>USD PKR rate for 16/09/2021</v>
      </c>
      <c r="I852" s="9"/>
    </row>
    <row r="853" spans="1:9" ht="14.25" customHeight="1" x14ac:dyDescent="0.3">
      <c r="A853" s="6">
        <v>40570</v>
      </c>
      <c r="B853" s="7">
        <v>85.718000000000004</v>
      </c>
      <c r="C853" s="8">
        <f t="shared" si="7"/>
        <v>91.977159292637097</v>
      </c>
      <c r="D853" s="9">
        <f t="shared" si="6"/>
        <v>64.07076312161125</v>
      </c>
      <c r="E853" s="9"/>
      <c r="F853" s="9">
        <f ca="1">IFERROR(__xludf.DUMMYFUNCTION("""COMPUTED_VALUE"""),44454)</f>
        <v>44454</v>
      </c>
      <c r="G853" s="9" t="str">
        <f ca="1">IFERROR(__xludf.DUMMYFUNCTION("""COMPUTED_VALUE"""),"1 USD = 169.5848 PKR")</f>
        <v>1 USD = 169.5848 PKR</v>
      </c>
      <c r="H853" s="9" t="str">
        <f ca="1">IFERROR(__xludf.DUMMYFUNCTION("""COMPUTED_VALUE"""),"USD PKR rate for 15/09/2021")</f>
        <v>USD PKR rate for 15/09/2021</v>
      </c>
      <c r="I853" s="9"/>
    </row>
    <row r="854" spans="1:9" ht="14.25" customHeight="1" x14ac:dyDescent="0.3">
      <c r="A854" s="6">
        <v>40571</v>
      </c>
      <c r="B854" s="7">
        <v>85.411600000000007</v>
      </c>
      <c r="C854" s="8">
        <f t="shared" si="7"/>
        <v>91.993609386270819</v>
      </c>
      <c r="D854" s="9">
        <f t="shared" si="6"/>
        <v>64.073500954408516</v>
      </c>
      <c r="E854" s="9"/>
      <c r="F854" s="9">
        <f ca="1">IFERROR(__xludf.DUMMYFUNCTION("""COMPUTED_VALUE"""),44453)</f>
        <v>44453</v>
      </c>
      <c r="G854" s="9" t="str">
        <f ca="1">IFERROR(__xludf.DUMMYFUNCTION("""COMPUTED_VALUE"""),"1 USD = 168.4292 PKR")</f>
        <v>1 USD = 168.4292 PKR</v>
      </c>
      <c r="H854" s="9" t="str">
        <f ca="1">IFERROR(__xludf.DUMMYFUNCTION("""COMPUTED_VALUE"""),"USD PKR rate for 14/09/2021")</f>
        <v>USD PKR rate for 14/09/2021</v>
      </c>
      <c r="I854" s="9"/>
    </row>
    <row r="855" spans="1:9" ht="14.25" customHeight="1" x14ac:dyDescent="0.3">
      <c r="A855" s="6">
        <v>40572</v>
      </c>
      <c r="B855" s="7">
        <v>85.455500000000001</v>
      </c>
      <c r="C855" s="8">
        <f t="shared" si="7"/>
        <v>92.01006242199999</v>
      </c>
      <c r="D855" s="9">
        <f t="shared" si="6"/>
        <v>64.076238787205781</v>
      </c>
      <c r="E855" s="9"/>
      <c r="F855" s="9">
        <f ca="1">IFERROR(__xludf.DUMMYFUNCTION("""COMPUTED_VALUE"""),44452)</f>
        <v>44452</v>
      </c>
      <c r="G855" s="9" t="str">
        <f ca="1">IFERROR(__xludf.DUMMYFUNCTION("""COMPUTED_VALUE"""),"1 USD = 168.2383 PKR")</f>
        <v>1 USD = 168.2383 PKR</v>
      </c>
      <c r="H855" s="9" t="str">
        <f ca="1">IFERROR(__xludf.DUMMYFUNCTION("""COMPUTED_VALUE"""),"USD PKR rate for 13/09/2021")</f>
        <v>USD PKR rate for 13/09/2021</v>
      </c>
      <c r="I855" s="9"/>
    </row>
    <row r="856" spans="1:9" ht="14.25" customHeight="1" x14ac:dyDescent="0.3">
      <c r="A856" s="6">
        <v>40573</v>
      </c>
      <c r="B856" s="7">
        <v>85.655300000000011</v>
      </c>
      <c r="C856" s="8">
        <f t="shared" si="7"/>
        <v>92.026518400350781</v>
      </c>
      <c r="D856" s="9">
        <f t="shared" si="6"/>
        <v>64.078976620003047</v>
      </c>
      <c r="E856" s="9"/>
      <c r="F856" s="9">
        <f ca="1">IFERROR(__xludf.DUMMYFUNCTION("""COMPUTED_VALUE"""),44451)</f>
        <v>44451</v>
      </c>
      <c r="G856" s="9" t="str">
        <f ca="1">IFERROR(__xludf.DUMMYFUNCTION("""COMPUTED_VALUE"""),"1 USD = 168.1975 PKR")</f>
        <v>1 USD = 168.1975 PKR</v>
      </c>
      <c r="H856" s="9" t="str">
        <f ca="1">IFERROR(__xludf.DUMMYFUNCTION("""COMPUTED_VALUE"""),"USD PKR rate for 12/09/2021")</f>
        <v>USD PKR rate for 12/09/2021</v>
      </c>
      <c r="I856" s="9"/>
    </row>
    <row r="857" spans="1:9" ht="14.25" customHeight="1" x14ac:dyDescent="0.3">
      <c r="A857" s="6">
        <v>40574</v>
      </c>
      <c r="B857" s="7">
        <v>85.836399999999998</v>
      </c>
      <c r="C857" s="8">
        <f t="shared" si="7"/>
        <v>92.042977321849406</v>
      </c>
      <c r="D857" s="9">
        <f t="shared" si="6"/>
        <v>64.081714452800313</v>
      </c>
      <c r="E857" s="9"/>
      <c r="F857" s="9">
        <f ca="1">IFERROR(__xludf.DUMMYFUNCTION("""COMPUTED_VALUE"""),44450)</f>
        <v>44450</v>
      </c>
      <c r="G857" s="9" t="str">
        <f ca="1">IFERROR(__xludf.DUMMYFUNCTION("""COMPUTED_VALUE"""),"1 USD = 168.1893 PKR")</f>
        <v>1 USD = 168.1893 PKR</v>
      </c>
      <c r="H857" s="9" t="str">
        <f ca="1">IFERROR(__xludf.DUMMYFUNCTION("""COMPUTED_VALUE"""),"USD PKR rate for 11/09/2021")</f>
        <v>USD PKR rate for 11/09/2021</v>
      </c>
      <c r="I857" s="9"/>
    </row>
    <row r="858" spans="1:9" ht="14.25" customHeight="1" x14ac:dyDescent="0.3">
      <c r="A858" s="6">
        <v>40575</v>
      </c>
      <c r="B858" s="7">
        <v>86.096500000000006</v>
      </c>
      <c r="C858" s="8">
        <f t="shared" si="7"/>
        <v>92.059439187022406</v>
      </c>
      <c r="D858" s="9">
        <f t="shared" si="6"/>
        <v>64.084452285597578</v>
      </c>
      <c r="E858" s="9"/>
      <c r="F858" s="9">
        <f ca="1">IFERROR(__xludf.DUMMYFUNCTION("""COMPUTED_VALUE"""),44449)</f>
        <v>44449</v>
      </c>
      <c r="G858" s="9" t="str">
        <f ca="1">IFERROR(__xludf.DUMMYFUNCTION("""COMPUTED_VALUE"""),"1 USD = 168.1894 PKR")</f>
        <v>1 USD = 168.1894 PKR</v>
      </c>
      <c r="H858" s="9" t="str">
        <f ca="1">IFERROR(__xludf.DUMMYFUNCTION("""COMPUTED_VALUE"""),"USD PKR rate for 10/09/2021")</f>
        <v>USD PKR rate for 10/09/2021</v>
      </c>
      <c r="I858" s="9"/>
    </row>
    <row r="859" spans="1:9" ht="14.25" customHeight="1" x14ac:dyDescent="0.3">
      <c r="A859" s="6">
        <v>40576</v>
      </c>
      <c r="B859" s="7">
        <v>85.138400000000004</v>
      </c>
      <c r="C859" s="8">
        <f t="shared" si="7"/>
        <v>92.075903996396207</v>
      </c>
      <c r="D859" s="9">
        <f t="shared" si="6"/>
        <v>64.087190118394844</v>
      </c>
      <c r="E859" s="9"/>
      <c r="F859" s="9">
        <f ca="1">IFERROR(__xludf.DUMMYFUNCTION("""COMPUTED_VALUE"""),44448)</f>
        <v>44448</v>
      </c>
      <c r="G859" s="9" t="str">
        <f ca="1">IFERROR(__xludf.DUMMYFUNCTION("""COMPUTED_VALUE"""),"1 USD = 168.0405 PKR")</f>
        <v>1 USD = 168.0405 PKR</v>
      </c>
      <c r="H859" s="9" t="str">
        <f ca="1">IFERROR(__xludf.DUMMYFUNCTION("""COMPUTED_VALUE"""),"USD PKR rate for 09/09/2021")</f>
        <v>USD PKR rate for 09/09/2021</v>
      </c>
      <c r="I859" s="9"/>
    </row>
    <row r="860" spans="1:9" ht="14.25" customHeight="1" x14ac:dyDescent="0.3">
      <c r="A860" s="6">
        <v>40577</v>
      </c>
      <c r="B860" s="7">
        <v>85.344399999999993</v>
      </c>
      <c r="C860" s="8">
        <f t="shared" si="7"/>
        <v>92.092371750497321</v>
      </c>
      <c r="D860" s="9">
        <f t="shared" si="6"/>
        <v>64.089927951192109</v>
      </c>
      <c r="E860" s="9"/>
      <c r="F860" s="9">
        <f ca="1">IFERROR(__xludf.DUMMYFUNCTION("""COMPUTED_VALUE"""),44447)</f>
        <v>44447</v>
      </c>
      <c r="G860" s="9" t="str">
        <f ca="1">IFERROR(__xludf.DUMMYFUNCTION("""COMPUTED_VALUE"""),"1 USD = 167.7589 PKR")</f>
        <v>1 USD = 167.7589 PKR</v>
      </c>
      <c r="H860" s="9" t="str">
        <f ca="1">IFERROR(__xludf.DUMMYFUNCTION("""COMPUTED_VALUE"""),"USD PKR rate for 08/09/2021")</f>
        <v>USD PKR rate for 08/09/2021</v>
      </c>
      <c r="I860" s="9"/>
    </row>
    <row r="861" spans="1:9" ht="14.25" customHeight="1" x14ac:dyDescent="0.3">
      <c r="A861" s="6">
        <v>40578</v>
      </c>
      <c r="B861" s="7">
        <v>85.632199999999997</v>
      </c>
      <c r="C861" s="8">
        <f t="shared" si="7"/>
        <v>92.108842449852474</v>
      </c>
      <c r="D861" s="9">
        <f t="shared" si="6"/>
        <v>64.092665783989375</v>
      </c>
      <c r="E861" s="9"/>
      <c r="F861" s="9">
        <f ca="1">IFERROR(__xludf.DUMMYFUNCTION("""COMPUTED_VALUE"""),44446)</f>
        <v>44446</v>
      </c>
      <c r="G861" s="9" t="str">
        <f ca="1">IFERROR(__xludf.DUMMYFUNCTION("""COMPUTED_VALUE"""),"1 USD = 167.9777 PKR")</f>
        <v>1 USD = 167.9777 PKR</v>
      </c>
      <c r="H861" s="9" t="str">
        <f ca="1">IFERROR(__xludf.DUMMYFUNCTION("""COMPUTED_VALUE"""),"USD PKR rate for 07/09/2021")</f>
        <v>USD PKR rate for 07/09/2021</v>
      </c>
      <c r="I861" s="9"/>
    </row>
    <row r="862" spans="1:9" ht="14.25" customHeight="1" x14ac:dyDescent="0.3">
      <c r="A862" s="6">
        <v>40579</v>
      </c>
      <c r="B862" s="7">
        <v>85.596199999999996</v>
      </c>
      <c r="C862" s="8">
        <f t="shared" si="7"/>
        <v>92.125316094988349</v>
      </c>
      <c r="D862" s="9">
        <f t="shared" si="6"/>
        <v>64.095403616786641</v>
      </c>
      <c r="E862" s="9"/>
      <c r="F862" s="9">
        <f ca="1">IFERROR(__xludf.DUMMYFUNCTION("""COMPUTED_VALUE"""),44445)</f>
        <v>44445</v>
      </c>
      <c r="G862" s="9" t="str">
        <f ca="1">IFERROR(__xludf.DUMMYFUNCTION("""COMPUTED_VALUE"""),"1 USD = 167.089 PKR")</f>
        <v>1 USD = 167.089 PKR</v>
      </c>
      <c r="H862" s="9" t="str">
        <f ca="1">IFERROR(__xludf.DUMMYFUNCTION("""COMPUTED_VALUE"""),"USD PKR rate for 06/09/2021")</f>
        <v>USD PKR rate for 06/09/2021</v>
      </c>
      <c r="I862" s="9"/>
    </row>
    <row r="863" spans="1:9" ht="14.25" customHeight="1" x14ac:dyDescent="0.3">
      <c r="A863" s="6">
        <v>40580</v>
      </c>
      <c r="B863" s="7">
        <v>85.66</v>
      </c>
      <c r="C863" s="8">
        <f t="shared" si="7"/>
        <v>92.141792686431856</v>
      </c>
      <c r="D863" s="9">
        <f t="shared" si="6"/>
        <v>64.098141449583906</v>
      </c>
      <c r="E863" s="9"/>
      <c r="F863" s="9">
        <f ca="1">IFERROR(__xludf.DUMMYFUNCTION("""COMPUTED_VALUE"""),44444)</f>
        <v>44444</v>
      </c>
      <c r="G863" s="9" t="str">
        <f ca="1">IFERROR(__xludf.DUMMYFUNCTION("""COMPUTED_VALUE"""),"1 USD = 167.2362 PKR")</f>
        <v>1 USD = 167.2362 PKR</v>
      </c>
      <c r="H863" s="9" t="str">
        <f ca="1">IFERROR(__xludf.DUMMYFUNCTION("""COMPUTED_VALUE"""),"USD PKR rate for 05/09/2021")</f>
        <v>USD PKR rate for 05/09/2021</v>
      </c>
      <c r="I863" s="9"/>
    </row>
    <row r="864" spans="1:9" ht="14.25" customHeight="1" x14ac:dyDescent="0.3">
      <c r="A864" s="6">
        <v>40581</v>
      </c>
      <c r="B864" s="7">
        <v>85.543800000000005</v>
      </c>
      <c r="C864" s="8">
        <f t="shared" si="7"/>
        <v>92.158272224709933</v>
      </c>
      <c r="D864" s="9">
        <f t="shared" si="6"/>
        <v>64.100879282381172</v>
      </c>
      <c r="E864" s="9"/>
      <c r="F864" s="9">
        <f ca="1">IFERROR(__xludf.DUMMYFUNCTION("""COMPUTED_VALUE"""),44443)</f>
        <v>44443</v>
      </c>
      <c r="G864" s="9" t="str">
        <f ca="1">IFERROR(__xludf.DUMMYFUNCTION("""COMPUTED_VALUE"""),"1 USD = 167.2155 PKR")</f>
        <v>1 USD = 167.2155 PKR</v>
      </c>
      <c r="H864" s="9" t="str">
        <f ca="1">IFERROR(__xludf.DUMMYFUNCTION("""COMPUTED_VALUE"""),"USD PKR rate for 04/09/2021")</f>
        <v>USD PKR rate for 04/09/2021</v>
      </c>
      <c r="I864" s="9"/>
    </row>
    <row r="865" spans="1:9" ht="14.25" customHeight="1" x14ac:dyDescent="0.3">
      <c r="A865" s="6">
        <v>40582</v>
      </c>
      <c r="B865" s="7">
        <v>85.343699999999998</v>
      </c>
      <c r="C865" s="8">
        <f t="shared" si="7"/>
        <v>92.174754710349617</v>
      </c>
      <c r="D865" s="9">
        <f t="shared" si="6"/>
        <v>64.103617115178437</v>
      </c>
      <c r="E865" s="9"/>
      <c r="F865" s="9">
        <f ca="1">IFERROR(__xludf.DUMMYFUNCTION("""COMPUTED_VALUE"""),44442)</f>
        <v>44442</v>
      </c>
      <c r="G865" s="9" t="str">
        <f ca="1">IFERROR(__xludf.DUMMYFUNCTION("""COMPUTED_VALUE"""),"1 USD = 167.2207 PKR")</f>
        <v>1 USD = 167.2207 PKR</v>
      </c>
      <c r="H865" s="9" t="str">
        <f ca="1">IFERROR(__xludf.DUMMYFUNCTION("""COMPUTED_VALUE"""),"USD PKR rate for 03/09/2021")</f>
        <v>USD PKR rate for 03/09/2021</v>
      </c>
      <c r="I865" s="9"/>
    </row>
    <row r="866" spans="1:9" ht="14.25" customHeight="1" x14ac:dyDescent="0.3">
      <c r="A866" s="6">
        <v>40583</v>
      </c>
      <c r="B866" s="7">
        <v>84.717600000000004</v>
      </c>
      <c r="C866" s="8">
        <f t="shared" si="7"/>
        <v>92.191240143877948</v>
      </c>
      <c r="D866" s="9">
        <f t="shared" si="6"/>
        <v>64.106354947975703</v>
      </c>
      <c r="E866" s="9"/>
      <c r="F866" s="9">
        <f ca="1">IFERROR(__xludf.DUMMYFUNCTION("""COMPUTED_VALUE"""),44441)</f>
        <v>44441</v>
      </c>
      <c r="G866" s="9" t="str">
        <f ca="1">IFERROR(__xludf.DUMMYFUNCTION("""COMPUTED_VALUE"""),"1 USD = 167.2889 PKR")</f>
        <v>1 USD = 167.2889 PKR</v>
      </c>
      <c r="H866" s="9" t="str">
        <f ca="1">IFERROR(__xludf.DUMMYFUNCTION("""COMPUTED_VALUE"""),"USD PKR rate for 02/09/2021")</f>
        <v>USD PKR rate for 02/09/2021</v>
      </c>
      <c r="I866" s="9"/>
    </row>
    <row r="867" spans="1:9" ht="14.25" customHeight="1" x14ac:dyDescent="0.3">
      <c r="A867" s="6">
        <v>40584</v>
      </c>
      <c r="B867" s="7">
        <v>84.505399999999995</v>
      </c>
      <c r="C867" s="8">
        <f t="shared" si="7"/>
        <v>92.207728525822347</v>
      </c>
      <c r="D867" s="9">
        <f t="shared" si="6"/>
        <v>64.109092780772968</v>
      </c>
      <c r="E867" s="9"/>
      <c r="F867" s="9">
        <f ca="1">IFERROR(__xludf.DUMMYFUNCTION("""COMPUTED_VALUE"""),44440)</f>
        <v>44440</v>
      </c>
      <c r="G867" s="9" t="str">
        <f ca="1">IFERROR(__xludf.DUMMYFUNCTION("""COMPUTED_VALUE"""),"1 USD = 167.144 PKR")</f>
        <v>1 USD = 167.144 PKR</v>
      </c>
      <c r="H867" s="9" t="str">
        <f ca="1">IFERROR(__xludf.DUMMYFUNCTION("""COMPUTED_VALUE"""),"USD PKR rate for 01/09/2021")</f>
        <v>USD PKR rate for 01/09/2021</v>
      </c>
      <c r="I867" s="9"/>
    </row>
    <row r="868" spans="1:9" ht="14.25" customHeight="1" x14ac:dyDescent="0.3">
      <c r="A868" s="6">
        <v>40585</v>
      </c>
      <c r="B868" s="7">
        <v>84.878600000000006</v>
      </c>
      <c r="C868" s="8">
        <f t="shared" si="7"/>
        <v>92.224219856710022</v>
      </c>
      <c r="D868" s="9">
        <f t="shared" si="6"/>
        <v>64.111830613570234</v>
      </c>
      <c r="E868" s="9"/>
      <c r="F868" s="9">
        <f ca="1">IFERROR(__xludf.DUMMYFUNCTION("""COMPUTED_VALUE"""),44439)</f>
        <v>44439</v>
      </c>
      <c r="G868" s="9" t="str">
        <f ca="1">IFERROR(__xludf.DUMMYFUNCTION("""COMPUTED_VALUE"""),"1 USD = 166.7349 PKR")</f>
        <v>1 USD = 166.7349 PKR</v>
      </c>
      <c r="H868" s="9" t="str">
        <f ca="1">IFERROR(__xludf.DUMMYFUNCTION("""COMPUTED_VALUE"""),"USD PKR rate for 31/08/2021")</f>
        <v>USD PKR rate for 31/08/2021</v>
      </c>
      <c r="I868" s="9"/>
    </row>
    <row r="869" spans="1:9" ht="14.25" customHeight="1" x14ac:dyDescent="0.3">
      <c r="A869" s="6">
        <v>40586</v>
      </c>
      <c r="B869" s="7">
        <v>84.878600000000006</v>
      </c>
      <c r="C869" s="8">
        <f t="shared" si="7"/>
        <v>92.240714137068423</v>
      </c>
      <c r="D869" s="9">
        <f t="shared" si="6"/>
        <v>64.1145684463675</v>
      </c>
      <c r="E869" s="9"/>
      <c r="F869" s="9">
        <f ca="1">IFERROR(__xludf.DUMMYFUNCTION("""COMPUTED_VALUE"""),44438)</f>
        <v>44438</v>
      </c>
      <c r="G869" s="9" t="str">
        <f ca="1">IFERROR(__xludf.DUMMYFUNCTION("""COMPUTED_VALUE"""),"1 USD = 166.6303 PKR")</f>
        <v>1 USD = 166.6303 PKR</v>
      </c>
      <c r="H869" s="9" t="str">
        <f ca="1">IFERROR(__xludf.DUMMYFUNCTION("""COMPUTED_VALUE"""),"USD PKR rate for 30/08/2021")</f>
        <v>USD PKR rate for 30/08/2021</v>
      </c>
      <c r="I869" s="9"/>
    </row>
    <row r="870" spans="1:9" ht="14.25" customHeight="1" x14ac:dyDescent="0.3">
      <c r="A870" s="6">
        <v>40587</v>
      </c>
      <c r="B870" s="7">
        <v>84.915700000000001</v>
      </c>
      <c r="C870" s="8">
        <f t="shared" si="7"/>
        <v>92.257211367425029</v>
      </c>
      <c r="D870" s="9">
        <f t="shared" si="6"/>
        <v>64.117306279164765</v>
      </c>
      <c r="E870" s="9"/>
      <c r="F870" s="9">
        <f ca="1">IFERROR(__xludf.DUMMYFUNCTION("""COMPUTED_VALUE"""),44437)</f>
        <v>44437</v>
      </c>
      <c r="G870" s="9" t="str">
        <f ca="1">IFERROR(__xludf.DUMMYFUNCTION("""COMPUTED_VALUE"""),"1 USD = 166.5884 PKR")</f>
        <v>1 USD = 166.5884 PKR</v>
      </c>
      <c r="H870" s="9" t="str">
        <f ca="1">IFERROR(__xludf.DUMMYFUNCTION("""COMPUTED_VALUE"""),"USD PKR rate for 29/08/2021")</f>
        <v>USD PKR rate for 29/08/2021</v>
      </c>
      <c r="I870" s="9"/>
    </row>
    <row r="871" spans="1:9" ht="14.25" customHeight="1" x14ac:dyDescent="0.3">
      <c r="A871" s="6">
        <v>40588</v>
      </c>
      <c r="B871" s="7">
        <v>85.261899999999997</v>
      </c>
      <c r="C871" s="8">
        <f t="shared" si="7"/>
        <v>92.273711548307446</v>
      </c>
      <c r="D871" s="9">
        <f t="shared" si="6"/>
        <v>64.120044111962031</v>
      </c>
      <c r="E871" s="9"/>
      <c r="F871" s="9">
        <f ca="1">IFERROR(__xludf.DUMMYFUNCTION("""COMPUTED_VALUE"""),44436)</f>
        <v>44436</v>
      </c>
      <c r="G871" s="9" t="str">
        <f ca="1">IFERROR(__xludf.DUMMYFUNCTION("""COMPUTED_VALUE"""),"1 USD = 166.5895 PKR")</f>
        <v>1 USD = 166.5895 PKR</v>
      </c>
      <c r="H871" s="9" t="str">
        <f ca="1">IFERROR(__xludf.DUMMYFUNCTION("""COMPUTED_VALUE"""),"USD PKR rate for 28/08/2021")</f>
        <v>USD PKR rate for 28/08/2021</v>
      </c>
      <c r="I871" s="9"/>
    </row>
    <row r="872" spans="1:9" ht="14.25" customHeight="1" x14ac:dyDescent="0.3">
      <c r="A872" s="6">
        <v>40589</v>
      </c>
      <c r="B872" s="7">
        <v>85.124399999999994</v>
      </c>
      <c r="C872" s="8">
        <f t="shared" si="7"/>
        <v>92.290214680243409</v>
      </c>
      <c r="D872" s="9">
        <f t="shared" si="6"/>
        <v>64.122781944759296</v>
      </c>
      <c r="E872" s="9"/>
      <c r="F872" s="9">
        <f ca="1">IFERROR(__xludf.DUMMYFUNCTION("""COMPUTED_VALUE"""),44435)</f>
        <v>44435</v>
      </c>
      <c r="G872" s="9" t="str">
        <f ca="1">IFERROR(__xludf.DUMMYFUNCTION("""COMPUTED_VALUE"""),"1 USD = 166.5895 PKR")</f>
        <v>1 USD = 166.5895 PKR</v>
      </c>
      <c r="H872" s="9" t="str">
        <f ca="1">IFERROR(__xludf.DUMMYFUNCTION("""COMPUTED_VALUE"""),"USD PKR rate for 27/08/2021")</f>
        <v>USD PKR rate for 27/08/2021</v>
      </c>
      <c r="I872" s="9"/>
    </row>
    <row r="873" spans="1:9" ht="14.25" customHeight="1" x14ac:dyDescent="0.3">
      <c r="A873" s="6">
        <v>40590</v>
      </c>
      <c r="B873" s="7">
        <v>85.726100000000002</v>
      </c>
      <c r="C873" s="8">
        <f t="shared" si="7"/>
        <v>92.306720763760708</v>
      </c>
      <c r="D873" s="9">
        <f t="shared" si="6"/>
        <v>64.125519777556562</v>
      </c>
      <c r="E873" s="9"/>
      <c r="F873" s="9">
        <f ca="1">IFERROR(__xludf.DUMMYFUNCTION("""COMPUTED_VALUE"""),44434)</f>
        <v>44434</v>
      </c>
      <c r="G873" s="9" t="str">
        <f ca="1">IFERROR(__xludf.DUMMYFUNCTION("""COMPUTED_VALUE"""),"1 USD = 166.4923 PKR")</f>
        <v>1 USD = 166.4923 PKR</v>
      </c>
      <c r="H873" s="9" t="str">
        <f ca="1">IFERROR(__xludf.DUMMYFUNCTION("""COMPUTED_VALUE"""),"USD PKR rate for 26/08/2021")</f>
        <v>USD PKR rate for 26/08/2021</v>
      </c>
      <c r="I873" s="9"/>
    </row>
    <row r="874" spans="1:9" ht="14.25" customHeight="1" x14ac:dyDescent="0.3">
      <c r="A874" s="6">
        <v>40591</v>
      </c>
      <c r="B874" s="7">
        <v>85.435699999999997</v>
      </c>
      <c r="C874" s="8">
        <f t="shared" si="7"/>
        <v>92.323229799387192</v>
      </c>
      <c r="D874" s="9">
        <f t="shared" si="6"/>
        <v>64.128257610353828</v>
      </c>
      <c r="E874" s="9"/>
      <c r="F874" s="9">
        <f ca="1">IFERROR(__xludf.DUMMYFUNCTION("""COMPUTED_VALUE"""),44433)</f>
        <v>44433</v>
      </c>
      <c r="G874" s="9" t="str">
        <f ca="1">IFERROR(__xludf.DUMMYFUNCTION("""COMPUTED_VALUE"""),"1 USD = 165.9802 PKR")</f>
        <v>1 USD = 165.9802 PKR</v>
      </c>
      <c r="H874" s="9" t="str">
        <f ca="1">IFERROR(__xludf.DUMMYFUNCTION("""COMPUTED_VALUE"""),"USD PKR rate for 25/08/2021")</f>
        <v>USD PKR rate for 25/08/2021</v>
      </c>
      <c r="I874" s="9"/>
    </row>
    <row r="875" spans="1:9" ht="14.25" customHeight="1" x14ac:dyDescent="0.3">
      <c r="A875" s="6">
        <v>40592</v>
      </c>
      <c r="B875" s="7">
        <v>85.913600000000002</v>
      </c>
      <c r="C875" s="8">
        <f t="shared" si="7"/>
        <v>92.339741787650823</v>
      </c>
      <c r="D875" s="9">
        <f t="shared" si="6"/>
        <v>64.130995443151093</v>
      </c>
      <c r="E875" s="9"/>
      <c r="F875" s="9">
        <f ca="1">IFERROR(__xludf.DUMMYFUNCTION("""COMPUTED_VALUE"""),44432)</f>
        <v>44432</v>
      </c>
      <c r="G875" s="9" t="str">
        <f ca="1">IFERROR(__xludf.DUMMYFUNCTION("""COMPUTED_VALUE"""),"1 USD = 165.2161 PKR")</f>
        <v>1 USD = 165.2161 PKR</v>
      </c>
      <c r="H875" s="9" t="str">
        <f ca="1">IFERROR(__xludf.DUMMYFUNCTION("""COMPUTED_VALUE"""),"USD PKR rate for 24/08/2021")</f>
        <v>USD PKR rate for 24/08/2021</v>
      </c>
      <c r="I875" s="9"/>
    </row>
    <row r="876" spans="1:9" ht="14.25" customHeight="1" x14ac:dyDescent="0.3">
      <c r="A876" s="6">
        <v>40593</v>
      </c>
      <c r="B876" s="7">
        <v>85.913600000000002</v>
      </c>
      <c r="C876" s="8">
        <f t="shared" si="7"/>
        <v>92.356256729079803</v>
      </c>
      <c r="D876" s="9">
        <f t="shared" si="6"/>
        <v>64.133733275948359</v>
      </c>
      <c r="E876" s="9"/>
      <c r="F876" s="9">
        <f ca="1">IFERROR(__xludf.DUMMYFUNCTION("""COMPUTED_VALUE"""),44431)</f>
        <v>44431</v>
      </c>
      <c r="G876" s="9" t="str">
        <f ca="1">IFERROR(__xludf.DUMMYFUNCTION("""COMPUTED_VALUE"""),"1 USD = 164.3477 PKR")</f>
        <v>1 USD = 164.3477 PKR</v>
      </c>
      <c r="H876" s="9" t="str">
        <f ca="1">IFERROR(__xludf.DUMMYFUNCTION("""COMPUTED_VALUE"""),"USD PKR rate for 23/08/2021")</f>
        <v>USD PKR rate for 23/08/2021</v>
      </c>
      <c r="I876" s="9"/>
    </row>
    <row r="877" spans="1:9" ht="14.25" customHeight="1" x14ac:dyDescent="0.3">
      <c r="A877" s="6">
        <v>40594</v>
      </c>
      <c r="B877" s="7">
        <v>85.934700000000007</v>
      </c>
      <c r="C877" s="8">
        <f t="shared" si="7"/>
        <v>92.372774624202208</v>
      </c>
      <c r="D877" s="9">
        <f t="shared" si="6"/>
        <v>64.136471108745624</v>
      </c>
      <c r="E877" s="9"/>
      <c r="F877" s="9">
        <f ca="1">IFERROR(__xludf.DUMMYFUNCTION("""COMPUTED_VALUE"""),44430)</f>
        <v>44430</v>
      </c>
      <c r="G877" s="9" t="str">
        <f ca="1">IFERROR(__xludf.DUMMYFUNCTION("""COMPUTED_VALUE"""),"1 USD = 164.2589 PKR")</f>
        <v>1 USD = 164.2589 PKR</v>
      </c>
      <c r="H877" s="9" t="str">
        <f ca="1">IFERROR(__xludf.DUMMYFUNCTION("""COMPUTED_VALUE"""),"USD PKR rate for 22/08/2021")</f>
        <v>USD PKR rate for 22/08/2021</v>
      </c>
      <c r="I877" s="9"/>
    </row>
    <row r="878" spans="1:9" ht="14.25" customHeight="1" x14ac:dyDescent="0.3">
      <c r="A878" s="6">
        <v>40595</v>
      </c>
      <c r="B878" s="7">
        <v>86.009699999999995</v>
      </c>
      <c r="C878" s="8">
        <f t="shared" si="7"/>
        <v>92.389295473546355</v>
      </c>
      <c r="D878" s="9">
        <f t="shared" si="6"/>
        <v>64.13920894154289</v>
      </c>
      <c r="E878" s="9"/>
      <c r="F878" s="9">
        <f ca="1">IFERROR(__xludf.DUMMYFUNCTION("""COMPUTED_VALUE"""),44429)</f>
        <v>44429</v>
      </c>
      <c r="G878" s="9" t="str">
        <f ca="1">IFERROR(__xludf.DUMMYFUNCTION("""COMPUTED_VALUE"""),"1 USD = 164.3002 PKR")</f>
        <v>1 USD = 164.3002 PKR</v>
      </c>
      <c r="H878" s="9" t="str">
        <f ca="1">IFERROR(__xludf.DUMMYFUNCTION("""COMPUTED_VALUE"""),"USD PKR rate for 21/08/2021")</f>
        <v>USD PKR rate for 21/08/2021</v>
      </c>
      <c r="I878" s="9"/>
    </row>
    <row r="879" spans="1:9" ht="14.25" customHeight="1" x14ac:dyDescent="0.3">
      <c r="A879" s="6">
        <v>40596</v>
      </c>
      <c r="B879" s="7">
        <v>85.048699999999997</v>
      </c>
      <c r="C879" s="8">
        <f t="shared" si="7"/>
        <v>92.405819277640575</v>
      </c>
      <c r="D879" s="9">
        <f t="shared" si="6"/>
        <v>64.141946774340155</v>
      </c>
      <c r="E879" s="9"/>
      <c r="F879" s="9">
        <f ca="1">IFERROR(__xludf.DUMMYFUNCTION("""COMPUTED_VALUE"""),44428)</f>
        <v>44428</v>
      </c>
      <c r="G879" s="9" t="str">
        <f ca="1">IFERROR(__xludf.DUMMYFUNCTION("""COMPUTED_VALUE"""),"1 USD = 164.5882 PKR")</f>
        <v>1 USD = 164.5882 PKR</v>
      </c>
      <c r="H879" s="9" t="str">
        <f ca="1">IFERROR(__xludf.DUMMYFUNCTION("""COMPUTED_VALUE"""),"USD PKR rate for 20/08/2021")</f>
        <v>USD PKR rate for 20/08/2021</v>
      </c>
      <c r="I879" s="9"/>
    </row>
    <row r="880" spans="1:9" ht="14.25" customHeight="1" x14ac:dyDescent="0.3">
      <c r="A880" s="6">
        <v>40597</v>
      </c>
      <c r="B880" s="7">
        <v>85.475800000000007</v>
      </c>
      <c r="C880" s="8">
        <f t="shared" si="7"/>
        <v>92.422346037013341</v>
      </c>
      <c r="D880" s="9">
        <f t="shared" si="6"/>
        <v>64.144684607137421</v>
      </c>
      <c r="E880" s="9"/>
      <c r="F880" s="9">
        <f ca="1">IFERROR(__xludf.DUMMYFUNCTION("""COMPUTED_VALUE"""),44427)</f>
        <v>44427</v>
      </c>
      <c r="G880" s="9" t="str">
        <f ca="1">IFERROR(__xludf.DUMMYFUNCTION("""COMPUTED_VALUE"""),"1 USD = 164.2238 PKR")</f>
        <v>1 USD = 164.2238 PKR</v>
      </c>
      <c r="H880" s="9" t="str">
        <f ca="1">IFERROR(__xludf.DUMMYFUNCTION("""COMPUTED_VALUE"""),"USD PKR rate for 19/08/2021")</f>
        <v>USD PKR rate for 19/08/2021</v>
      </c>
      <c r="I880" s="9"/>
    </row>
    <row r="881" spans="1:9" ht="14.25" customHeight="1" x14ac:dyDescent="0.3">
      <c r="A881" s="6">
        <v>40598</v>
      </c>
      <c r="B881" s="7">
        <v>85.218299999999999</v>
      </c>
      <c r="C881" s="8">
        <f t="shared" si="7"/>
        <v>92.438875752193184</v>
      </c>
      <c r="D881" s="9">
        <f t="shared" si="6"/>
        <v>64.147422439934687</v>
      </c>
      <c r="E881" s="9"/>
      <c r="F881" s="9">
        <f ca="1">IFERROR(__xludf.DUMMYFUNCTION("""COMPUTED_VALUE"""),44426)</f>
        <v>44426</v>
      </c>
      <c r="G881" s="9" t="str">
        <f ca="1">IFERROR(__xludf.DUMMYFUNCTION("""COMPUTED_VALUE"""),"1 USD = 164.306 PKR")</f>
        <v>1 USD = 164.306 PKR</v>
      </c>
      <c r="H881" s="9" t="str">
        <f ca="1">IFERROR(__xludf.DUMMYFUNCTION("""COMPUTED_VALUE"""),"USD PKR rate for 18/08/2021")</f>
        <v>USD PKR rate for 18/08/2021</v>
      </c>
      <c r="I881" s="9"/>
    </row>
    <row r="882" spans="1:9" ht="14.25" customHeight="1" x14ac:dyDescent="0.3">
      <c r="A882" s="6">
        <v>40599</v>
      </c>
      <c r="B882" s="7">
        <v>85.538300000000007</v>
      </c>
      <c r="C882" s="8">
        <f t="shared" si="7"/>
        <v>92.455408423708747</v>
      </c>
      <c r="D882" s="9">
        <f t="shared" si="6"/>
        <v>64.150160272731952</v>
      </c>
      <c r="E882" s="9"/>
      <c r="F882" s="9">
        <f ca="1">IFERROR(__xludf.DUMMYFUNCTION("""COMPUTED_VALUE"""),44425)</f>
        <v>44425</v>
      </c>
      <c r="G882" s="9" t="str">
        <f ca="1">IFERROR(__xludf.DUMMYFUNCTION("""COMPUTED_VALUE"""),"1 USD = 164.5473 PKR")</f>
        <v>1 USD = 164.5473 PKR</v>
      </c>
      <c r="H882" s="9" t="str">
        <f ca="1">IFERROR(__xludf.DUMMYFUNCTION("""COMPUTED_VALUE"""),"USD PKR rate for 17/08/2021")</f>
        <v>USD PKR rate for 17/08/2021</v>
      </c>
      <c r="I882" s="9"/>
    </row>
    <row r="883" spans="1:9" ht="14.25" customHeight="1" x14ac:dyDescent="0.3">
      <c r="A883" s="6">
        <v>40600</v>
      </c>
      <c r="B883" s="7">
        <v>85.538300000000007</v>
      </c>
      <c r="C883" s="8">
        <f t="shared" si="7"/>
        <v>92.471944052088787</v>
      </c>
      <c r="D883" s="9">
        <f t="shared" si="6"/>
        <v>64.152898105529218</v>
      </c>
      <c r="E883" s="9"/>
      <c r="F883" s="9">
        <f ca="1">IFERROR(__xludf.DUMMYFUNCTION("""COMPUTED_VALUE"""),44424)</f>
        <v>44424</v>
      </c>
      <c r="G883" s="9" t="str">
        <f ca="1">IFERROR(__xludf.DUMMYFUNCTION("""COMPUTED_VALUE"""),"1 USD = 164.5485 PKR")</f>
        <v>1 USD = 164.5485 PKR</v>
      </c>
      <c r="H883" s="9" t="str">
        <f ca="1">IFERROR(__xludf.DUMMYFUNCTION("""COMPUTED_VALUE"""),"USD PKR rate for 16/08/2021")</f>
        <v>USD PKR rate for 16/08/2021</v>
      </c>
      <c r="I883" s="9"/>
    </row>
    <row r="884" spans="1:9" ht="14.25" customHeight="1" x14ac:dyDescent="0.3">
      <c r="A884" s="6">
        <v>40601</v>
      </c>
      <c r="B884" s="7">
        <v>85.651899999999998</v>
      </c>
      <c r="C884" s="8">
        <f t="shared" si="7"/>
        <v>92.488482637862049</v>
      </c>
      <c r="D884" s="9">
        <f t="shared" si="6"/>
        <v>64.155635938326483</v>
      </c>
      <c r="E884" s="9"/>
      <c r="F884" s="9">
        <f ca="1">IFERROR(__xludf.DUMMYFUNCTION("""COMPUTED_VALUE"""),44423)</f>
        <v>44423</v>
      </c>
      <c r="G884" s="9" t="str">
        <f ca="1">IFERROR(__xludf.DUMMYFUNCTION("""COMPUTED_VALUE"""),"1 USD = 164.4372 PKR")</f>
        <v>1 USD = 164.4372 PKR</v>
      </c>
      <c r="H884" s="9" t="str">
        <f ca="1">IFERROR(__xludf.DUMMYFUNCTION("""COMPUTED_VALUE"""),"USD PKR rate for 15/08/2021")</f>
        <v>USD PKR rate for 15/08/2021</v>
      </c>
      <c r="I884" s="9"/>
    </row>
    <row r="885" spans="1:9" ht="14.25" customHeight="1" x14ac:dyDescent="0.3">
      <c r="A885" s="6">
        <v>40602</v>
      </c>
      <c r="B885" s="7">
        <v>86.192300000000003</v>
      </c>
      <c r="C885" s="8">
        <f t="shared" si="7"/>
        <v>92.505024181557644</v>
      </c>
      <c r="D885" s="9">
        <f t="shared" si="6"/>
        <v>64.158373771123749</v>
      </c>
      <c r="E885" s="9"/>
      <c r="F885" s="9">
        <f ca="1">IFERROR(__xludf.DUMMYFUNCTION("""COMPUTED_VALUE"""),44422)</f>
        <v>44422</v>
      </c>
      <c r="G885" s="9" t="str">
        <f ca="1">IFERROR(__xludf.DUMMYFUNCTION("""COMPUTED_VALUE"""),"1 USD = 164.4219 PKR")</f>
        <v>1 USD = 164.4219 PKR</v>
      </c>
      <c r="H885" s="9" t="str">
        <f ca="1">IFERROR(__xludf.DUMMYFUNCTION("""COMPUTED_VALUE"""),"USD PKR rate for 14/08/2021")</f>
        <v>USD PKR rate for 14/08/2021</v>
      </c>
      <c r="I885" s="9"/>
    </row>
    <row r="886" spans="1:9" ht="14.25" customHeight="1" x14ac:dyDescent="0.3">
      <c r="A886" s="6">
        <v>40603</v>
      </c>
      <c r="B886" s="7">
        <v>86.218000000000004</v>
      </c>
      <c r="C886" s="8">
        <f t="shared" si="7"/>
        <v>92.521568683704473</v>
      </c>
      <c r="D886" s="9">
        <f t="shared" si="6"/>
        <v>64.161111603921015</v>
      </c>
      <c r="E886" s="9"/>
      <c r="F886" s="9">
        <f ca="1">IFERROR(__xludf.DUMMYFUNCTION("""COMPUTED_VALUE"""),44421)</f>
        <v>44421</v>
      </c>
      <c r="G886" s="9" t="str">
        <f ca="1">IFERROR(__xludf.DUMMYFUNCTION("""COMPUTED_VALUE"""),"1 USD = 164.4219 PKR")</f>
        <v>1 USD = 164.4219 PKR</v>
      </c>
      <c r="H886" s="9" t="str">
        <f ca="1">IFERROR(__xludf.DUMMYFUNCTION("""COMPUTED_VALUE"""),"USD PKR rate for 13/08/2021")</f>
        <v>USD PKR rate for 13/08/2021</v>
      </c>
      <c r="I886" s="9"/>
    </row>
    <row r="887" spans="1:9" ht="14.25" customHeight="1" x14ac:dyDescent="0.3">
      <c r="A887" s="6">
        <v>40604</v>
      </c>
      <c r="B887" s="7">
        <v>85.848399999999998</v>
      </c>
      <c r="C887" s="8">
        <f t="shared" si="7"/>
        <v>92.538116144831676</v>
      </c>
      <c r="D887" s="9">
        <f t="shared" si="6"/>
        <v>64.16384943671828</v>
      </c>
      <c r="E887" s="9"/>
      <c r="F887" s="9">
        <f ca="1">IFERROR(__xludf.DUMMYFUNCTION("""COMPUTED_VALUE"""),44420)</f>
        <v>44420</v>
      </c>
      <c r="G887" s="9" t="str">
        <f ca="1">IFERROR(__xludf.DUMMYFUNCTION("""COMPUTED_VALUE"""),"1 USD = 164.3983 PKR")</f>
        <v>1 USD = 164.3983 PKR</v>
      </c>
      <c r="H887" s="9" t="str">
        <f ca="1">IFERROR(__xludf.DUMMYFUNCTION("""COMPUTED_VALUE"""),"USD PKR rate for 12/08/2021")</f>
        <v>USD PKR rate for 12/08/2021</v>
      </c>
      <c r="I887" s="9"/>
    </row>
    <row r="888" spans="1:9" ht="14.25" customHeight="1" x14ac:dyDescent="0.3">
      <c r="A888" s="6">
        <v>40605</v>
      </c>
      <c r="B888" s="7">
        <v>85.273300000000006</v>
      </c>
      <c r="C888" s="8">
        <f t="shared" si="7"/>
        <v>92.554666565468494</v>
      </c>
      <c r="D888" s="9">
        <f t="shared" si="6"/>
        <v>64.166587269515546</v>
      </c>
      <c r="E888" s="9"/>
      <c r="F888" s="9">
        <f ca="1">IFERROR(__xludf.DUMMYFUNCTION("""COMPUTED_VALUE"""),44419)</f>
        <v>44419</v>
      </c>
      <c r="G888" s="9" t="str">
        <f ca="1">IFERROR(__xludf.DUMMYFUNCTION("""COMPUTED_VALUE"""),"1 USD = 163.5668 PKR")</f>
        <v>1 USD = 163.5668 PKR</v>
      </c>
      <c r="H888" s="9" t="str">
        <f ca="1">IFERROR(__xludf.DUMMYFUNCTION("""COMPUTED_VALUE"""),"USD PKR rate for 11/08/2021")</f>
        <v>USD PKR rate for 11/08/2021</v>
      </c>
      <c r="I888" s="9"/>
    </row>
    <row r="889" spans="1:9" ht="14.25" customHeight="1" x14ac:dyDescent="0.3">
      <c r="A889" s="6">
        <v>40606</v>
      </c>
      <c r="B889" s="7">
        <v>85.104100000000003</v>
      </c>
      <c r="C889" s="8">
        <f t="shared" si="7"/>
        <v>92.571219946144183</v>
      </c>
      <c r="D889" s="9">
        <f t="shared" si="6"/>
        <v>64.169325102312811</v>
      </c>
      <c r="E889" s="9"/>
      <c r="F889" s="9">
        <f ca="1">IFERROR(__xludf.DUMMYFUNCTION("""COMPUTED_VALUE"""),44418)</f>
        <v>44418</v>
      </c>
      <c r="G889" s="9" t="str">
        <f ca="1">IFERROR(__xludf.DUMMYFUNCTION("""COMPUTED_VALUE"""),"1 USD = 164.3612 PKR")</f>
        <v>1 USD = 164.3612 PKR</v>
      </c>
      <c r="H889" s="9" t="str">
        <f ca="1">IFERROR(__xludf.DUMMYFUNCTION("""COMPUTED_VALUE"""),"USD PKR rate for 10/08/2021")</f>
        <v>USD PKR rate for 10/08/2021</v>
      </c>
      <c r="I889" s="9"/>
    </row>
    <row r="890" spans="1:9" ht="14.25" customHeight="1" x14ac:dyDescent="0.3">
      <c r="A890" s="6">
        <v>40607</v>
      </c>
      <c r="B890" s="7">
        <v>85.104100000000003</v>
      </c>
      <c r="C890" s="8">
        <f t="shared" si="7"/>
        <v>92.587776287388195</v>
      </c>
      <c r="D890" s="9">
        <f t="shared" si="6"/>
        <v>64.172062935110077</v>
      </c>
      <c r="E890" s="9"/>
      <c r="F890" s="9">
        <f ca="1">IFERROR(__xludf.DUMMYFUNCTION("""COMPUTED_VALUE"""),44417)</f>
        <v>44417</v>
      </c>
      <c r="G890" s="9" t="str">
        <f ca="1">IFERROR(__xludf.DUMMYFUNCTION("""COMPUTED_VALUE"""),"1 USD = 164.3394 PKR")</f>
        <v>1 USD = 164.3394 PKR</v>
      </c>
      <c r="H890" s="9" t="str">
        <f ca="1">IFERROR(__xludf.DUMMYFUNCTION("""COMPUTED_VALUE"""),"USD PKR rate for 09/08/2021")</f>
        <v>USD PKR rate for 09/08/2021</v>
      </c>
      <c r="I890" s="9"/>
    </row>
    <row r="891" spans="1:9" ht="14.25" customHeight="1" x14ac:dyDescent="0.3">
      <c r="A891" s="6">
        <v>40608</v>
      </c>
      <c r="B891" s="7">
        <v>85.125</v>
      </c>
      <c r="C891" s="8">
        <f t="shared" si="7"/>
        <v>92.604335589729999</v>
      </c>
      <c r="D891" s="9">
        <f t="shared" si="6"/>
        <v>64.174800767907342</v>
      </c>
      <c r="E891" s="9"/>
      <c r="F891" s="9">
        <f ca="1">IFERROR(__xludf.DUMMYFUNCTION("""COMPUTED_VALUE"""),44416)</f>
        <v>44416</v>
      </c>
      <c r="G891" s="9" t="str">
        <f ca="1">IFERROR(__xludf.DUMMYFUNCTION("""COMPUTED_VALUE"""),"1 USD = 164.7693 PKR")</f>
        <v>1 USD = 164.7693 PKR</v>
      </c>
      <c r="H891" s="9" t="str">
        <f ca="1">IFERROR(__xludf.DUMMYFUNCTION("""COMPUTED_VALUE"""),"USD PKR rate for 08/08/2021")</f>
        <v>USD PKR rate for 08/08/2021</v>
      </c>
      <c r="I891" s="9"/>
    </row>
    <row r="892" spans="1:9" ht="14.25" customHeight="1" x14ac:dyDescent="0.3">
      <c r="A892" s="6">
        <v>40609</v>
      </c>
      <c r="B892" s="7">
        <v>85.259699999999995</v>
      </c>
      <c r="C892" s="8">
        <f t="shared" si="7"/>
        <v>92.620897853699176</v>
      </c>
      <c r="D892" s="9">
        <f t="shared" si="6"/>
        <v>64.177538600704608</v>
      </c>
      <c r="E892" s="9"/>
      <c r="F892" s="9">
        <f ca="1">IFERROR(__xludf.DUMMYFUNCTION("""COMPUTED_VALUE"""),44415)</f>
        <v>44415</v>
      </c>
      <c r="G892" s="9" t="str">
        <f ca="1">IFERROR(__xludf.DUMMYFUNCTION("""COMPUTED_VALUE"""),"1 USD = 164.7657 PKR")</f>
        <v>1 USD = 164.7657 PKR</v>
      </c>
      <c r="H892" s="9" t="str">
        <f ca="1">IFERROR(__xludf.DUMMYFUNCTION("""COMPUTED_VALUE"""),"USD PKR rate for 07/08/2021")</f>
        <v>USD PKR rate for 07/08/2021</v>
      </c>
      <c r="I892" s="9"/>
    </row>
    <row r="893" spans="1:9" ht="14.25" customHeight="1" x14ac:dyDescent="0.3">
      <c r="A893" s="6">
        <v>40610</v>
      </c>
      <c r="B893" s="7">
        <v>85.6233</v>
      </c>
      <c r="C893" s="8">
        <f t="shared" si="7"/>
        <v>92.637463079825352</v>
      </c>
      <c r="D893" s="9">
        <f t="shared" si="6"/>
        <v>64.180276433501874</v>
      </c>
      <c r="E893" s="9"/>
      <c r="F893" s="9">
        <f ca="1">IFERROR(__xludf.DUMMYFUNCTION("""COMPUTED_VALUE"""),44414)</f>
        <v>44414</v>
      </c>
      <c r="G893" s="9" t="str">
        <f ca="1">IFERROR(__xludf.DUMMYFUNCTION("""COMPUTED_VALUE"""),"1 USD = 164.1694 PKR")</f>
        <v>1 USD = 164.1694 PKR</v>
      </c>
      <c r="H893" s="9" t="str">
        <f ca="1">IFERROR(__xludf.DUMMYFUNCTION("""COMPUTED_VALUE"""),"USD PKR rate for 06/08/2021")</f>
        <v>USD PKR rate for 06/08/2021</v>
      </c>
      <c r="I893" s="9"/>
    </row>
    <row r="894" spans="1:9" ht="14.25" customHeight="1" x14ac:dyDescent="0.3">
      <c r="A894" s="6">
        <v>40611</v>
      </c>
      <c r="B894" s="7">
        <v>85.624100000000013</v>
      </c>
      <c r="C894" s="8">
        <f t="shared" si="7"/>
        <v>92.654031268638477</v>
      </c>
      <c r="D894" s="9">
        <f t="shared" si="6"/>
        <v>64.183014266299139</v>
      </c>
      <c r="E894" s="9"/>
      <c r="F894" s="9">
        <f ca="1">IFERROR(__xludf.DUMMYFUNCTION("""COMPUTED_VALUE"""),44413)</f>
        <v>44413</v>
      </c>
      <c r="G894" s="9" t="str">
        <f ca="1">IFERROR(__xludf.DUMMYFUNCTION("""COMPUTED_VALUE"""),"1 USD = 163.9179 PKR")</f>
        <v>1 USD = 163.9179 PKR</v>
      </c>
      <c r="H894" s="9" t="str">
        <f ca="1">IFERROR(__xludf.DUMMYFUNCTION("""COMPUTED_VALUE"""),"USD PKR rate for 05/08/2021")</f>
        <v>USD PKR rate for 05/08/2021</v>
      </c>
      <c r="I894" s="9"/>
    </row>
    <row r="895" spans="1:9" ht="14.25" customHeight="1" x14ac:dyDescent="0.3">
      <c r="A895" s="6">
        <v>40612</v>
      </c>
      <c r="B895" s="7">
        <v>85.212599999999995</v>
      </c>
      <c r="C895" s="8">
        <f t="shared" si="7"/>
        <v>92.670602420668317</v>
      </c>
      <c r="D895" s="9">
        <f t="shared" si="6"/>
        <v>64.185752099096405</v>
      </c>
      <c r="E895" s="9"/>
      <c r="F895" s="9">
        <f ca="1">IFERROR(__xludf.DUMMYFUNCTION("""COMPUTED_VALUE"""),44412)</f>
        <v>44412</v>
      </c>
      <c r="G895" s="9" t="str">
        <f ca="1">IFERROR(__xludf.DUMMYFUNCTION("""COMPUTED_VALUE"""),"1 USD = 163.201 PKR")</f>
        <v>1 USD = 163.201 PKR</v>
      </c>
      <c r="H895" s="9" t="str">
        <f ca="1">IFERROR(__xludf.DUMMYFUNCTION("""COMPUTED_VALUE"""),"USD PKR rate for 04/08/2021")</f>
        <v>USD PKR rate for 04/08/2021</v>
      </c>
      <c r="I895" s="9"/>
    </row>
    <row r="896" spans="1:9" ht="14.25" customHeight="1" x14ac:dyDescent="0.3">
      <c r="A896" s="6">
        <v>40613</v>
      </c>
      <c r="B896" s="7">
        <v>85.620999999999995</v>
      </c>
      <c r="C896" s="8">
        <f t="shared" si="7"/>
        <v>92.687176536444866</v>
      </c>
      <c r="D896" s="9">
        <f t="shared" si="6"/>
        <v>64.18848993189367</v>
      </c>
      <c r="E896" s="9"/>
      <c r="F896" s="9">
        <f ca="1">IFERROR(__xludf.DUMMYFUNCTION("""COMPUTED_VALUE"""),44411)</f>
        <v>44411</v>
      </c>
      <c r="G896" s="9" t="str">
        <f ca="1">IFERROR(__xludf.DUMMYFUNCTION("""COMPUTED_VALUE"""),"1 USD = 164.3947 PKR")</f>
        <v>1 USD = 164.3947 PKR</v>
      </c>
      <c r="H896" s="9" t="str">
        <f ca="1">IFERROR(__xludf.DUMMYFUNCTION("""COMPUTED_VALUE"""),"USD PKR rate for 03/08/2021")</f>
        <v>USD PKR rate for 03/08/2021</v>
      </c>
      <c r="I896" s="9"/>
    </row>
    <row r="897" spans="1:9" ht="14.25" customHeight="1" x14ac:dyDescent="0.3">
      <c r="A897" s="6">
        <v>40614</v>
      </c>
      <c r="B897" s="7">
        <v>85.620999999999995</v>
      </c>
      <c r="C897" s="8">
        <f t="shared" si="7"/>
        <v>92.70375361649819</v>
      </c>
      <c r="D897" s="9">
        <f t="shared" si="6"/>
        <v>64.191227764690936</v>
      </c>
      <c r="E897" s="9"/>
      <c r="F897" s="9">
        <f ca="1">IFERROR(__xludf.DUMMYFUNCTION("""COMPUTED_VALUE"""),44410)</f>
        <v>44410</v>
      </c>
      <c r="G897" s="9" t="str">
        <f ca="1">IFERROR(__xludf.DUMMYFUNCTION("""COMPUTED_VALUE"""),"1 USD = 163.4784 PKR")</f>
        <v>1 USD = 163.4784 PKR</v>
      </c>
      <c r="H897" s="9" t="str">
        <f ca="1">IFERROR(__xludf.DUMMYFUNCTION("""COMPUTED_VALUE"""),"USD PKR rate for 02/08/2021")</f>
        <v>USD PKR rate for 02/08/2021</v>
      </c>
      <c r="I897" s="9"/>
    </row>
    <row r="898" spans="1:9" ht="14.25" customHeight="1" x14ac:dyDescent="0.3">
      <c r="A898" s="6">
        <v>40615</v>
      </c>
      <c r="B898" s="7">
        <v>85.668999999999997</v>
      </c>
      <c r="C898" s="8">
        <f t="shared" si="7"/>
        <v>92.720333661358438</v>
      </c>
      <c r="D898" s="9">
        <f t="shared" si="6"/>
        <v>64.193965597488202</v>
      </c>
      <c r="E898" s="9"/>
      <c r="F898" s="9">
        <f ca="1">IFERROR(__xludf.DUMMYFUNCTION("""COMPUTED_VALUE"""),44409)</f>
        <v>44409</v>
      </c>
      <c r="G898" s="9" t="str">
        <f ca="1">IFERROR(__xludf.DUMMYFUNCTION("""COMPUTED_VALUE"""),"1 USD = 162.6156 PKR")</f>
        <v>1 USD = 162.6156 PKR</v>
      </c>
      <c r="H898" s="9" t="str">
        <f ca="1">IFERROR(__xludf.DUMMYFUNCTION("""COMPUTED_VALUE"""),"USD PKR rate for 01/08/2021")</f>
        <v>USD PKR rate for 01/08/2021</v>
      </c>
      <c r="I898" s="9"/>
    </row>
    <row r="899" spans="1:9" ht="14.25" customHeight="1" x14ac:dyDescent="0.3">
      <c r="A899" s="6">
        <v>40616</v>
      </c>
      <c r="B899" s="7">
        <v>85.102400000000017</v>
      </c>
      <c r="C899" s="8">
        <f t="shared" si="7"/>
        <v>92.736916671555846</v>
      </c>
      <c r="D899" s="9">
        <f t="shared" si="6"/>
        <v>64.196703430285467</v>
      </c>
      <c r="E899" s="9"/>
      <c r="F899" s="9">
        <f ca="1">IFERROR(__xludf.DUMMYFUNCTION("""COMPUTED_VALUE"""),44408)</f>
        <v>44408</v>
      </c>
      <c r="G899" s="9" t="str">
        <f ca="1">IFERROR(__xludf.DUMMYFUNCTION("""COMPUTED_VALUE"""),"1 USD = 162.589 PKR")</f>
        <v>1 USD = 162.589 PKR</v>
      </c>
      <c r="H899" s="9" t="str">
        <f ca="1">IFERROR(__xludf.DUMMYFUNCTION("""COMPUTED_VALUE"""),"USD PKR rate for 31/07/2021")</f>
        <v>USD PKR rate for 31/07/2021</v>
      </c>
      <c r="I899" s="9"/>
    </row>
    <row r="900" spans="1:9" ht="14.25" customHeight="1" x14ac:dyDescent="0.3">
      <c r="A900" s="6">
        <v>40617</v>
      </c>
      <c r="B900" s="7">
        <v>85.189600000000013</v>
      </c>
      <c r="C900" s="8">
        <f t="shared" si="7"/>
        <v>92.75350264762082</v>
      </c>
      <c r="D900" s="9">
        <f t="shared" si="6"/>
        <v>64.199441263082733</v>
      </c>
      <c r="E900" s="9"/>
      <c r="F900" s="9">
        <f ca="1">IFERROR(__xludf.DUMMYFUNCTION("""COMPUTED_VALUE"""),44407)</f>
        <v>44407</v>
      </c>
      <c r="G900" s="9" t="str">
        <f ca="1">IFERROR(__xludf.DUMMYFUNCTION("""COMPUTED_VALUE"""),"1 USD = 162.589 PKR")</f>
        <v>1 USD = 162.589 PKR</v>
      </c>
      <c r="H900" s="9" t="str">
        <f ca="1">IFERROR(__xludf.DUMMYFUNCTION("""COMPUTED_VALUE"""),"USD PKR rate for 30/07/2021")</f>
        <v>USD PKR rate for 30/07/2021</v>
      </c>
      <c r="I900" s="9"/>
    </row>
    <row r="901" spans="1:9" ht="14.25" customHeight="1" x14ac:dyDescent="0.3">
      <c r="A901" s="6">
        <v>40618</v>
      </c>
      <c r="B901" s="7">
        <v>85.631799999999998</v>
      </c>
      <c r="C901" s="8">
        <f t="shared" si="7"/>
        <v>92.770091590083766</v>
      </c>
      <c r="D901" s="9">
        <f t="shared" si="6"/>
        <v>64.202179095879998</v>
      </c>
      <c r="E901" s="9"/>
      <c r="F901" s="9">
        <f ca="1">IFERROR(__xludf.DUMMYFUNCTION("""COMPUTED_VALUE"""),44406)</f>
        <v>44406</v>
      </c>
      <c r="G901" s="9" t="str">
        <f ca="1">IFERROR(__xludf.DUMMYFUNCTION("""COMPUTED_VALUE"""),"1 USD = 162.276 PKR")</f>
        <v>1 USD = 162.276 PKR</v>
      </c>
      <c r="H901" s="9" t="str">
        <f ca="1">IFERROR(__xludf.DUMMYFUNCTION("""COMPUTED_VALUE"""),"USD PKR rate for 29/07/2021")</f>
        <v>USD PKR rate for 29/07/2021</v>
      </c>
      <c r="I901" s="9"/>
    </row>
    <row r="902" spans="1:9" ht="14.25" customHeight="1" x14ac:dyDescent="0.3">
      <c r="A902" s="6">
        <v>40619</v>
      </c>
      <c r="B902" s="7">
        <v>84.923400000000001</v>
      </c>
      <c r="C902" s="8">
        <f t="shared" si="7"/>
        <v>92.786683499475217</v>
      </c>
      <c r="D902" s="9">
        <f t="shared" si="6"/>
        <v>64.204916928677264</v>
      </c>
      <c r="E902" s="9"/>
      <c r="F902" s="9">
        <f ca="1">IFERROR(__xludf.DUMMYFUNCTION("""COMPUTED_VALUE"""),44405)</f>
        <v>44405</v>
      </c>
      <c r="G902" s="9" t="str">
        <f ca="1">IFERROR(__xludf.DUMMYFUNCTION("""COMPUTED_VALUE"""),"1 USD = 162.0569 PKR")</f>
        <v>1 USD = 162.0569 PKR</v>
      </c>
      <c r="H902" s="9" t="str">
        <f ca="1">IFERROR(__xludf.DUMMYFUNCTION("""COMPUTED_VALUE"""),"USD PKR rate for 28/07/2021")</f>
        <v>USD PKR rate for 28/07/2021</v>
      </c>
      <c r="I902" s="9"/>
    </row>
    <row r="903" spans="1:9" ht="14.25" customHeight="1" x14ac:dyDescent="0.3">
      <c r="A903" s="6">
        <v>40620</v>
      </c>
      <c r="B903" s="7">
        <v>84.947400000000016</v>
      </c>
      <c r="C903" s="8">
        <f t="shared" si="7"/>
        <v>92.803278376325721</v>
      </c>
      <c r="D903" s="9">
        <f t="shared" si="6"/>
        <v>64.207654761474529</v>
      </c>
      <c r="E903" s="9"/>
      <c r="F903" s="9">
        <f ca="1">IFERROR(__xludf.DUMMYFUNCTION("""COMPUTED_VALUE"""),44404)</f>
        <v>44404</v>
      </c>
      <c r="G903" s="9" t="str">
        <f ca="1">IFERROR(__xludf.DUMMYFUNCTION("""COMPUTED_VALUE"""),"1 USD = 161.7641 PKR")</f>
        <v>1 USD = 161.7641 PKR</v>
      </c>
      <c r="H903" s="9" t="str">
        <f ca="1">IFERROR(__xludf.DUMMYFUNCTION("""COMPUTED_VALUE"""),"USD PKR rate for 27/07/2021")</f>
        <v>USD PKR rate for 27/07/2021</v>
      </c>
      <c r="I903" s="9"/>
    </row>
    <row r="904" spans="1:9" ht="14.25" customHeight="1" x14ac:dyDescent="0.3">
      <c r="A904" s="6">
        <v>40621</v>
      </c>
      <c r="B904" s="7">
        <v>84.94</v>
      </c>
      <c r="C904" s="8">
        <f t="shared" si="7"/>
        <v>92.819876221166211</v>
      </c>
      <c r="D904" s="9">
        <f t="shared" si="6"/>
        <v>64.210392594271795</v>
      </c>
      <c r="E904" s="9"/>
      <c r="F904" s="9">
        <f ca="1">IFERROR(__xludf.DUMMYFUNCTION("""COMPUTED_VALUE"""),44403)</f>
        <v>44403</v>
      </c>
      <c r="G904" s="9" t="str">
        <f ca="1">IFERROR(__xludf.DUMMYFUNCTION("""COMPUTED_VALUE"""),"1 USD = 161.9925 PKR")</f>
        <v>1 USD = 161.9925 PKR</v>
      </c>
      <c r="H904" s="9" t="str">
        <f ca="1">IFERROR(__xludf.DUMMYFUNCTION("""COMPUTED_VALUE"""),"USD PKR rate for 26/07/2021")</f>
        <v>USD PKR rate for 26/07/2021</v>
      </c>
      <c r="I904" s="9"/>
    </row>
    <row r="905" spans="1:9" ht="14.25" customHeight="1" x14ac:dyDescent="0.3">
      <c r="A905" s="6">
        <v>40622</v>
      </c>
      <c r="B905" s="7">
        <v>84.997600000000006</v>
      </c>
      <c r="C905" s="8">
        <f t="shared" si="7"/>
        <v>92.836477034527405</v>
      </c>
      <c r="D905" s="9">
        <f t="shared" si="6"/>
        <v>64.213130427069061</v>
      </c>
      <c r="E905" s="9"/>
      <c r="F905" s="9">
        <f ca="1">IFERROR(__xludf.DUMMYFUNCTION("""COMPUTED_VALUE"""),44402)</f>
        <v>44402</v>
      </c>
      <c r="G905" s="9" t="str">
        <f ca="1">IFERROR(__xludf.DUMMYFUNCTION("""COMPUTED_VALUE"""),"1 USD = 161.0613 PKR")</f>
        <v>1 USD = 161.0613 PKR</v>
      </c>
      <c r="H905" s="9" t="str">
        <f ca="1">IFERROR(__xludf.DUMMYFUNCTION("""COMPUTED_VALUE"""),"USD PKR rate for 25/07/2021")</f>
        <v>USD PKR rate for 25/07/2021</v>
      </c>
      <c r="I905" s="9"/>
    </row>
    <row r="906" spans="1:9" ht="14.25" customHeight="1" x14ac:dyDescent="0.3">
      <c r="A906" s="6">
        <v>40623</v>
      </c>
      <c r="B906" s="7">
        <v>85.777900000000017</v>
      </c>
      <c r="C906" s="8">
        <f t="shared" si="7"/>
        <v>92.853080816940221</v>
      </c>
      <c r="D906" s="9">
        <f t="shared" si="6"/>
        <v>64.215868259866326</v>
      </c>
      <c r="E906" s="9"/>
      <c r="F906" s="9">
        <f ca="1">IFERROR(__xludf.DUMMYFUNCTION("""COMPUTED_VALUE"""),44401)</f>
        <v>44401</v>
      </c>
      <c r="G906" s="9" t="str">
        <f ca="1">IFERROR(__xludf.DUMMYFUNCTION("""COMPUTED_VALUE"""),"1 USD = 160.739 PKR")</f>
        <v>1 USD = 160.739 PKR</v>
      </c>
      <c r="H906" s="9" t="str">
        <f ca="1">IFERROR(__xludf.DUMMYFUNCTION("""COMPUTED_VALUE"""),"USD PKR rate for 24/07/2021")</f>
        <v>USD PKR rate for 24/07/2021</v>
      </c>
      <c r="I906" s="9"/>
    </row>
    <row r="907" spans="1:9" ht="14.25" customHeight="1" x14ac:dyDescent="0.3">
      <c r="A907" s="6">
        <v>40624</v>
      </c>
      <c r="B907" s="7">
        <v>84.975899999999996</v>
      </c>
      <c r="C907" s="8">
        <f t="shared" si="7"/>
        <v>92.86968756893566</v>
      </c>
      <c r="D907" s="9">
        <f t="shared" si="6"/>
        <v>64.218606092663592</v>
      </c>
      <c r="E907" s="9"/>
      <c r="F907" s="9">
        <f ca="1">IFERROR(__xludf.DUMMYFUNCTION("""COMPUTED_VALUE"""),44400)</f>
        <v>44400</v>
      </c>
      <c r="G907" s="9" t="str">
        <f ca="1">IFERROR(__xludf.DUMMYFUNCTION("""COMPUTED_VALUE"""),"1 USD = 162.3505 PKR")</f>
        <v>1 USD = 162.3505 PKR</v>
      </c>
      <c r="H907" s="9" t="str">
        <f ca="1">IFERROR(__xludf.DUMMYFUNCTION("""COMPUTED_VALUE"""),"USD PKR rate for 23/07/2021")</f>
        <v>USD PKR rate for 23/07/2021</v>
      </c>
      <c r="I907" s="9"/>
    </row>
    <row r="908" spans="1:9" ht="14.25" customHeight="1" x14ac:dyDescent="0.3">
      <c r="A908" s="6">
        <v>40625</v>
      </c>
      <c r="B908" s="7">
        <v>85.417699999999996</v>
      </c>
      <c r="C908" s="8">
        <f t="shared" si="7"/>
        <v>92.886297291044869</v>
      </c>
      <c r="D908" s="9">
        <f t="shared" si="6"/>
        <v>64.221343925460857</v>
      </c>
      <c r="E908" s="9"/>
      <c r="F908" s="9">
        <f ca="1">IFERROR(__xludf.DUMMYFUNCTION("""COMPUTED_VALUE"""),44399)</f>
        <v>44399</v>
      </c>
      <c r="G908" s="9" t="str">
        <f ca="1">IFERROR(__xludf.DUMMYFUNCTION("""COMPUTED_VALUE"""),"1 USD = 160.8505 PKR")</f>
        <v>1 USD = 160.8505 PKR</v>
      </c>
      <c r="H908" s="9" t="str">
        <f ca="1">IFERROR(__xludf.DUMMYFUNCTION("""COMPUTED_VALUE"""),"USD PKR rate for 22/07/2021")</f>
        <v>USD PKR rate for 22/07/2021</v>
      </c>
      <c r="I908" s="9"/>
    </row>
    <row r="909" spans="1:9" ht="14.25" customHeight="1" x14ac:dyDescent="0.3">
      <c r="A909" s="6">
        <v>40626</v>
      </c>
      <c r="B909" s="7">
        <v>84.980099999999993</v>
      </c>
      <c r="C909" s="8">
        <f t="shared" si="7"/>
        <v>92.90290998379902</v>
      </c>
      <c r="D909" s="9">
        <f t="shared" si="6"/>
        <v>64.224081758258123</v>
      </c>
      <c r="E909" s="9"/>
      <c r="F909" s="9">
        <f ca="1">IFERROR(__xludf.DUMMYFUNCTION("""COMPUTED_VALUE"""),44398)</f>
        <v>44398</v>
      </c>
      <c r="G909" s="9" t="str">
        <f ca="1">IFERROR(__xludf.DUMMYFUNCTION("""COMPUTED_VALUE"""),"1 USD = 160.8147 PKR")</f>
        <v>1 USD = 160.8147 PKR</v>
      </c>
      <c r="H909" s="9" t="str">
        <f ca="1">IFERROR(__xludf.DUMMYFUNCTION("""COMPUTED_VALUE"""),"USD PKR rate for 21/07/2021")</f>
        <v>USD PKR rate for 21/07/2021</v>
      </c>
      <c r="I909" s="9"/>
    </row>
    <row r="910" spans="1:9" ht="14.25" customHeight="1" x14ac:dyDescent="0.3">
      <c r="A910" s="6">
        <v>40627</v>
      </c>
      <c r="B910" s="7">
        <v>84.502899999999997</v>
      </c>
      <c r="C910" s="8">
        <f t="shared" si="7"/>
        <v>92.919525647729429</v>
      </c>
      <c r="D910" s="9">
        <f t="shared" si="6"/>
        <v>64.226819591055389</v>
      </c>
      <c r="E910" s="9"/>
      <c r="F910" s="9">
        <f ca="1">IFERROR(__xludf.DUMMYFUNCTION("""COMPUTED_VALUE"""),44397)</f>
        <v>44397</v>
      </c>
      <c r="G910" s="9" t="str">
        <f ca="1">IFERROR(__xludf.DUMMYFUNCTION("""COMPUTED_VALUE"""),"1 USD = 160.8961 PKR")</f>
        <v>1 USD = 160.8961 PKR</v>
      </c>
      <c r="H910" s="9" t="str">
        <f ca="1">IFERROR(__xludf.DUMMYFUNCTION("""COMPUTED_VALUE"""),"USD PKR rate for 20/07/2021")</f>
        <v>USD PKR rate for 20/07/2021</v>
      </c>
      <c r="I910" s="9"/>
    </row>
    <row r="911" spans="1:9" ht="14.25" customHeight="1" x14ac:dyDescent="0.3">
      <c r="A911" s="6">
        <v>40628</v>
      </c>
      <c r="B911" s="7">
        <v>84.502899999999997</v>
      </c>
      <c r="C911" s="8">
        <f t="shared" si="7"/>
        <v>92.936144283367469</v>
      </c>
      <c r="D911" s="9">
        <f t="shared" si="6"/>
        <v>64.229557423852654</v>
      </c>
      <c r="E911" s="9"/>
      <c r="F911" s="9">
        <f ca="1">IFERROR(__xludf.DUMMYFUNCTION("""COMPUTED_VALUE"""),44396)</f>
        <v>44396</v>
      </c>
      <c r="G911" s="9" t="str">
        <f ca="1">IFERROR(__xludf.DUMMYFUNCTION("""COMPUTED_VALUE"""),"1 USD = 160.5847 PKR")</f>
        <v>1 USD = 160.5847 PKR</v>
      </c>
      <c r="H911" s="9" t="str">
        <f ca="1">IFERROR(__xludf.DUMMYFUNCTION("""COMPUTED_VALUE"""),"USD PKR rate for 19/07/2021")</f>
        <v>USD PKR rate for 19/07/2021</v>
      </c>
      <c r="I911" s="9"/>
    </row>
    <row r="912" spans="1:9" ht="14.25" customHeight="1" x14ac:dyDescent="0.3">
      <c r="A912" s="6">
        <v>40629</v>
      </c>
      <c r="B912" s="7">
        <v>84.708800000000011</v>
      </c>
      <c r="C912" s="8">
        <f t="shared" si="7"/>
        <v>92.952765891244582</v>
      </c>
      <c r="D912" s="9">
        <f t="shared" si="6"/>
        <v>64.23229525664992</v>
      </c>
      <c r="E912" s="9"/>
      <c r="F912" s="9">
        <f ca="1">IFERROR(__xludf.DUMMYFUNCTION("""COMPUTED_VALUE"""),44395)</f>
        <v>44395</v>
      </c>
      <c r="G912" s="9" t="str">
        <f ca="1">IFERROR(__xludf.DUMMYFUNCTION("""COMPUTED_VALUE"""),"1 USD = 159.4774 PKR")</f>
        <v>1 USD = 159.4774 PKR</v>
      </c>
      <c r="H912" s="9" t="str">
        <f ca="1">IFERROR(__xludf.DUMMYFUNCTION("""COMPUTED_VALUE"""),"USD PKR rate for 18/07/2021")</f>
        <v>USD PKR rate for 18/07/2021</v>
      </c>
      <c r="I912" s="9"/>
    </row>
    <row r="913" spans="1:9" ht="14.25" customHeight="1" x14ac:dyDescent="0.3">
      <c r="A913" s="6">
        <v>40630</v>
      </c>
      <c r="B913" s="7">
        <v>85.570899999999995</v>
      </c>
      <c r="C913" s="8">
        <f t="shared" si="7"/>
        <v>92.969390471892467</v>
      </c>
      <c r="D913" s="9">
        <f t="shared" si="6"/>
        <v>64.235033089447185</v>
      </c>
      <c r="E913" s="9"/>
      <c r="F913" s="9">
        <f ca="1">IFERROR(__xludf.DUMMYFUNCTION("""COMPUTED_VALUE"""),44394)</f>
        <v>44394</v>
      </c>
      <c r="G913" s="9" t="str">
        <f ca="1">IFERROR(__xludf.DUMMYFUNCTION("""COMPUTED_VALUE"""),"1 USD = 159.4581 PKR")</f>
        <v>1 USD = 159.4581 PKR</v>
      </c>
      <c r="H913" s="9" t="str">
        <f ca="1">IFERROR(__xludf.DUMMYFUNCTION("""COMPUTED_VALUE"""),"USD PKR rate for 17/07/2021")</f>
        <v>USD PKR rate for 17/07/2021</v>
      </c>
      <c r="I913" s="9"/>
    </row>
    <row r="914" spans="1:9" ht="14.25" customHeight="1" x14ac:dyDescent="0.3">
      <c r="A914" s="6">
        <v>40631</v>
      </c>
      <c r="B914" s="7">
        <v>85.379000000000005</v>
      </c>
      <c r="C914" s="8">
        <f t="shared" si="7"/>
        <v>92.986018025842782</v>
      </c>
      <c r="D914" s="9">
        <f t="shared" si="6"/>
        <v>64.237770922244451</v>
      </c>
      <c r="E914" s="9"/>
      <c r="F914" s="9">
        <f ca="1">IFERROR(__xludf.DUMMYFUNCTION("""COMPUTED_VALUE"""),44393)</f>
        <v>44393</v>
      </c>
      <c r="G914" s="9" t="str">
        <f ca="1">IFERROR(__xludf.DUMMYFUNCTION("""COMPUTED_VALUE"""),"1 USD = 159.5149 PKR")</f>
        <v>1 USD = 159.5149 PKR</v>
      </c>
      <c r="H914" s="9" t="str">
        <f ca="1">IFERROR(__xludf.DUMMYFUNCTION("""COMPUTED_VALUE"""),"USD PKR rate for 16/07/2021")</f>
        <v>USD PKR rate for 16/07/2021</v>
      </c>
      <c r="I914" s="9"/>
    </row>
    <row r="915" spans="1:9" ht="14.25" customHeight="1" x14ac:dyDescent="0.3">
      <c r="A915" s="6">
        <v>40632</v>
      </c>
      <c r="B915" s="7">
        <v>85.331400000000016</v>
      </c>
      <c r="C915" s="8">
        <f t="shared" si="7"/>
        <v>93.002648553627253</v>
      </c>
      <c r="D915" s="9">
        <f t="shared" si="6"/>
        <v>64.240508755041716</v>
      </c>
      <c r="E915" s="9"/>
      <c r="F915" s="9">
        <f ca="1">IFERROR(__xludf.DUMMYFUNCTION("""COMPUTED_VALUE"""),44392)</f>
        <v>44392</v>
      </c>
      <c r="G915" s="9" t="str">
        <f ca="1">IFERROR(__xludf.DUMMYFUNCTION("""COMPUTED_VALUE"""),"1 USD = 159.464 PKR")</f>
        <v>1 USD = 159.464 PKR</v>
      </c>
      <c r="H915" s="9" t="str">
        <f ca="1">IFERROR(__xludf.DUMMYFUNCTION("""COMPUTED_VALUE"""),"USD PKR rate for 15/07/2021")</f>
        <v>USD PKR rate for 15/07/2021</v>
      </c>
      <c r="I915" s="9"/>
    </row>
    <row r="916" spans="1:9" ht="14.25" customHeight="1" x14ac:dyDescent="0.3">
      <c r="A916" s="6">
        <v>40633</v>
      </c>
      <c r="B916" s="7">
        <v>85.058000000000007</v>
      </c>
      <c r="C916" s="8">
        <f t="shared" si="7"/>
        <v>93.019282055777765</v>
      </c>
      <c r="D916" s="9">
        <f t="shared" si="6"/>
        <v>64.243246587838982</v>
      </c>
      <c r="E916" s="9"/>
      <c r="F916" s="9">
        <f ca="1">IFERROR(__xludf.DUMMYFUNCTION("""COMPUTED_VALUE"""),44391)</f>
        <v>44391</v>
      </c>
      <c r="G916" s="9" t="str">
        <f ca="1">IFERROR(__xludf.DUMMYFUNCTION("""COMPUTED_VALUE"""),"1 USD = 159.4247 PKR")</f>
        <v>1 USD = 159.4247 PKR</v>
      </c>
      <c r="H916" s="9" t="str">
        <f ca="1">IFERROR(__xludf.DUMMYFUNCTION("""COMPUTED_VALUE"""),"USD PKR rate for 14/07/2021")</f>
        <v>USD PKR rate for 14/07/2021</v>
      </c>
      <c r="I916" s="9"/>
    </row>
    <row r="917" spans="1:9" ht="14.25" customHeight="1" x14ac:dyDescent="0.3">
      <c r="A917" s="6">
        <v>40634</v>
      </c>
      <c r="B917" s="7">
        <v>85.673199999999994</v>
      </c>
      <c r="C917" s="8">
        <f t="shared" si="7"/>
        <v>93.035918532826273</v>
      </c>
      <c r="D917" s="9">
        <f t="shared" si="6"/>
        <v>64.245984420636248</v>
      </c>
      <c r="E917" s="9"/>
      <c r="F917" s="9">
        <f ca="1">IFERROR(__xludf.DUMMYFUNCTION("""COMPUTED_VALUE"""),44390)</f>
        <v>44390</v>
      </c>
      <c r="G917" s="9" t="str">
        <f ca="1">IFERROR(__xludf.DUMMYFUNCTION("""COMPUTED_VALUE"""),"1 USD = 159.6542 PKR")</f>
        <v>1 USD = 159.6542 PKR</v>
      </c>
      <c r="H917" s="9" t="str">
        <f ca="1">IFERROR(__xludf.DUMMYFUNCTION("""COMPUTED_VALUE"""),"USD PKR rate for 13/07/2021")</f>
        <v>USD PKR rate for 13/07/2021</v>
      </c>
      <c r="I917" s="9"/>
    </row>
    <row r="918" spans="1:9" ht="14.25" customHeight="1" x14ac:dyDescent="0.3">
      <c r="A918" s="6">
        <v>40635</v>
      </c>
      <c r="B918" s="7">
        <v>85.665599999999998</v>
      </c>
      <c r="C918" s="8">
        <f t="shared" si="7"/>
        <v>93.052557985304873</v>
      </c>
      <c r="D918" s="9">
        <f t="shared" si="6"/>
        <v>64.248722253433513</v>
      </c>
      <c r="E918" s="9"/>
      <c r="F918" s="9">
        <f ca="1">IFERROR(__xludf.DUMMYFUNCTION("""COMPUTED_VALUE"""),44389)</f>
        <v>44389</v>
      </c>
      <c r="G918" s="9" t="str">
        <f ca="1">IFERROR(__xludf.DUMMYFUNCTION("""COMPUTED_VALUE"""),"1 USD = 159.5816 PKR")</f>
        <v>1 USD = 159.5816 PKR</v>
      </c>
      <c r="H918" s="9" t="str">
        <f ca="1">IFERROR(__xludf.DUMMYFUNCTION("""COMPUTED_VALUE"""),"USD PKR rate for 12/07/2021")</f>
        <v>USD PKR rate for 12/07/2021</v>
      </c>
      <c r="I918" s="9"/>
    </row>
    <row r="919" spans="1:9" ht="14.25" customHeight="1" x14ac:dyDescent="0.3">
      <c r="A919" s="6">
        <v>40636</v>
      </c>
      <c r="B919" s="7">
        <v>85.628399999999999</v>
      </c>
      <c r="C919" s="8">
        <f t="shared" si="7"/>
        <v>93.069200413745662</v>
      </c>
      <c r="D919" s="9">
        <f t="shared" si="6"/>
        <v>64.251460086230779</v>
      </c>
      <c r="E919" s="9"/>
      <c r="F919" s="9">
        <f ca="1">IFERROR(__xludf.DUMMYFUNCTION("""COMPUTED_VALUE"""),44388)</f>
        <v>44388</v>
      </c>
      <c r="G919" s="9" t="str">
        <f ca="1">IFERROR(__xludf.DUMMYFUNCTION("""COMPUTED_VALUE"""),"1 USD = 159.3094 PKR")</f>
        <v>1 USD = 159.3094 PKR</v>
      </c>
      <c r="H919" s="9" t="str">
        <f ca="1">IFERROR(__xludf.DUMMYFUNCTION("""COMPUTED_VALUE"""),"USD PKR rate for 11/07/2021")</f>
        <v>USD PKR rate for 11/07/2021</v>
      </c>
      <c r="I919" s="9"/>
    </row>
    <row r="920" spans="1:9" ht="14.25" customHeight="1" x14ac:dyDescent="0.3">
      <c r="A920" s="6">
        <v>40637</v>
      </c>
      <c r="B920" s="7">
        <v>85.764300000000006</v>
      </c>
      <c r="C920" s="8">
        <f t="shared" si="7"/>
        <v>93.085845818680951</v>
      </c>
      <c r="D920" s="9">
        <f t="shared" si="6"/>
        <v>64.254197919028044</v>
      </c>
      <c r="E920" s="9"/>
      <c r="F920" s="9">
        <f ca="1">IFERROR(__xludf.DUMMYFUNCTION("""COMPUTED_VALUE"""),44387)</f>
        <v>44387</v>
      </c>
      <c r="G920" s="9" t="str">
        <f ca="1">IFERROR(__xludf.DUMMYFUNCTION("""COMPUTED_VALUE"""),"1 USD = 159.3248 PKR")</f>
        <v>1 USD = 159.3248 PKR</v>
      </c>
      <c r="H920" s="9" t="str">
        <f ca="1">IFERROR(__xludf.DUMMYFUNCTION("""COMPUTED_VALUE"""),"USD PKR rate for 10/07/2021")</f>
        <v>USD PKR rate for 10/07/2021</v>
      </c>
      <c r="I920" s="9"/>
    </row>
    <row r="921" spans="1:9" ht="14.25" customHeight="1" x14ac:dyDescent="0.3">
      <c r="A921" s="6">
        <v>40638</v>
      </c>
      <c r="B921" s="7">
        <v>85.797600000000003</v>
      </c>
      <c r="C921" s="8">
        <f t="shared" si="7"/>
        <v>93.102494200642965</v>
      </c>
      <c r="D921" s="9">
        <f t="shared" si="6"/>
        <v>64.25693575182531</v>
      </c>
      <c r="E921" s="9"/>
      <c r="F921" s="9">
        <f ca="1">IFERROR(__xludf.DUMMYFUNCTION("""COMPUTED_VALUE"""),44386)</f>
        <v>44386</v>
      </c>
      <c r="G921" s="9" t="str">
        <f ca="1">IFERROR(__xludf.DUMMYFUNCTION("""COMPUTED_VALUE"""),"1 USD = 159.4023 PKR")</f>
        <v>1 USD = 159.4023 PKR</v>
      </c>
      <c r="H921" s="9" t="str">
        <f ca="1">IFERROR(__xludf.DUMMYFUNCTION("""COMPUTED_VALUE"""),"USD PKR rate for 09/07/2021")</f>
        <v>USD PKR rate for 09/07/2021</v>
      </c>
      <c r="I921" s="9"/>
    </row>
    <row r="922" spans="1:9" ht="14.25" customHeight="1" x14ac:dyDescent="0.3">
      <c r="A922" s="6">
        <v>40639</v>
      </c>
      <c r="B922" s="7">
        <v>85.118499999999997</v>
      </c>
      <c r="C922" s="8">
        <f t="shared" si="7"/>
        <v>93.119145560164327</v>
      </c>
      <c r="D922" s="9">
        <f t="shared" si="6"/>
        <v>64.259673584622576</v>
      </c>
      <c r="E922" s="9"/>
      <c r="F922" s="9">
        <f ca="1">IFERROR(__xludf.DUMMYFUNCTION("""COMPUTED_VALUE"""),44385)</f>
        <v>44385</v>
      </c>
      <c r="G922" s="9" t="str">
        <f ca="1">IFERROR(__xludf.DUMMYFUNCTION("""COMPUTED_VALUE"""),"1 USD = 159.2199 PKR")</f>
        <v>1 USD = 159.2199 PKR</v>
      </c>
      <c r="H922" s="9" t="str">
        <f ca="1">IFERROR(__xludf.DUMMYFUNCTION("""COMPUTED_VALUE"""),"USD PKR rate for 08/07/2021")</f>
        <v>USD PKR rate for 08/07/2021</v>
      </c>
      <c r="I922" s="9"/>
    </row>
    <row r="923" spans="1:9" ht="14.25" customHeight="1" x14ac:dyDescent="0.3">
      <c r="A923" s="6">
        <v>40640</v>
      </c>
      <c r="B923" s="7">
        <v>85.283600000000007</v>
      </c>
      <c r="C923" s="8">
        <f t="shared" si="7"/>
        <v>93.135799897777474</v>
      </c>
      <c r="D923" s="9">
        <f t="shared" si="6"/>
        <v>64.262411417419841</v>
      </c>
      <c r="E923" s="9"/>
      <c r="F923" s="9">
        <f ca="1">IFERROR(__xludf.DUMMYFUNCTION("""COMPUTED_VALUE"""),44384)</f>
        <v>44384</v>
      </c>
      <c r="G923" s="9" t="str">
        <f ca="1">IFERROR(__xludf.DUMMYFUNCTION("""COMPUTED_VALUE"""),"1 USD = 158.9049 PKR")</f>
        <v>1 USD = 158.9049 PKR</v>
      </c>
      <c r="H923" s="9" t="str">
        <f ca="1">IFERROR(__xludf.DUMMYFUNCTION("""COMPUTED_VALUE"""),"USD PKR rate for 07/07/2021")</f>
        <v>USD PKR rate for 07/07/2021</v>
      </c>
      <c r="I923" s="9"/>
    </row>
    <row r="924" spans="1:9" ht="14.25" customHeight="1" x14ac:dyDescent="0.3">
      <c r="A924" s="6">
        <v>40641</v>
      </c>
      <c r="B924" s="7">
        <v>85.215599999999995</v>
      </c>
      <c r="C924" s="8">
        <f t="shared" si="7"/>
        <v>93.152457214015044</v>
      </c>
      <c r="D924" s="9">
        <f t="shared" si="6"/>
        <v>64.265149250217107</v>
      </c>
      <c r="E924" s="9"/>
      <c r="F924" s="9">
        <f ca="1">IFERROR(__xludf.DUMMYFUNCTION("""COMPUTED_VALUE"""),44383)</f>
        <v>44383</v>
      </c>
      <c r="G924" s="9" t="str">
        <f ca="1">IFERROR(__xludf.DUMMYFUNCTION("""COMPUTED_VALUE"""),"1 USD = 158.8433 PKR")</f>
        <v>1 USD = 158.8433 PKR</v>
      </c>
      <c r="H924" s="9" t="str">
        <f ca="1">IFERROR(__xludf.DUMMYFUNCTION("""COMPUTED_VALUE"""),"USD PKR rate for 06/07/2021")</f>
        <v>USD PKR rate for 06/07/2021</v>
      </c>
      <c r="I924" s="9"/>
    </row>
    <row r="925" spans="1:9" ht="14.25" customHeight="1" x14ac:dyDescent="0.3">
      <c r="A925" s="6">
        <v>40642</v>
      </c>
      <c r="B925" s="7">
        <v>85.230699999999999</v>
      </c>
      <c r="C925" s="8">
        <f t="shared" si="7"/>
        <v>93.169117509409773</v>
      </c>
      <c r="D925" s="9">
        <f t="shared" si="6"/>
        <v>64.267887083014372</v>
      </c>
      <c r="E925" s="9"/>
      <c r="F925" s="9">
        <f ca="1">IFERROR(__xludf.DUMMYFUNCTION("""COMPUTED_VALUE"""),44382)</f>
        <v>44382</v>
      </c>
      <c r="G925" s="9" t="str">
        <f ca="1">IFERROR(__xludf.DUMMYFUNCTION("""COMPUTED_VALUE"""),"1 USD = 158.0467 PKR")</f>
        <v>1 USD = 158.0467 PKR</v>
      </c>
      <c r="H925" s="9" t="str">
        <f ca="1">IFERROR(__xludf.DUMMYFUNCTION("""COMPUTED_VALUE"""),"USD PKR rate for 05/07/2021")</f>
        <v>USD PKR rate for 05/07/2021</v>
      </c>
      <c r="I925" s="9"/>
    </row>
    <row r="926" spans="1:9" ht="14.25" customHeight="1" x14ac:dyDescent="0.3">
      <c r="A926" s="6">
        <v>40643</v>
      </c>
      <c r="B926" s="7">
        <v>85.287999999999997</v>
      </c>
      <c r="C926" s="8">
        <f t="shared" si="7"/>
        <v>93.185780784494455</v>
      </c>
      <c r="D926" s="9">
        <f t="shared" si="6"/>
        <v>64.270624915811638</v>
      </c>
      <c r="E926" s="9"/>
      <c r="F926" s="9">
        <f ca="1">IFERROR(__xludf.DUMMYFUNCTION("""COMPUTED_VALUE"""),44381)</f>
        <v>44381</v>
      </c>
      <c r="G926" s="9" t="str">
        <f ca="1">IFERROR(__xludf.DUMMYFUNCTION("""COMPUTED_VALUE"""),"1 USD = 157.0609 PKR")</f>
        <v>1 USD = 157.0609 PKR</v>
      </c>
      <c r="H926" s="9" t="str">
        <f ca="1">IFERROR(__xludf.DUMMYFUNCTION("""COMPUTED_VALUE"""),"USD PKR rate for 04/07/2021")</f>
        <v>USD PKR rate for 04/07/2021</v>
      </c>
      <c r="I926" s="9"/>
    </row>
    <row r="927" spans="1:9" ht="14.25" customHeight="1" x14ac:dyDescent="0.3">
      <c r="A927" s="6">
        <v>40644</v>
      </c>
      <c r="B927" s="7">
        <v>84.486900000000006</v>
      </c>
      <c r="C927" s="8">
        <f t="shared" si="7"/>
        <v>93.202447039802024</v>
      </c>
      <c r="D927" s="9">
        <f t="shared" si="6"/>
        <v>64.273362748608903</v>
      </c>
      <c r="E927" s="9"/>
      <c r="F927" s="9">
        <f ca="1">IFERROR(__xludf.DUMMYFUNCTION("""COMPUTED_VALUE"""),44380)</f>
        <v>44380</v>
      </c>
      <c r="G927" s="9" t="str">
        <f ca="1">IFERROR(__xludf.DUMMYFUNCTION("""COMPUTED_VALUE"""),"1 USD = 158.0193 PKR")</f>
        <v>1 USD = 158.0193 PKR</v>
      </c>
      <c r="H927" s="9" t="str">
        <f ca="1">IFERROR(__xludf.DUMMYFUNCTION("""COMPUTED_VALUE"""),"USD PKR rate for 03/07/2021")</f>
        <v>USD PKR rate for 03/07/2021</v>
      </c>
      <c r="I927" s="9"/>
    </row>
    <row r="928" spans="1:9" ht="14.25" customHeight="1" x14ac:dyDescent="0.3">
      <c r="A928" s="6">
        <v>40645</v>
      </c>
      <c r="B928" s="7">
        <v>84.241900000000001</v>
      </c>
      <c r="C928" s="8">
        <f t="shared" si="7"/>
        <v>93.219116275865531</v>
      </c>
      <c r="D928" s="9">
        <f t="shared" si="6"/>
        <v>64.276100581406169</v>
      </c>
      <c r="E928" s="9"/>
      <c r="F928" s="9">
        <f ca="1">IFERROR(__xludf.DUMMYFUNCTION("""COMPUTED_VALUE"""),44379)</f>
        <v>44379</v>
      </c>
      <c r="G928" s="9" t="str">
        <f ca="1">IFERROR(__xludf.DUMMYFUNCTION("""COMPUTED_VALUE"""),"1 USD = 157.7505 PKR")</f>
        <v>1 USD = 157.7505 PKR</v>
      </c>
      <c r="H928" s="9" t="str">
        <f ca="1">IFERROR(__xludf.DUMMYFUNCTION("""COMPUTED_VALUE"""),"USD PKR rate for 02/07/2021")</f>
        <v>USD PKR rate for 02/07/2021</v>
      </c>
      <c r="I928" s="9"/>
    </row>
    <row r="929" spans="1:9" ht="14.25" customHeight="1" x14ac:dyDescent="0.3">
      <c r="A929" s="6">
        <v>40646</v>
      </c>
      <c r="B929" s="7">
        <v>84.429500000000004</v>
      </c>
      <c r="C929" s="8">
        <f t="shared" si="7"/>
        <v>93.23578849321801</v>
      </c>
      <c r="D929" s="9">
        <f t="shared" si="6"/>
        <v>64.278838414203435</v>
      </c>
      <c r="E929" s="9"/>
      <c r="F929" s="9">
        <f ca="1">IFERROR(__xludf.DUMMYFUNCTION("""COMPUTED_VALUE"""),44378)</f>
        <v>44378</v>
      </c>
      <c r="G929" s="9" t="str">
        <f ca="1">IFERROR(__xludf.DUMMYFUNCTION("""COMPUTED_VALUE"""),"1 USD = 158.0685 PKR")</f>
        <v>1 USD = 158.0685 PKR</v>
      </c>
      <c r="H929" s="9" t="str">
        <f ca="1">IFERROR(__xludf.DUMMYFUNCTION("""COMPUTED_VALUE"""),"USD PKR rate for 01/07/2021")</f>
        <v>USD PKR rate for 01/07/2021</v>
      </c>
      <c r="I929" s="9"/>
    </row>
    <row r="930" spans="1:9" ht="14.25" customHeight="1" x14ac:dyDescent="0.3">
      <c r="A930" s="6">
        <v>40647</v>
      </c>
      <c r="B930" s="7">
        <v>84.164500000000004</v>
      </c>
      <c r="C930" s="8">
        <f t="shared" si="7"/>
        <v>93.252463692392638</v>
      </c>
      <c r="D930" s="9">
        <f t="shared" si="6"/>
        <v>64.2815762470007</v>
      </c>
      <c r="E930" s="9"/>
      <c r="F930" s="9">
        <f ca="1">IFERROR(__xludf.DUMMYFUNCTION("""COMPUTED_VALUE"""),44377)</f>
        <v>44377</v>
      </c>
      <c r="G930" s="9" t="str">
        <f ca="1">IFERROR(__xludf.DUMMYFUNCTION("""COMPUTED_VALUE"""),"1 USD = 157.6574 PKR")</f>
        <v>1 USD = 157.6574 PKR</v>
      </c>
      <c r="H930" s="9" t="str">
        <f ca="1">IFERROR(__xludf.DUMMYFUNCTION("""COMPUTED_VALUE"""),"USD PKR rate for 30/06/2021")</f>
        <v>USD PKR rate for 30/06/2021</v>
      </c>
      <c r="I930" s="9"/>
    </row>
    <row r="931" spans="1:9" ht="14.25" customHeight="1" x14ac:dyDescent="0.3">
      <c r="A931" s="6">
        <v>40648</v>
      </c>
      <c r="B931" s="7">
        <v>84.482900000000001</v>
      </c>
      <c r="C931" s="8">
        <f t="shared" si="7"/>
        <v>93.269141873922862</v>
      </c>
      <c r="D931" s="9">
        <f t="shared" si="6"/>
        <v>64.284314079797966</v>
      </c>
      <c r="E931" s="9"/>
      <c r="F931" s="9">
        <f ca="1">IFERROR(__xludf.DUMMYFUNCTION("""COMPUTED_VALUE"""),44376)</f>
        <v>44376</v>
      </c>
      <c r="G931" s="9" t="str">
        <f ca="1">IFERROR(__xludf.DUMMYFUNCTION("""COMPUTED_VALUE"""),"1 USD = 157.8685 PKR")</f>
        <v>1 USD = 157.8685 PKR</v>
      </c>
      <c r="H931" s="9" t="str">
        <f ca="1">IFERROR(__xludf.DUMMYFUNCTION("""COMPUTED_VALUE"""),"USD PKR rate for 29/06/2021")</f>
        <v>USD PKR rate for 29/06/2021</v>
      </c>
      <c r="I931" s="9"/>
    </row>
    <row r="932" spans="1:9" ht="14.25" customHeight="1" x14ac:dyDescent="0.3">
      <c r="A932" s="6">
        <v>40649</v>
      </c>
      <c r="B932" s="7">
        <v>84.482900000000001</v>
      </c>
      <c r="C932" s="8">
        <f t="shared" si="7"/>
        <v>93.28582303834196</v>
      </c>
      <c r="D932" s="9">
        <f t="shared" si="6"/>
        <v>64.287051912595231</v>
      </c>
      <c r="E932" s="9"/>
      <c r="F932" s="9">
        <f ca="1">IFERROR(__xludf.DUMMYFUNCTION("""COMPUTED_VALUE"""),44375)</f>
        <v>44375</v>
      </c>
      <c r="G932" s="9" t="str">
        <f ca="1">IFERROR(__xludf.DUMMYFUNCTION("""COMPUTED_VALUE"""),"1 USD = 157.8719 PKR")</f>
        <v>1 USD = 157.8719 PKR</v>
      </c>
      <c r="H932" s="9" t="str">
        <f ca="1">IFERROR(__xludf.DUMMYFUNCTION("""COMPUTED_VALUE"""),"USD PKR rate for 28/06/2021")</f>
        <v>USD PKR rate for 28/06/2021</v>
      </c>
      <c r="I932" s="9"/>
    </row>
    <row r="933" spans="1:9" ht="14.25" customHeight="1" x14ac:dyDescent="0.3">
      <c r="A933" s="6">
        <v>40650</v>
      </c>
      <c r="B933" s="7">
        <v>84.555400000000006</v>
      </c>
      <c r="C933" s="8">
        <f t="shared" si="7"/>
        <v>93.302507186183476</v>
      </c>
      <c r="D933" s="9">
        <f t="shared" si="6"/>
        <v>64.289789745392497</v>
      </c>
      <c r="E933" s="9"/>
      <c r="F933" s="9">
        <f ca="1">IFERROR(__xludf.DUMMYFUNCTION("""COMPUTED_VALUE"""),44374)</f>
        <v>44374</v>
      </c>
      <c r="G933" s="9" t="str">
        <f ca="1">IFERROR(__xludf.DUMMYFUNCTION("""COMPUTED_VALUE"""),"1 USD = 157.89 PKR")</f>
        <v>1 USD = 157.89 PKR</v>
      </c>
      <c r="H933" s="9" t="str">
        <f ca="1">IFERROR(__xludf.DUMMYFUNCTION("""COMPUTED_VALUE"""),"USD PKR rate for 27/06/2021")</f>
        <v>USD PKR rate for 27/06/2021</v>
      </c>
      <c r="I933" s="9"/>
    </row>
    <row r="934" spans="1:9" ht="14.25" customHeight="1" x14ac:dyDescent="0.3">
      <c r="A934" s="6">
        <v>40651</v>
      </c>
      <c r="B934" s="7">
        <v>84.749300000000005</v>
      </c>
      <c r="C934" s="8">
        <f t="shared" si="7"/>
        <v>93.319194317980958</v>
      </c>
      <c r="D934" s="9">
        <f t="shared" si="6"/>
        <v>64.292527578189762</v>
      </c>
      <c r="E934" s="9"/>
      <c r="F934" s="9">
        <f ca="1">IFERROR(__xludf.DUMMYFUNCTION("""COMPUTED_VALUE"""),44373)</f>
        <v>44373</v>
      </c>
      <c r="G934" s="9" t="str">
        <f ca="1">IFERROR(__xludf.DUMMYFUNCTION("""COMPUTED_VALUE"""),"1 USD = 157.5999 PKR")</f>
        <v>1 USD = 157.5999 PKR</v>
      </c>
      <c r="H934" s="9" t="str">
        <f ca="1">IFERROR(__xludf.DUMMYFUNCTION("""COMPUTED_VALUE"""),"USD PKR rate for 26/06/2021")</f>
        <v>USD PKR rate for 26/06/2021</v>
      </c>
      <c r="I934" s="9"/>
    </row>
    <row r="935" spans="1:9" ht="14.25" customHeight="1" x14ac:dyDescent="0.3">
      <c r="A935" s="6">
        <v>40652</v>
      </c>
      <c r="B935" s="7">
        <v>85.0364</v>
      </c>
      <c r="C935" s="8">
        <f t="shared" si="7"/>
        <v>93.33588443426811</v>
      </c>
      <c r="D935" s="9">
        <f t="shared" si="6"/>
        <v>64.295265410987028</v>
      </c>
      <c r="E935" s="9"/>
      <c r="F935" s="9">
        <f ca="1">IFERROR(__xludf.DUMMYFUNCTION("""COMPUTED_VALUE"""),44372)</f>
        <v>44372</v>
      </c>
      <c r="G935" s="9" t="str">
        <f ca="1">IFERROR(__xludf.DUMMYFUNCTION("""COMPUTED_VALUE"""),"1 USD = 157.5999 PKR")</f>
        <v>1 USD = 157.5999 PKR</v>
      </c>
      <c r="H935" s="9" t="str">
        <f ca="1">IFERROR(__xludf.DUMMYFUNCTION("""COMPUTED_VALUE"""),"USD PKR rate for 25/06/2021")</f>
        <v>USD PKR rate for 25/06/2021</v>
      </c>
      <c r="I935" s="9"/>
    </row>
    <row r="936" spans="1:9" ht="14.25" customHeight="1" x14ac:dyDescent="0.3">
      <c r="A936" s="6">
        <v>40653</v>
      </c>
      <c r="B936" s="7">
        <v>85.040800000000004</v>
      </c>
      <c r="C936" s="8">
        <f t="shared" si="7"/>
        <v>93.352577535578675</v>
      </c>
      <c r="D936" s="9">
        <f t="shared" si="6"/>
        <v>64.298003243784294</v>
      </c>
      <c r="E936" s="9"/>
      <c r="F936" s="9">
        <f ca="1">IFERROR(__xludf.DUMMYFUNCTION("""COMPUTED_VALUE"""),44371)</f>
        <v>44371</v>
      </c>
      <c r="G936" s="9" t="str">
        <f ca="1">IFERROR(__xludf.DUMMYFUNCTION("""COMPUTED_VALUE"""),"1 USD = 157.838 PKR")</f>
        <v>1 USD = 157.838 PKR</v>
      </c>
      <c r="H936" s="9" t="str">
        <f ca="1">IFERROR(__xludf.DUMMYFUNCTION("""COMPUTED_VALUE"""),"USD PKR rate for 24/06/2021")</f>
        <v>USD PKR rate for 24/06/2021</v>
      </c>
      <c r="I936" s="9"/>
    </row>
    <row r="937" spans="1:9" ht="14.25" customHeight="1" x14ac:dyDescent="0.3">
      <c r="A937" s="6">
        <v>40654</v>
      </c>
      <c r="B937" s="7">
        <v>84.833600000000004</v>
      </c>
      <c r="C937" s="8">
        <f t="shared" si="7"/>
        <v>93.369273622446556</v>
      </c>
      <c r="D937" s="9">
        <f t="shared" si="6"/>
        <v>64.300741076581559</v>
      </c>
      <c r="E937" s="9"/>
      <c r="F937" s="9">
        <f ca="1">IFERROR(__xludf.DUMMYFUNCTION("""COMPUTED_VALUE"""),44370)</f>
        <v>44370</v>
      </c>
      <c r="G937" s="9" t="str">
        <f ca="1">IFERROR(__xludf.DUMMYFUNCTION("""COMPUTED_VALUE"""),"1 USD = 158.2398 PKR")</f>
        <v>1 USD = 158.2398 PKR</v>
      </c>
      <c r="H937" s="9" t="str">
        <f ca="1">IFERROR(__xludf.DUMMYFUNCTION("""COMPUTED_VALUE"""),"USD PKR rate for 23/06/2021")</f>
        <v>USD PKR rate for 23/06/2021</v>
      </c>
      <c r="I937" s="9"/>
    </row>
    <row r="938" spans="1:9" ht="14.25" customHeight="1" x14ac:dyDescent="0.3">
      <c r="A938" s="6">
        <v>40655</v>
      </c>
      <c r="B938" s="7">
        <v>84.779799999999994</v>
      </c>
      <c r="C938" s="8">
        <f t="shared" si="7"/>
        <v>93.385972695405712</v>
      </c>
      <c r="D938" s="9">
        <f t="shared" si="6"/>
        <v>64.303478909378825</v>
      </c>
      <c r="E938" s="9"/>
      <c r="F938" s="9">
        <f ca="1">IFERROR(__xludf.DUMMYFUNCTION("""COMPUTED_VALUE"""),44369)</f>
        <v>44369</v>
      </c>
      <c r="G938" s="9" t="str">
        <f ca="1">IFERROR(__xludf.DUMMYFUNCTION("""COMPUTED_VALUE"""),"1 USD = 157.8077 PKR")</f>
        <v>1 USD = 157.8077 PKR</v>
      </c>
      <c r="H938" s="9" t="str">
        <f ca="1">IFERROR(__xludf.DUMMYFUNCTION("""COMPUTED_VALUE"""),"USD PKR rate for 22/06/2021")</f>
        <v>USD PKR rate for 22/06/2021</v>
      </c>
      <c r="I938" s="9"/>
    </row>
    <row r="939" spans="1:9" ht="14.25" customHeight="1" x14ac:dyDescent="0.3">
      <c r="A939" s="6">
        <v>40656</v>
      </c>
      <c r="B939" s="7">
        <v>84.779799999999994</v>
      </c>
      <c r="C939" s="8">
        <f t="shared" si="7"/>
        <v>93.402674754990102</v>
      </c>
      <c r="D939" s="9">
        <f t="shared" si="6"/>
        <v>64.30621674217609</v>
      </c>
      <c r="E939" s="9"/>
      <c r="F939" s="9">
        <f ca="1">IFERROR(__xludf.DUMMYFUNCTION("""COMPUTED_VALUE"""),44368)</f>
        <v>44368</v>
      </c>
      <c r="G939" s="9" t="str">
        <f ca="1">IFERROR(__xludf.DUMMYFUNCTION("""COMPUTED_VALUE"""),"1 USD = 157.5817 PKR")</f>
        <v>1 USD = 157.5817 PKR</v>
      </c>
      <c r="H939" s="9" t="str">
        <f ca="1">IFERROR(__xludf.DUMMYFUNCTION("""COMPUTED_VALUE"""),"USD PKR rate for 21/06/2021")</f>
        <v>USD PKR rate for 21/06/2021</v>
      </c>
      <c r="I939" s="9"/>
    </row>
    <row r="940" spans="1:9" ht="14.25" customHeight="1" x14ac:dyDescent="0.3">
      <c r="A940" s="6">
        <v>40657</v>
      </c>
      <c r="B940" s="7">
        <v>84.6875</v>
      </c>
      <c r="C940" s="8">
        <f t="shared" si="7"/>
        <v>93.419379801734053</v>
      </c>
      <c r="D940" s="9">
        <f t="shared" si="6"/>
        <v>64.308954574973356</v>
      </c>
      <c r="E940" s="9"/>
      <c r="F940" s="9">
        <f ca="1">IFERROR(__xludf.DUMMYFUNCTION("""COMPUTED_VALUE"""),44367)</f>
        <v>44367</v>
      </c>
      <c r="G940" s="9" t="str">
        <f ca="1">IFERROR(__xludf.DUMMYFUNCTION("""COMPUTED_VALUE"""),"1 USD = 157.1186 PKR")</f>
        <v>1 USD = 157.1186 PKR</v>
      </c>
      <c r="H940" s="9" t="str">
        <f ca="1">IFERROR(__xludf.DUMMYFUNCTION("""COMPUTED_VALUE"""),"USD PKR rate for 20/06/2021")</f>
        <v>USD PKR rate for 20/06/2021</v>
      </c>
      <c r="I940" s="9"/>
    </row>
    <row r="941" spans="1:9" ht="14.25" customHeight="1" x14ac:dyDescent="0.3">
      <c r="A941" s="6">
        <v>40658</v>
      </c>
      <c r="B941" s="7">
        <v>84.651200000000003</v>
      </c>
      <c r="C941" s="8">
        <f t="shared" si="7"/>
        <v>93.436087836171765</v>
      </c>
      <c r="D941" s="9">
        <f t="shared" si="6"/>
        <v>64.311692407770622</v>
      </c>
      <c r="E941" s="9"/>
      <c r="F941" s="9">
        <f ca="1">IFERROR(__xludf.DUMMYFUNCTION("""COMPUTED_VALUE"""),44366)</f>
        <v>44366</v>
      </c>
      <c r="G941" s="9" t="str">
        <f ca="1">IFERROR(__xludf.DUMMYFUNCTION("""COMPUTED_VALUE"""),"1 USD = 156.8444 PKR")</f>
        <v>1 USD = 156.8444 PKR</v>
      </c>
      <c r="H941" s="9" t="str">
        <f ca="1">IFERROR(__xludf.DUMMYFUNCTION("""COMPUTED_VALUE"""),"USD PKR rate for 19/06/2021")</f>
        <v>USD PKR rate for 19/06/2021</v>
      </c>
      <c r="I941" s="9"/>
    </row>
    <row r="942" spans="1:9" ht="14.25" customHeight="1" x14ac:dyDescent="0.3">
      <c r="A942" s="6">
        <v>40659</v>
      </c>
      <c r="B942" s="7">
        <v>84.179199999999994</v>
      </c>
      <c r="C942" s="8">
        <f t="shared" si="7"/>
        <v>93.452798858837554</v>
      </c>
      <c r="D942" s="9">
        <f t="shared" si="6"/>
        <v>64.314430240567887</v>
      </c>
      <c r="E942" s="9"/>
      <c r="F942" s="9">
        <f ca="1">IFERROR(__xludf.DUMMYFUNCTION("""COMPUTED_VALUE"""),44365)</f>
        <v>44365</v>
      </c>
      <c r="G942" s="9" t="str">
        <f ca="1">IFERROR(__xludf.DUMMYFUNCTION("""COMPUTED_VALUE"""),"1 USD = 156.8552 PKR")</f>
        <v>1 USD = 156.8552 PKR</v>
      </c>
      <c r="H942" s="9" t="str">
        <f ca="1">IFERROR(__xludf.DUMMYFUNCTION("""COMPUTED_VALUE"""),"USD PKR rate for 18/06/2021")</f>
        <v>USD PKR rate for 18/06/2021</v>
      </c>
      <c r="I942" s="9"/>
    </row>
    <row r="943" spans="1:9" ht="14.25" customHeight="1" x14ac:dyDescent="0.3">
      <c r="A943" s="6">
        <v>40660</v>
      </c>
      <c r="B943" s="7">
        <v>84.588700000000003</v>
      </c>
      <c r="C943" s="8">
        <f t="shared" si="7"/>
        <v>93.469512870265874</v>
      </c>
      <c r="D943" s="9">
        <f t="shared" si="6"/>
        <v>64.317168073365153</v>
      </c>
      <c r="E943" s="9"/>
      <c r="F943" s="9">
        <f ca="1">IFERROR(__xludf.DUMMYFUNCTION("""COMPUTED_VALUE"""),44364)</f>
        <v>44364</v>
      </c>
      <c r="G943" s="9" t="str">
        <f ca="1">IFERROR(__xludf.DUMMYFUNCTION("""COMPUTED_VALUE"""),"1 USD = 157.1065 PKR")</f>
        <v>1 USD = 157.1065 PKR</v>
      </c>
      <c r="H943" s="9" t="str">
        <f ca="1">IFERROR(__xludf.DUMMYFUNCTION("""COMPUTED_VALUE"""),"USD PKR rate for 17/06/2021")</f>
        <v>USD PKR rate for 17/06/2021</v>
      </c>
      <c r="I943" s="9"/>
    </row>
    <row r="944" spans="1:9" ht="14.25" customHeight="1" x14ac:dyDescent="0.3">
      <c r="A944" s="6">
        <v>40661</v>
      </c>
      <c r="B944" s="7">
        <v>84.277000000000001</v>
      </c>
      <c r="C944" s="8">
        <f t="shared" si="7"/>
        <v>93.486229870991266</v>
      </c>
      <c r="D944" s="9">
        <f t="shared" si="6"/>
        <v>64.319905906162418</v>
      </c>
      <c r="E944" s="9"/>
      <c r="F944" s="9">
        <f ca="1">IFERROR(__xludf.DUMMYFUNCTION("""COMPUTED_VALUE"""),44363)</f>
        <v>44363</v>
      </c>
      <c r="G944" s="9" t="str">
        <f ca="1">IFERROR(__xludf.DUMMYFUNCTION("""COMPUTED_VALUE"""),"1 USD = 156.4835 PKR")</f>
        <v>1 USD = 156.4835 PKR</v>
      </c>
      <c r="H944" s="9" t="str">
        <f ca="1">IFERROR(__xludf.DUMMYFUNCTION("""COMPUTED_VALUE"""),"USD PKR rate for 16/06/2021")</f>
        <v>USD PKR rate for 16/06/2021</v>
      </c>
      <c r="I944" s="9"/>
    </row>
    <row r="945" spans="1:9" ht="14.25" customHeight="1" x14ac:dyDescent="0.3">
      <c r="A945" s="6">
        <v>40662</v>
      </c>
      <c r="B945" s="7">
        <v>84.41070000000002</v>
      </c>
      <c r="C945" s="8">
        <f t="shared" si="7"/>
        <v>93.502949861548387</v>
      </c>
      <c r="D945" s="9">
        <f t="shared" si="6"/>
        <v>64.322643738959684</v>
      </c>
      <c r="E945" s="9"/>
      <c r="F945" s="9">
        <f ca="1">IFERROR(__xludf.DUMMYFUNCTION("""COMPUTED_VALUE"""),44362)</f>
        <v>44362</v>
      </c>
      <c r="G945" s="9" t="str">
        <f ca="1">IFERROR(__xludf.DUMMYFUNCTION("""COMPUTED_VALUE"""),"1 USD = 155.7387 PKR")</f>
        <v>1 USD = 155.7387 PKR</v>
      </c>
      <c r="H945" s="9" t="str">
        <f ca="1">IFERROR(__xludf.DUMMYFUNCTION("""COMPUTED_VALUE"""),"USD PKR rate for 15/06/2021")</f>
        <v>USD PKR rate for 15/06/2021</v>
      </c>
      <c r="I945" s="9"/>
    </row>
    <row r="946" spans="1:9" ht="14.25" customHeight="1" x14ac:dyDescent="0.3">
      <c r="A946" s="6">
        <v>40663</v>
      </c>
      <c r="B946" s="7">
        <v>84.41070000000002</v>
      </c>
      <c r="C946" s="8">
        <f t="shared" si="7"/>
        <v>93.519672842471934</v>
      </c>
      <c r="D946" s="9">
        <f t="shared" si="6"/>
        <v>64.325381571756949</v>
      </c>
      <c r="E946" s="9"/>
      <c r="F946" s="9">
        <f ca="1">IFERROR(__xludf.DUMMYFUNCTION("""COMPUTED_VALUE"""),44361)</f>
        <v>44361</v>
      </c>
      <c r="G946" s="9" t="str">
        <f ca="1">IFERROR(__xludf.DUMMYFUNCTION("""COMPUTED_VALUE"""),"1 USD = 155.8582 PKR")</f>
        <v>1 USD = 155.8582 PKR</v>
      </c>
      <c r="H946" s="9" t="str">
        <f ca="1">IFERROR(__xludf.DUMMYFUNCTION("""COMPUTED_VALUE"""),"USD PKR rate for 14/06/2021")</f>
        <v>USD PKR rate for 14/06/2021</v>
      </c>
      <c r="I946" s="9"/>
    </row>
    <row r="947" spans="1:9" ht="14.25" customHeight="1" x14ac:dyDescent="0.3">
      <c r="A947" s="6">
        <v>40664</v>
      </c>
      <c r="B947" s="7">
        <v>84.511899999999997</v>
      </c>
      <c r="C947" s="8">
        <f t="shared" si="7"/>
        <v>93.536398814296732</v>
      </c>
      <c r="D947" s="9">
        <f t="shared" si="6"/>
        <v>64.328119404554215</v>
      </c>
      <c r="E947" s="9"/>
      <c r="F947" s="9">
        <f ca="1">IFERROR(__xludf.DUMMYFUNCTION("""COMPUTED_VALUE"""),44360)</f>
        <v>44360</v>
      </c>
      <c r="G947" s="9" t="str">
        <f ca="1">IFERROR(__xludf.DUMMYFUNCTION("""COMPUTED_VALUE"""),"1 USD = 155.9858 PKR")</f>
        <v>1 USD = 155.9858 PKR</v>
      </c>
      <c r="H947" s="9" t="str">
        <f ca="1">IFERROR(__xludf.DUMMYFUNCTION("""COMPUTED_VALUE"""),"USD PKR rate for 13/06/2021")</f>
        <v>USD PKR rate for 13/06/2021</v>
      </c>
      <c r="I947" s="9"/>
    </row>
    <row r="948" spans="1:9" ht="14.25" customHeight="1" x14ac:dyDescent="0.3">
      <c r="A948" s="6">
        <v>40665</v>
      </c>
      <c r="B948" s="7">
        <v>84.291300000000007</v>
      </c>
      <c r="C948" s="8">
        <f t="shared" si="7"/>
        <v>93.553127777557663</v>
      </c>
      <c r="D948" s="9">
        <f t="shared" si="6"/>
        <v>64.330857237351481</v>
      </c>
      <c r="E948" s="9"/>
      <c r="F948" s="9">
        <f ca="1">IFERROR(__xludf.DUMMYFUNCTION("""COMPUTED_VALUE"""),44359)</f>
        <v>44359</v>
      </c>
      <c r="G948" s="9" t="str">
        <f ca="1">IFERROR(__xludf.DUMMYFUNCTION("""COMPUTED_VALUE"""),"1 USD = 155.9055 PKR")</f>
        <v>1 USD = 155.9055 PKR</v>
      </c>
      <c r="H948" s="9" t="str">
        <f ca="1">IFERROR(__xludf.DUMMYFUNCTION("""COMPUTED_VALUE"""),"USD PKR rate for 12/06/2021")</f>
        <v>USD PKR rate for 12/06/2021</v>
      </c>
      <c r="I948" s="9"/>
    </row>
    <row r="949" spans="1:9" ht="14.25" customHeight="1" x14ac:dyDescent="0.3">
      <c r="A949" s="6">
        <v>40666</v>
      </c>
      <c r="B949" s="7">
        <v>84.275500000000008</v>
      </c>
      <c r="C949" s="8">
        <f t="shared" si="7"/>
        <v>93.569859732789851</v>
      </c>
      <c r="D949" s="9">
        <f t="shared" si="6"/>
        <v>64.333595070148746</v>
      </c>
      <c r="E949" s="9"/>
      <c r="F949" s="9">
        <f ca="1">IFERROR(__xludf.DUMMYFUNCTION("""COMPUTED_VALUE"""),44358)</f>
        <v>44358</v>
      </c>
      <c r="G949" s="9" t="str">
        <f ca="1">IFERROR(__xludf.DUMMYFUNCTION("""COMPUTED_VALUE"""),"1 USD = 156.7038 PKR")</f>
        <v>1 USD = 156.7038 PKR</v>
      </c>
      <c r="H949" s="9" t="str">
        <f ca="1">IFERROR(__xludf.DUMMYFUNCTION("""COMPUTED_VALUE"""),"USD PKR rate for 11/06/2021")</f>
        <v>USD PKR rate for 11/06/2021</v>
      </c>
      <c r="I949" s="9"/>
    </row>
    <row r="950" spans="1:9" ht="14.25" customHeight="1" x14ac:dyDescent="0.3">
      <c r="A950" s="6">
        <v>40667</v>
      </c>
      <c r="B950" s="7">
        <v>84.285600000000002</v>
      </c>
      <c r="C950" s="8">
        <f t="shared" si="7"/>
        <v>93.586594680528364</v>
      </c>
      <c r="D950" s="9">
        <f t="shared" si="6"/>
        <v>64.336332902946012</v>
      </c>
      <c r="E950" s="9"/>
      <c r="F950" s="9">
        <f ca="1">IFERROR(__xludf.DUMMYFUNCTION("""COMPUTED_VALUE"""),44357)</f>
        <v>44357</v>
      </c>
      <c r="G950" s="9" t="str">
        <f ca="1">IFERROR(__xludf.DUMMYFUNCTION("""COMPUTED_VALUE"""),"1 USD = 155.7336 PKR")</f>
        <v>1 USD = 155.7336 PKR</v>
      </c>
      <c r="H950" s="9" t="str">
        <f ca="1">IFERROR(__xludf.DUMMYFUNCTION("""COMPUTED_VALUE"""),"USD PKR rate for 10/06/2021")</f>
        <v>USD PKR rate for 10/06/2021</v>
      </c>
      <c r="I950" s="9"/>
    </row>
    <row r="951" spans="1:9" ht="14.25" customHeight="1" x14ac:dyDescent="0.3">
      <c r="A951" s="6">
        <v>40668</v>
      </c>
      <c r="B951" s="7">
        <v>84.914199999999994</v>
      </c>
      <c r="C951" s="8">
        <f t="shared" si="7"/>
        <v>93.603332621308411</v>
      </c>
      <c r="D951" s="9">
        <f t="shared" si="6"/>
        <v>64.339070735743277</v>
      </c>
      <c r="E951" s="9"/>
      <c r="F951" s="9">
        <f ca="1">IFERROR(__xludf.DUMMYFUNCTION("""COMPUTED_VALUE"""),44356)</f>
        <v>44356</v>
      </c>
      <c r="G951" s="9" t="str">
        <f ca="1">IFERROR(__xludf.DUMMYFUNCTION("""COMPUTED_VALUE"""),"1 USD = 155.7805 PKR")</f>
        <v>1 USD = 155.7805 PKR</v>
      </c>
      <c r="H951" s="9" t="str">
        <f ca="1">IFERROR(__xludf.DUMMYFUNCTION("""COMPUTED_VALUE"""),"USD PKR rate for 09/06/2021")</f>
        <v>USD PKR rate for 09/06/2021</v>
      </c>
      <c r="I951" s="9"/>
    </row>
    <row r="952" spans="1:9" ht="14.25" customHeight="1" x14ac:dyDescent="0.3">
      <c r="A952" s="6">
        <v>40669</v>
      </c>
      <c r="B952" s="7">
        <v>85.162400000000005</v>
      </c>
      <c r="C952" s="8">
        <f t="shared" si="7"/>
        <v>93.620073555665286</v>
      </c>
      <c r="D952" s="9">
        <f t="shared" si="6"/>
        <v>64.341808568540543</v>
      </c>
      <c r="E952" s="9"/>
      <c r="F952" s="9">
        <f ca="1">IFERROR(__xludf.DUMMYFUNCTION("""COMPUTED_VALUE"""),44355)</f>
        <v>44355</v>
      </c>
      <c r="G952" s="9" t="str">
        <f ca="1">IFERROR(__xludf.DUMMYFUNCTION("""COMPUTED_VALUE"""),"1 USD = 155.5688 PKR")</f>
        <v>1 USD = 155.5688 PKR</v>
      </c>
      <c r="H952" s="9" t="str">
        <f ca="1">IFERROR(__xludf.DUMMYFUNCTION("""COMPUTED_VALUE"""),"USD PKR rate for 08/06/2021")</f>
        <v>USD PKR rate for 08/06/2021</v>
      </c>
      <c r="I952" s="9"/>
    </row>
    <row r="953" spans="1:9" ht="14.25" customHeight="1" x14ac:dyDescent="0.3">
      <c r="A953" s="6">
        <v>40670</v>
      </c>
      <c r="B953" s="7">
        <v>85.162400000000005</v>
      </c>
      <c r="C953" s="8">
        <f t="shared" si="7"/>
        <v>93.636817484134397</v>
      </c>
      <c r="D953" s="9">
        <f t="shared" si="6"/>
        <v>64.344546401337809</v>
      </c>
      <c r="E953" s="9"/>
      <c r="F953" s="9">
        <f ca="1">IFERROR(__xludf.DUMMYFUNCTION("""COMPUTED_VALUE"""),44354)</f>
        <v>44354</v>
      </c>
      <c r="G953" s="9" t="str">
        <f ca="1">IFERROR(__xludf.DUMMYFUNCTION("""COMPUTED_VALUE"""),"1 USD = 155.0701 PKR")</f>
        <v>1 USD = 155.0701 PKR</v>
      </c>
      <c r="H953" s="9" t="str">
        <f ca="1">IFERROR(__xludf.DUMMYFUNCTION("""COMPUTED_VALUE"""),"USD PKR rate for 07/06/2021")</f>
        <v>USD PKR rate for 07/06/2021</v>
      </c>
      <c r="I953" s="9"/>
    </row>
    <row r="954" spans="1:9" ht="14.25" customHeight="1" x14ac:dyDescent="0.3">
      <c r="A954" s="6">
        <v>40671</v>
      </c>
      <c r="B954" s="7">
        <v>85.245800000000003</v>
      </c>
      <c r="C954" s="8">
        <f t="shared" si="7"/>
        <v>93.653564407251224</v>
      </c>
      <c r="D954" s="9">
        <f t="shared" si="6"/>
        <v>64.347284234135074</v>
      </c>
      <c r="E954" s="9"/>
      <c r="F954" s="9">
        <f ca="1">IFERROR(__xludf.DUMMYFUNCTION("""COMPUTED_VALUE"""),44353)</f>
        <v>44353</v>
      </c>
      <c r="G954" s="9" t="str">
        <f ca="1">IFERROR(__xludf.DUMMYFUNCTION("""COMPUTED_VALUE"""),"1 USD = 154.4914 PKR")</f>
        <v>1 USD = 154.4914 PKR</v>
      </c>
      <c r="H954" s="9" t="str">
        <f ca="1">IFERROR(__xludf.DUMMYFUNCTION("""COMPUTED_VALUE"""),"USD PKR rate for 06/06/2021")</f>
        <v>USD PKR rate for 06/06/2021</v>
      </c>
      <c r="I954" s="9"/>
    </row>
    <row r="955" spans="1:9" ht="14.25" customHeight="1" x14ac:dyDescent="0.3">
      <c r="A955" s="6">
        <v>40672</v>
      </c>
      <c r="B955" s="7">
        <v>84.885099999999994</v>
      </c>
      <c r="C955" s="8">
        <f t="shared" si="7"/>
        <v>93.670314325551374</v>
      </c>
      <c r="D955" s="9">
        <f t="shared" si="6"/>
        <v>64.35002206693234</v>
      </c>
      <c r="E955" s="9"/>
      <c r="F955" s="9">
        <f ca="1">IFERROR(__xludf.DUMMYFUNCTION("""COMPUTED_VALUE"""),44352)</f>
        <v>44352</v>
      </c>
      <c r="G955" s="9" t="str">
        <f ca="1">IFERROR(__xludf.DUMMYFUNCTION("""COMPUTED_VALUE"""),"1 USD = 154.4966 PKR")</f>
        <v>1 USD = 154.4966 PKR</v>
      </c>
      <c r="H955" s="9" t="str">
        <f ca="1">IFERROR(__xludf.DUMMYFUNCTION("""COMPUTED_VALUE"""),"USD PKR rate for 05/06/2021")</f>
        <v>USD PKR rate for 05/06/2021</v>
      </c>
      <c r="I955" s="9"/>
    </row>
    <row r="956" spans="1:9" ht="14.25" customHeight="1" x14ac:dyDescent="0.3">
      <c r="A956" s="6">
        <v>40673</v>
      </c>
      <c r="B956" s="7">
        <v>84.646100000000004</v>
      </c>
      <c r="C956" s="8">
        <f t="shared" si="7"/>
        <v>93.687067239570538</v>
      </c>
      <c r="D956" s="9">
        <f t="shared" si="6"/>
        <v>64.352759899729605</v>
      </c>
      <c r="E956" s="9"/>
      <c r="F956" s="9">
        <f ca="1">IFERROR(__xludf.DUMMYFUNCTION("""COMPUTED_VALUE"""),44351)</f>
        <v>44351</v>
      </c>
      <c r="G956" s="9" t="str">
        <f ca="1">IFERROR(__xludf.DUMMYFUNCTION("""COMPUTED_VALUE"""),"1 USD = 154.4966 PKR")</f>
        <v>1 USD = 154.4966 PKR</v>
      </c>
      <c r="H956" s="9" t="str">
        <f ca="1">IFERROR(__xludf.DUMMYFUNCTION("""COMPUTED_VALUE"""),"USD PKR rate for 04/06/2021")</f>
        <v>USD PKR rate for 04/06/2021</v>
      </c>
      <c r="I956" s="9"/>
    </row>
    <row r="957" spans="1:9" ht="14.25" customHeight="1" x14ac:dyDescent="0.3">
      <c r="A957" s="6">
        <v>40674</v>
      </c>
      <c r="B957" s="7">
        <v>84.777600000000007</v>
      </c>
      <c r="C957" s="8">
        <f t="shared" si="7"/>
        <v>93.703823149844411</v>
      </c>
      <c r="D957" s="9">
        <f t="shared" si="6"/>
        <v>64.355497732526871</v>
      </c>
      <c r="E957" s="9"/>
      <c r="F957" s="9">
        <f ca="1">IFERROR(__xludf.DUMMYFUNCTION("""COMPUTED_VALUE"""),44350)</f>
        <v>44350</v>
      </c>
      <c r="G957" s="9" t="str">
        <f ca="1">IFERROR(__xludf.DUMMYFUNCTION("""COMPUTED_VALUE"""),"1 USD = 154.7429 PKR")</f>
        <v>1 USD = 154.7429 PKR</v>
      </c>
      <c r="H957" s="9" t="str">
        <f ca="1">IFERROR(__xludf.DUMMYFUNCTION("""COMPUTED_VALUE"""),"USD PKR rate for 03/06/2021")</f>
        <v>USD PKR rate for 03/06/2021</v>
      </c>
      <c r="I957" s="9"/>
    </row>
    <row r="958" spans="1:9" ht="14.25" customHeight="1" x14ac:dyDescent="0.3">
      <c r="A958" s="6">
        <v>40675</v>
      </c>
      <c r="B958" s="7">
        <v>84.623000000000005</v>
      </c>
      <c r="C958" s="8">
        <f t="shared" si="7"/>
        <v>93.720582056909038</v>
      </c>
      <c r="D958" s="9">
        <f t="shared" si="6"/>
        <v>64.358235565324136</v>
      </c>
      <c r="E958" s="9"/>
      <c r="F958" s="9">
        <f ca="1">IFERROR(__xludf.DUMMYFUNCTION("""COMPUTED_VALUE"""),44349)</f>
        <v>44349</v>
      </c>
      <c r="G958" s="9" t="str">
        <f ca="1">IFERROR(__xludf.DUMMYFUNCTION("""COMPUTED_VALUE"""),"1 USD = 154.9887 PKR")</f>
        <v>1 USD = 154.9887 PKR</v>
      </c>
      <c r="H958" s="9" t="str">
        <f ca="1">IFERROR(__xludf.DUMMYFUNCTION("""COMPUTED_VALUE"""),"USD PKR rate for 02/06/2021")</f>
        <v>USD PKR rate for 02/06/2021</v>
      </c>
      <c r="I958" s="9"/>
    </row>
    <row r="959" spans="1:9" ht="14.25" customHeight="1" x14ac:dyDescent="0.3">
      <c r="A959" s="6">
        <v>40676</v>
      </c>
      <c r="B959" s="7">
        <v>85.377300000000005</v>
      </c>
      <c r="C959" s="8">
        <f t="shared" si="7"/>
        <v>93.737343961300311</v>
      </c>
      <c r="D959" s="9">
        <f t="shared" si="6"/>
        <v>64.360973398121402</v>
      </c>
      <c r="E959" s="9"/>
      <c r="F959" s="9">
        <f ca="1">IFERROR(__xludf.DUMMYFUNCTION("""COMPUTED_VALUE"""),44348)</f>
        <v>44348</v>
      </c>
      <c r="G959" s="9" t="str">
        <f ca="1">IFERROR(__xludf.DUMMYFUNCTION("""COMPUTED_VALUE"""),"1 USD = 154.4043 PKR")</f>
        <v>1 USD = 154.4043 PKR</v>
      </c>
      <c r="H959" s="9" t="str">
        <f ca="1">IFERROR(__xludf.DUMMYFUNCTION("""COMPUTED_VALUE"""),"USD PKR rate for 01/06/2021")</f>
        <v>USD PKR rate for 01/06/2021</v>
      </c>
      <c r="I959" s="9"/>
    </row>
    <row r="960" spans="1:9" ht="14.25" customHeight="1" x14ac:dyDescent="0.3">
      <c r="A960" s="6">
        <v>40677</v>
      </c>
      <c r="B960" s="7">
        <v>85.392200000000003</v>
      </c>
      <c r="C960" s="8">
        <f t="shared" si="7"/>
        <v>93.754108863554308</v>
      </c>
      <c r="D960" s="9">
        <f t="shared" si="6"/>
        <v>64.363711230918668</v>
      </c>
      <c r="E960" s="9"/>
      <c r="F960" s="9">
        <f ca="1">IFERROR(__xludf.DUMMYFUNCTION("""COMPUTED_VALUE"""),44347)</f>
        <v>44347</v>
      </c>
      <c r="G960" s="9" t="str">
        <f ca="1">IFERROR(__xludf.DUMMYFUNCTION("""COMPUTED_VALUE"""),"1 USD = 154.1704 PKR")</f>
        <v>1 USD = 154.1704 PKR</v>
      </c>
      <c r="H960" s="9" t="str">
        <f ca="1">IFERROR(__xludf.DUMMYFUNCTION("""COMPUTED_VALUE"""),"USD PKR rate for 31/05/2021")</f>
        <v>USD PKR rate for 31/05/2021</v>
      </c>
      <c r="I960" s="9"/>
    </row>
    <row r="961" spans="1:9" ht="14.25" customHeight="1" x14ac:dyDescent="0.3">
      <c r="A961" s="6">
        <v>40678</v>
      </c>
      <c r="B961" s="7">
        <v>85.497799999999998</v>
      </c>
      <c r="C961" s="8">
        <f t="shared" si="7"/>
        <v>93.770876764207173</v>
      </c>
      <c r="D961" s="9">
        <f t="shared" si="6"/>
        <v>64.366449063715933</v>
      </c>
      <c r="E961" s="9"/>
      <c r="F961" s="9">
        <f ca="1">IFERROR(__xludf.DUMMYFUNCTION("""COMPUTED_VALUE"""),44346)</f>
        <v>44346</v>
      </c>
      <c r="G961" s="9" t="str">
        <f ca="1">IFERROR(__xludf.DUMMYFUNCTION("""COMPUTED_VALUE"""),"1 USD = 154.9388 PKR")</f>
        <v>1 USD = 154.9388 PKR</v>
      </c>
      <c r="H961" s="9" t="str">
        <f ca="1">IFERROR(__xludf.DUMMYFUNCTION("""COMPUTED_VALUE"""),"USD PKR rate for 30/05/2021")</f>
        <v>USD PKR rate for 30/05/2021</v>
      </c>
      <c r="I961" s="9"/>
    </row>
    <row r="962" spans="1:9" ht="14.25" customHeight="1" x14ac:dyDescent="0.3">
      <c r="A962" s="6">
        <v>40679</v>
      </c>
      <c r="B962" s="7">
        <v>85.031700000000001</v>
      </c>
      <c r="C962" s="8">
        <f t="shared" si="7"/>
        <v>93.787647663795198</v>
      </c>
      <c r="D962" s="9">
        <f t="shared" si="6"/>
        <v>64.369186896513199</v>
      </c>
      <c r="E962" s="9"/>
      <c r="F962" s="9">
        <f ca="1">IFERROR(__xludf.DUMMYFUNCTION("""COMPUTED_VALUE"""),44345)</f>
        <v>44345</v>
      </c>
      <c r="G962" s="9" t="str">
        <f ca="1">IFERROR(__xludf.DUMMYFUNCTION("""COMPUTED_VALUE"""),"1 USD = 154.6053 PKR")</f>
        <v>1 USD = 154.6053 PKR</v>
      </c>
      <c r="H962" s="9" t="str">
        <f ca="1">IFERROR(__xludf.DUMMYFUNCTION("""COMPUTED_VALUE"""),"USD PKR rate for 29/05/2021")</f>
        <v>USD PKR rate for 29/05/2021</v>
      </c>
      <c r="I962" s="9"/>
    </row>
    <row r="963" spans="1:9" ht="14.25" customHeight="1" x14ac:dyDescent="0.3">
      <c r="A963" s="6">
        <v>40680</v>
      </c>
      <c r="B963" s="7">
        <v>85.638199999999998</v>
      </c>
      <c r="C963" s="8">
        <f t="shared" si="7"/>
        <v>93.804421562854714</v>
      </c>
      <c r="D963" s="9">
        <f t="shared" si="6"/>
        <v>64.371924729310464</v>
      </c>
      <c r="E963" s="9"/>
      <c r="F963" s="9">
        <f ca="1">IFERROR(__xludf.DUMMYFUNCTION("""COMPUTED_VALUE"""),44344)</f>
        <v>44344</v>
      </c>
      <c r="G963" s="9" t="str">
        <f ca="1">IFERROR(__xludf.DUMMYFUNCTION("""COMPUTED_VALUE"""),"1 USD = 154.6053 PKR")</f>
        <v>1 USD = 154.6053 PKR</v>
      </c>
      <c r="H963" s="9" t="str">
        <f ca="1">IFERROR(__xludf.DUMMYFUNCTION("""COMPUTED_VALUE"""),"USD PKR rate for 28/05/2021")</f>
        <v>USD PKR rate for 28/05/2021</v>
      </c>
      <c r="I963" s="9"/>
    </row>
    <row r="964" spans="1:9" ht="14.25" customHeight="1" x14ac:dyDescent="0.3">
      <c r="A964" s="6">
        <v>40681</v>
      </c>
      <c r="B964" s="7">
        <v>85.621600000000001</v>
      </c>
      <c r="C964" s="8">
        <f t="shared" si="7"/>
        <v>93.821198461922208</v>
      </c>
      <c r="D964" s="9">
        <f t="shared" si="6"/>
        <v>64.37466256210773</v>
      </c>
      <c r="E964" s="9"/>
      <c r="F964" s="9">
        <f ca="1">IFERROR(__xludf.DUMMYFUNCTION("""COMPUTED_VALUE"""),44343)</f>
        <v>44343</v>
      </c>
      <c r="G964" s="9" t="str">
        <f ca="1">IFERROR(__xludf.DUMMYFUNCTION("""COMPUTED_VALUE"""),"1 USD = 155.2885 PKR")</f>
        <v>1 USD = 155.2885 PKR</v>
      </c>
      <c r="H964" s="9" t="str">
        <f ca="1">IFERROR(__xludf.DUMMYFUNCTION("""COMPUTED_VALUE"""),"USD PKR rate for 27/05/2021")</f>
        <v>USD PKR rate for 27/05/2021</v>
      </c>
      <c r="I964" s="9"/>
    </row>
    <row r="965" spans="1:9" ht="14.25" customHeight="1" x14ac:dyDescent="0.3">
      <c r="A965" s="6">
        <v>40682</v>
      </c>
      <c r="B965" s="7">
        <v>86.237200000000001</v>
      </c>
      <c r="C965" s="8">
        <f t="shared" si="7"/>
        <v>93.837978361534212</v>
      </c>
      <c r="D965" s="9">
        <f t="shared" si="6"/>
        <v>64.377400394904996</v>
      </c>
      <c r="E965" s="9"/>
      <c r="F965" s="9">
        <f ca="1">IFERROR(__xludf.DUMMYFUNCTION("""COMPUTED_VALUE"""),44342)</f>
        <v>44342</v>
      </c>
      <c r="G965" s="9" t="str">
        <f ca="1">IFERROR(__xludf.DUMMYFUNCTION("""COMPUTED_VALUE"""),"1 USD = 155.0921 PKR")</f>
        <v>1 USD = 155.0921 PKR</v>
      </c>
      <c r="H965" s="9" t="str">
        <f ca="1">IFERROR(__xludf.DUMMYFUNCTION("""COMPUTED_VALUE"""),"USD PKR rate for 26/05/2021")</f>
        <v>USD PKR rate for 26/05/2021</v>
      </c>
      <c r="I965" s="9"/>
    </row>
    <row r="966" spans="1:9" ht="14.25" customHeight="1" x14ac:dyDescent="0.3">
      <c r="A966" s="6">
        <v>40683</v>
      </c>
      <c r="B966" s="7">
        <v>86.156999999999996</v>
      </c>
      <c r="C966" s="8">
        <f t="shared" si="7"/>
        <v>93.854761262227299</v>
      </c>
      <c r="D966" s="9">
        <f t="shared" si="6"/>
        <v>64.380138227702261</v>
      </c>
      <c r="E966" s="9"/>
      <c r="F966" s="9">
        <f ca="1">IFERROR(__xludf.DUMMYFUNCTION("""COMPUTED_VALUE"""),44341)</f>
        <v>44341</v>
      </c>
      <c r="G966" s="9" t="str">
        <f ca="1">IFERROR(__xludf.DUMMYFUNCTION("""COMPUTED_VALUE"""),"1 USD = 154.2905 PKR")</f>
        <v>1 USD = 154.2905 PKR</v>
      </c>
      <c r="H966" s="9" t="str">
        <f ca="1">IFERROR(__xludf.DUMMYFUNCTION("""COMPUTED_VALUE"""),"USD PKR rate for 25/05/2021")</f>
        <v>USD PKR rate for 25/05/2021</v>
      </c>
      <c r="I966" s="9"/>
    </row>
    <row r="967" spans="1:9" ht="14.25" customHeight="1" x14ac:dyDescent="0.3">
      <c r="A967" s="6">
        <v>40684</v>
      </c>
      <c r="B967" s="7">
        <v>86.156999999999996</v>
      </c>
      <c r="C967" s="8">
        <f t="shared" si="7"/>
        <v>93.871547164538356</v>
      </c>
      <c r="D967" s="9">
        <f t="shared" si="6"/>
        <v>64.382876060499527</v>
      </c>
      <c r="E967" s="9"/>
      <c r="F967" s="9">
        <f ca="1">IFERROR(__xludf.DUMMYFUNCTION("""COMPUTED_VALUE"""),44340)</f>
        <v>44340</v>
      </c>
      <c r="G967" s="9" t="str">
        <f ca="1">IFERROR(__xludf.DUMMYFUNCTION("""COMPUTED_VALUE"""),"1 USD = 153.8108 PKR")</f>
        <v>1 USD = 153.8108 PKR</v>
      </c>
      <c r="H967" s="9" t="str">
        <f ca="1">IFERROR(__xludf.DUMMYFUNCTION("""COMPUTED_VALUE"""),"USD PKR rate for 24/05/2021")</f>
        <v>USD PKR rate for 24/05/2021</v>
      </c>
      <c r="I967" s="9"/>
    </row>
    <row r="968" spans="1:9" ht="14.25" customHeight="1" x14ac:dyDescent="0.3">
      <c r="A968" s="6">
        <v>40685</v>
      </c>
      <c r="B968" s="7">
        <v>86.252700000000019</v>
      </c>
      <c r="C968" s="8">
        <f t="shared" si="7"/>
        <v>93.888336069004154</v>
      </c>
      <c r="D968" s="9">
        <f t="shared" si="6"/>
        <v>64.385613893296792</v>
      </c>
      <c r="E968" s="9"/>
      <c r="F968" s="9">
        <f ca="1">IFERROR(__xludf.DUMMYFUNCTION("""COMPUTED_VALUE"""),44339)</f>
        <v>44339</v>
      </c>
      <c r="G968" s="9" t="str">
        <f ca="1">IFERROR(__xludf.DUMMYFUNCTION("""COMPUTED_VALUE"""),"1 USD = 153.4929 PKR")</f>
        <v>1 USD = 153.4929 PKR</v>
      </c>
      <c r="H968" s="9" t="str">
        <f ca="1">IFERROR(__xludf.DUMMYFUNCTION("""COMPUTED_VALUE"""),"USD PKR rate for 23/05/2021")</f>
        <v>USD PKR rate for 23/05/2021</v>
      </c>
      <c r="I968" s="9"/>
    </row>
    <row r="969" spans="1:9" ht="14.25" customHeight="1" x14ac:dyDescent="0.3">
      <c r="A969" s="6">
        <v>40686</v>
      </c>
      <c r="B969" s="7">
        <v>85.811700000000002</v>
      </c>
      <c r="C969" s="8">
        <f t="shared" si="7"/>
        <v>93.905127976161623</v>
      </c>
      <c r="D969" s="9">
        <f t="shared" si="6"/>
        <v>64.388351726094058</v>
      </c>
      <c r="E969" s="9"/>
      <c r="F969" s="9">
        <f ca="1">IFERROR(__xludf.DUMMYFUNCTION("""COMPUTED_VALUE"""),44338)</f>
        <v>44338</v>
      </c>
      <c r="G969" s="9" t="str">
        <f ca="1">IFERROR(__xludf.DUMMYFUNCTION("""COMPUTED_VALUE"""),"1 USD = 153.4554 PKR")</f>
        <v>1 USD = 153.4554 PKR</v>
      </c>
      <c r="H969" s="9" t="str">
        <f ca="1">IFERROR(__xludf.DUMMYFUNCTION("""COMPUTED_VALUE"""),"USD PKR rate for 22/05/2021")</f>
        <v>USD PKR rate for 22/05/2021</v>
      </c>
      <c r="I969" s="9"/>
    </row>
    <row r="970" spans="1:9" ht="14.25" customHeight="1" x14ac:dyDescent="0.3">
      <c r="A970" s="6">
        <v>40687</v>
      </c>
      <c r="B970" s="7">
        <v>85.416100000000014</v>
      </c>
      <c r="C970" s="8">
        <f t="shared" si="7"/>
        <v>93.921922886547819</v>
      </c>
      <c r="D970" s="9">
        <f t="shared" si="6"/>
        <v>64.391089558891323</v>
      </c>
      <c r="E970" s="9"/>
      <c r="F970" s="9">
        <f ca="1">IFERROR(__xludf.DUMMYFUNCTION("""COMPUTED_VALUE"""),44337)</f>
        <v>44337</v>
      </c>
      <c r="G970" s="9" t="str">
        <f ca="1">IFERROR(__xludf.DUMMYFUNCTION("""COMPUTED_VALUE"""),"1 USD = 153.4554 PKR")</f>
        <v>1 USD = 153.4554 PKR</v>
      </c>
      <c r="H970" s="9" t="str">
        <f ca="1">IFERROR(__xludf.DUMMYFUNCTION("""COMPUTED_VALUE"""),"USD PKR rate for 21/05/2021")</f>
        <v>USD PKR rate for 21/05/2021</v>
      </c>
      <c r="I970" s="9"/>
    </row>
    <row r="971" spans="1:9" ht="14.25" customHeight="1" x14ac:dyDescent="0.3">
      <c r="A971" s="6">
        <v>40688</v>
      </c>
      <c r="B971" s="7">
        <v>85.497100000000003</v>
      </c>
      <c r="C971" s="8">
        <f t="shared" si="7"/>
        <v>93.938720800699812</v>
      </c>
      <c r="D971" s="9">
        <f t="shared" si="6"/>
        <v>64.393827391688589</v>
      </c>
      <c r="E971" s="9"/>
      <c r="F971" s="9">
        <f ca="1">IFERROR(__xludf.DUMMYFUNCTION("""COMPUTED_VALUE"""),44336)</f>
        <v>44336</v>
      </c>
      <c r="G971" s="9" t="str">
        <f ca="1">IFERROR(__xludf.DUMMYFUNCTION("""COMPUTED_VALUE"""),"1 USD = 153.4023 PKR")</f>
        <v>1 USD = 153.4023 PKR</v>
      </c>
      <c r="H971" s="9" t="str">
        <f ca="1">IFERROR(__xludf.DUMMYFUNCTION("""COMPUTED_VALUE"""),"USD PKR rate for 20/05/2021")</f>
        <v>USD PKR rate for 20/05/2021</v>
      </c>
      <c r="I971" s="9"/>
    </row>
    <row r="972" spans="1:9" ht="14.25" customHeight="1" x14ac:dyDescent="0.3">
      <c r="A972" s="6">
        <v>40689</v>
      </c>
      <c r="B972" s="7">
        <v>85.250699999999995</v>
      </c>
      <c r="C972" s="8">
        <f t="shared" si="7"/>
        <v>93.955521719154888</v>
      </c>
      <c r="D972" s="9">
        <f t="shared" si="6"/>
        <v>64.396565224485855</v>
      </c>
      <c r="E972" s="9"/>
      <c r="F972" s="9">
        <f ca="1">IFERROR(__xludf.DUMMYFUNCTION("""COMPUTED_VALUE"""),44335)</f>
        <v>44335</v>
      </c>
      <c r="G972" s="9" t="str">
        <f ca="1">IFERROR(__xludf.DUMMYFUNCTION("""COMPUTED_VALUE"""),"1 USD = 153.2176 PKR")</f>
        <v>1 USD = 153.2176 PKR</v>
      </c>
      <c r="H972" s="9" t="str">
        <f ca="1">IFERROR(__xludf.DUMMYFUNCTION("""COMPUTED_VALUE"""),"USD PKR rate for 19/05/2021")</f>
        <v>USD PKR rate for 19/05/2021</v>
      </c>
      <c r="I972" s="9"/>
    </row>
    <row r="973" spans="1:9" ht="14.25" customHeight="1" x14ac:dyDescent="0.3">
      <c r="A973" s="6">
        <v>40690</v>
      </c>
      <c r="B973" s="7">
        <v>85.1768</v>
      </c>
      <c r="C973" s="8">
        <f t="shared" si="7"/>
        <v>93.972325642450329</v>
      </c>
      <c r="D973" s="9">
        <f t="shared" si="6"/>
        <v>64.39930305728312</v>
      </c>
      <c r="E973" s="9"/>
      <c r="F973" s="9">
        <f ca="1">IFERROR(__xludf.DUMMYFUNCTION("""COMPUTED_VALUE"""),44334)</f>
        <v>44334</v>
      </c>
      <c r="G973" s="9" t="str">
        <f ca="1">IFERROR(__xludf.DUMMYFUNCTION("""COMPUTED_VALUE"""),"1 USD = 152.8877 PKR")</f>
        <v>1 USD = 152.8877 PKR</v>
      </c>
      <c r="H973" s="9" t="str">
        <f ca="1">IFERROR(__xludf.DUMMYFUNCTION("""COMPUTED_VALUE"""),"USD PKR rate for 18/05/2021")</f>
        <v>USD PKR rate for 18/05/2021</v>
      </c>
      <c r="I973" s="9"/>
    </row>
    <row r="974" spans="1:9" ht="14.25" customHeight="1" x14ac:dyDescent="0.3">
      <c r="A974" s="6">
        <v>40691</v>
      </c>
      <c r="B974" s="7">
        <v>85.1768</v>
      </c>
      <c r="C974" s="8">
        <f t="shared" si="7"/>
        <v>93.989132571123562</v>
      </c>
      <c r="D974" s="9">
        <f t="shared" si="6"/>
        <v>64.402040890080386</v>
      </c>
      <c r="E974" s="9"/>
      <c r="F974" s="9">
        <f ca="1">IFERROR(__xludf.DUMMYFUNCTION("""COMPUTED_VALUE"""),44333)</f>
        <v>44333</v>
      </c>
      <c r="G974" s="9" t="str">
        <f ca="1">IFERROR(__xludf.DUMMYFUNCTION("""COMPUTED_VALUE"""),"1 USD = 152.5945 PKR")</f>
        <v>1 USD = 152.5945 PKR</v>
      </c>
      <c r="H974" s="9" t="str">
        <f ca="1">IFERROR(__xludf.DUMMYFUNCTION("""COMPUTED_VALUE"""),"USD PKR rate for 17/05/2021")</f>
        <v>USD PKR rate for 17/05/2021</v>
      </c>
      <c r="I974" s="9"/>
    </row>
    <row r="975" spans="1:9" ht="14.25" customHeight="1" x14ac:dyDescent="0.3">
      <c r="A975" s="6">
        <v>40692</v>
      </c>
      <c r="B975" s="7">
        <v>85.1768</v>
      </c>
      <c r="C975" s="8">
        <f t="shared" si="7"/>
        <v>94.005942505712028</v>
      </c>
      <c r="D975" s="9">
        <f t="shared" si="6"/>
        <v>64.404778722877651</v>
      </c>
      <c r="E975" s="9"/>
      <c r="F975" s="9">
        <f ca="1">IFERROR(__xludf.DUMMYFUNCTION("""COMPUTED_VALUE"""),44332)</f>
        <v>44332</v>
      </c>
      <c r="G975" s="9" t="str">
        <f ca="1">IFERROR(__xludf.DUMMYFUNCTION("""COMPUTED_VALUE"""),"1 USD = 152.2081 PKR")</f>
        <v>1 USD = 152.2081 PKR</v>
      </c>
      <c r="H975" s="9" t="str">
        <f ca="1">IFERROR(__xludf.DUMMYFUNCTION("""COMPUTED_VALUE"""),"USD PKR rate for 16/05/2021")</f>
        <v>USD PKR rate for 16/05/2021</v>
      </c>
      <c r="I975" s="9"/>
    </row>
    <row r="976" spans="1:9" ht="14.25" customHeight="1" x14ac:dyDescent="0.3">
      <c r="A976" s="6">
        <v>40693</v>
      </c>
      <c r="B976" s="7">
        <v>85.290400000000005</v>
      </c>
      <c r="C976" s="8">
        <f t="shared" si="7"/>
        <v>94.022755446753465</v>
      </c>
      <c r="D976" s="9">
        <f t="shared" si="6"/>
        <v>64.407516555674917</v>
      </c>
      <c r="E976" s="9"/>
      <c r="F976" s="9">
        <f ca="1">IFERROR(__xludf.DUMMYFUNCTION("""COMPUTED_VALUE"""),44331)</f>
        <v>44331</v>
      </c>
      <c r="G976" s="9" t="str">
        <f ca="1">IFERROR(__xludf.DUMMYFUNCTION("""COMPUTED_VALUE"""),"1 USD = 152.251 PKR")</f>
        <v>1 USD = 152.251 PKR</v>
      </c>
      <c r="H976" s="9" t="str">
        <f ca="1">IFERROR(__xludf.DUMMYFUNCTION("""COMPUTED_VALUE"""),"USD PKR rate for 15/05/2021")</f>
        <v>USD PKR rate for 15/05/2021</v>
      </c>
      <c r="I976" s="9"/>
    </row>
    <row r="977" spans="1:9" ht="14.25" customHeight="1" x14ac:dyDescent="0.3">
      <c r="A977" s="6">
        <v>40694</v>
      </c>
      <c r="B977" s="7">
        <v>85.693899999999999</v>
      </c>
      <c r="C977" s="8">
        <f t="shared" si="7"/>
        <v>94.039571394785511</v>
      </c>
      <c r="D977" s="9">
        <f t="shared" si="6"/>
        <v>64.410254388472183</v>
      </c>
      <c r="E977" s="9"/>
      <c r="F977" s="9">
        <f ca="1">IFERROR(__xludf.DUMMYFUNCTION("""COMPUTED_VALUE"""),44330)</f>
        <v>44330</v>
      </c>
      <c r="G977" s="9" t="str">
        <f ca="1">IFERROR(__xludf.DUMMYFUNCTION("""COMPUTED_VALUE"""),"1 USD = 152.251 PKR")</f>
        <v>1 USD = 152.251 PKR</v>
      </c>
      <c r="H977" s="9" t="str">
        <f ca="1">IFERROR(__xludf.DUMMYFUNCTION("""COMPUTED_VALUE"""),"USD PKR rate for 14/05/2021")</f>
        <v>USD PKR rate for 14/05/2021</v>
      </c>
      <c r="I977" s="9"/>
    </row>
    <row r="978" spans="1:9" ht="14.25" customHeight="1" x14ac:dyDescent="0.3">
      <c r="A978" s="6">
        <v>40695</v>
      </c>
      <c r="B978" s="7">
        <v>86.136300000000006</v>
      </c>
      <c r="C978" s="8">
        <f t="shared" si="7"/>
        <v>94.056390350345964</v>
      </c>
      <c r="D978" s="9">
        <f t="shared" si="6"/>
        <v>64.412992221269448</v>
      </c>
      <c r="E978" s="9"/>
      <c r="F978" s="9">
        <f ca="1">IFERROR(__xludf.DUMMYFUNCTION("""COMPUTED_VALUE"""),44329)</f>
        <v>44329</v>
      </c>
      <c r="G978" s="9" t="str">
        <f ca="1">IFERROR(__xludf.DUMMYFUNCTION("""COMPUTED_VALUE"""),"1 USD = 152.0505 PKR")</f>
        <v>1 USD = 152.0505 PKR</v>
      </c>
      <c r="H978" s="9" t="str">
        <f ca="1">IFERROR(__xludf.DUMMYFUNCTION("""COMPUTED_VALUE"""),"USD PKR rate for 13/05/2021")</f>
        <v>USD PKR rate for 13/05/2021</v>
      </c>
      <c r="I978" s="9"/>
    </row>
    <row r="979" spans="1:9" ht="14.25" customHeight="1" x14ac:dyDescent="0.3">
      <c r="A979" s="6">
        <v>40696</v>
      </c>
      <c r="B979" s="7">
        <v>86.305199999999999</v>
      </c>
      <c r="C979" s="8">
        <f t="shared" si="7"/>
        <v>94.073212313972732</v>
      </c>
      <c r="D979" s="9">
        <f t="shared" si="6"/>
        <v>64.415730054066714</v>
      </c>
      <c r="E979" s="9"/>
      <c r="F979" s="9">
        <f ca="1">IFERROR(__xludf.DUMMYFUNCTION("""COMPUTED_VALUE"""),44328)</f>
        <v>44328</v>
      </c>
      <c r="G979" s="9" t="str">
        <f ca="1">IFERROR(__xludf.DUMMYFUNCTION("""COMPUTED_VALUE"""),"1 USD = 152.121 PKR")</f>
        <v>1 USD = 152.121 PKR</v>
      </c>
      <c r="H979" s="9" t="str">
        <f ca="1">IFERROR(__xludf.DUMMYFUNCTION("""COMPUTED_VALUE"""),"USD PKR rate for 12/05/2021")</f>
        <v>USD PKR rate for 12/05/2021</v>
      </c>
      <c r="I979" s="9"/>
    </row>
    <row r="980" spans="1:9" ht="14.25" customHeight="1" x14ac:dyDescent="0.3">
      <c r="A980" s="6">
        <v>40697</v>
      </c>
      <c r="B980" s="7">
        <v>85.405799999999999</v>
      </c>
      <c r="C980" s="8">
        <f t="shared" si="7"/>
        <v>94.090037286203795</v>
      </c>
      <c r="D980" s="9">
        <f t="shared" si="6"/>
        <v>64.418467886863979</v>
      </c>
      <c r="E980" s="9"/>
      <c r="F980" s="9">
        <f ca="1">IFERROR(__xludf.DUMMYFUNCTION("""COMPUTED_VALUE"""),44327)</f>
        <v>44327</v>
      </c>
      <c r="G980" s="9" t="str">
        <f ca="1">IFERROR(__xludf.DUMMYFUNCTION("""COMPUTED_VALUE"""),"1 USD = 152.4388 PKR")</f>
        <v>1 USD = 152.4388 PKR</v>
      </c>
      <c r="H980" s="9" t="str">
        <f ca="1">IFERROR(__xludf.DUMMYFUNCTION("""COMPUTED_VALUE"""),"USD PKR rate for 11/05/2021")</f>
        <v>USD PKR rate for 11/05/2021</v>
      </c>
      <c r="I980" s="9"/>
    </row>
    <row r="981" spans="1:9" ht="14.25" customHeight="1" x14ac:dyDescent="0.3">
      <c r="A981" s="6">
        <v>40698</v>
      </c>
      <c r="B981" s="7">
        <v>85.405799999999999</v>
      </c>
      <c r="C981" s="8">
        <f t="shared" si="7"/>
        <v>94.106865267577248</v>
      </c>
      <c r="D981" s="9">
        <f t="shared" si="6"/>
        <v>64.421205719661245</v>
      </c>
      <c r="E981" s="9"/>
      <c r="F981" s="9">
        <f ca="1">IFERROR(__xludf.DUMMYFUNCTION("""COMPUTED_VALUE"""),44326)</f>
        <v>44326</v>
      </c>
      <c r="G981" s="9" t="str">
        <f ca="1">IFERROR(__xludf.DUMMYFUNCTION("""COMPUTED_VALUE"""),"1 USD = 152.2339 PKR")</f>
        <v>1 USD = 152.2339 PKR</v>
      </c>
      <c r="H981" s="9" t="str">
        <f ca="1">IFERROR(__xludf.DUMMYFUNCTION("""COMPUTED_VALUE"""),"USD PKR rate for 10/05/2021")</f>
        <v>USD PKR rate for 10/05/2021</v>
      </c>
      <c r="I981" s="9"/>
    </row>
    <row r="982" spans="1:9" ht="14.25" customHeight="1" x14ac:dyDescent="0.3">
      <c r="A982" s="6">
        <v>40699</v>
      </c>
      <c r="B982" s="7">
        <v>85.265600000000006</v>
      </c>
      <c r="C982" s="8">
        <f t="shared" si="7"/>
        <v>94.123696258631256</v>
      </c>
      <c r="D982" s="9">
        <f t="shared" si="6"/>
        <v>64.42394355245851</v>
      </c>
      <c r="E982" s="9"/>
      <c r="F982" s="9">
        <f ca="1">IFERROR(__xludf.DUMMYFUNCTION("""COMPUTED_VALUE"""),44325)</f>
        <v>44325</v>
      </c>
      <c r="G982" s="9" t="str">
        <f ca="1">IFERROR(__xludf.DUMMYFUNCTION("""COMPUTED_VALUE"""),"1 USD = 151.1746 PKR")</f>
        <v>1 USD = 151.1746 PKR</v>
      </c>
      <c r="H982" s="9" t="str">
        <f ca="1">IFERROR(__xludf.DUMMYFUNCTION("""COMPUTED_VALUE"""),"USD PKR rate for 09/05/2021")</f>
        <v>USD PKR rate for 09/05/2021</v>
      </c>
      <c r="I982" s="9"/>
    </row>
    <row r="983" spans="1:9" ht="14.25" customHeight="1" x14ac:dyDescent="0.3">
      <c r="A983" s="6">
        <v>40700</v>
      </c>
      <c r="B983" s="7">
        <v>85.740700000000004</v>
      </c>
      <c r="C983" s="8">
        <f t="shared" si="7"/>
        <v>94.140530259904139</v>
      </c>
      <c r="D983" s="9">
        <f t="shared" si="6"/>
        <v>64.426681385255776</v>
      </c>
      <c r="E983" s="9"/>
      <c r="F983" s="9">
        <f ca="1">IFERROR(__xludf.DUMMYFUNCTION("""COMPUTED_VALUE"""),44324)</f>
        <v>44324</v>
      </c>
      <c r="G983" s="9" t="str">
        <f ca="1">IFERROR(__xludf.DUMMYFUNCTION("""COMPUTED_VALUE"""),"1 USD = 152.2416 PKR")</f>
        <v>1 USD = 152.2416 PKR</v>
      </c>
      <c r="H983" s="9" t="str">
        <f ca="1">IFERROR(__xludf.DUMMYFUNCTION("""COMPUTED_VALUE"""),"USD PKR rate for 08/05/2021")</f>
        <v>USD PKR rate for 08/05/2021</v>
      </c>
      <c r="I983" s="9"/>
    </row>
    <row r="984" spans="1:9" ht="14.25" customHeight="1" x14ac:dyDescent="0.3">
      <c r="A984" s="6">
        <v>40701</v>
      </c>
      <c r="B984" s="7">
        <v>86.197599999999994</v>
      </c>
      <c r="C984" s="8">
        <f t="shared" si="7"/>
        <v>94.157367271934149</v>
      </c>
      <c r="D984" s="9">
        <f t="shared" si="6"/>
        <v>64.429419218053042</v>
      </c>
      <c r="E984" s="9"/>
      <c r="F984" s="9">
        <f ca="1">IFERROR(__xludf.DUMMYFUNCTION("""COMPUTED_VALUE"""),44323)</f>
        <v>44323</v>
      </c>
      <c r="G984" s="9" t="str">
        <f ca="1">IFERROR(__xludf.DUMMYFUNCTION("""COMPUTED_VALUE"""),"1 USD = 152.6749 PKR")</f>
        <v>1 USD = 152.6749 PKR</v>
      </c>
      <c r="H984" s="9" t="str">
        <f ca="1">IFERROR(__xludf.DUMMYFUNCTION("""COMPUTED_VALUE"""),"USD PKR rate for 07/05/2021")</f>
        <v>USD PKR rate for 07/05/2021</v>
      </c>
      <c r="I984" s="9"/>
    </row>
    <row r="985" spans="1:9" ht="14.25" customHeight="1" x14ac:dyDescent="0.3">
      <c r="A985" s="6">
        <v>40702</v>
      </c>
      <c r="B985" s="7">
        <v>85.677499999999995</v>
      </c>
      <c r="C985" s="8">
        <f t="shared" si="7"/>
        <v>94.174207295259961</v>
      </c>
      <c r="D985" s="9">
        <f t="shared" si="6"/>
        <v>64.432157050850307</v>
      </c>
      <c r="E985" s="9"/>
      <c r="F985" s="9">
        <f ca="1">IFERROR(__xludf.DUMMYFUNCTION("""COMPUTED_VALUE"""),44322)</f>
        <v>44322</v>
      </c>
      <c r="G985" s="9" t="str">
        <f ca="1">IFERROR(__xludf.DUMMYFUNCTION("""COMPUTED_VALUE"""),"1 USD = 153.289 PKR")</f>
        <v>1 USD = 153.289 PKR</v>
      </c>
      <c r="H985" s="9" t="str">
        <f ca="1">IFERROR(__xludf.DUMMYFUNCTION("""COMPUTED_VALUE"""),"USD PKR rate for 06/05/2021")</f>
        <v>USD PKR rate for 06/05/2021</v>
      </c>
      <c r="I985" s="9"/>
    </row>
    <row r="986" spans="1:9" ht="14.25" customHeight="1" x14ac:dyDescent="0.3">
      <c r="A986" s="6">
        <v>40703</v>
      </c>
      <c r="B986" s="7">
        <v>86.154200000000003</v>
      </c>
      <c r="C986" s="8">
        <f t="shared" si="7"/>
        <v>94.191050330420026</v>
      </c>
      <c r="D986" s="9">
        <f t="shared" si="6"/>
        <v>64.434894883647573</v>
      </c>
      <c r="E986" s="9"/>
      <c r="F986" s="9">
        <f ca="1">IFERROR(__xludf.DUMMYFUNCTION("""COMPUTED_VALUE"""),44321)</f>
        <v>44321</v>
      </c>
      <c r="G986" s="9" t="str">
        <f ca="1">IFERROR(__xludf.DUMMYFUNCTION("""COMPUTED_VALUE"""),"1 USD = 152.8788 PKR")</f>
        <v>1 USD = 152.8788 PKR</v>
      </c>
      <c r="H986" s="9" t="str">
        <f ca="1">IFERROR(__xludf.DUMMYFUNCTION("""COMPUTED_VALUE"""),"USD PKR rate for 05/05/2021")</f>
        <v>USD PKR rate for 05/05/2021</v>
      </c>
      <c r="I986" s="9"/>
    </row>
    <row r="987" spans="1:9" ht="14.25" customHeight="1" x14ac:dyDescent="0.3">
      <c r="A987" s="6">
        <v>40704</v>
      </c>
      <c r="B987" s="7">
        <v>86.055300000000003</v>
      </c>
      <c r="C987" s="8">
        <f t="shared" si="7"/>
        <v>94.207896377953034</v>
      </c>
      <c r="D987" s="9">
        <f t="shared" si="6"/>
        <v>64.437632716444838</v>
      </c>
      <c r="E987" s="9"/>
      <c r="F987" s="9">
        <f ca="1">IFERROR(__xludf.DUMMYFUNCTION("""COMPUTED_VALUE"""),44320)</f>
        <v>44320</v>
      </c>
      <c r="G987" s="9" t="str">
        <f ca="1">IFERROR(__xludf.DUMMYFUNCTION("""COMPUTED_VALUE"""),"1 USD = 153.3512 PKR")</f>
        <v>1 USD = 153.3512 PKR</v>
      </c>
      <c r="H987" s="9" t="str">
        <f ca="1">IFERROR(__xludf.DUMMYFUNCTION("""COMPUTED_VALUE"""),"USD PKR rate for 04/05/2021")</f>
        <v>USD PKR rate for 04/05/2021</v>
      </c>
      <c r="I987" s="9"/>
    </row>
    <row r="988" spans="1:9" ht="14.25" customHeight="1" x14ac:dyDescent="0.3">
      <c r="A988" s="6">
        <v>40705</v>
      </c>
      <c r="B988" s="7">
        <v>86.055300000000003</v>
      </c>
      <c r="C988" s="8">
        <f t="shared" si="7"/>
        <v>94.224745438397733</v>
      </c>
      <c r="D988" s="9">
        <f t="shared" si="6"/>
        <v>64.440370549242104</v>
      </c>
      <c r="E988" s="9"/>
      <c r="F988" s="9">
        <f ca="1">IFERROR(__xludf.DUMMYFUNCTION("""COMPUTED_VALUE"""),44319)</f>
        <v>44319</v>
      </c>
      <c r="G988" s="9" t="str">
        <f ca="1">IFERROR(__xludf.DUMMYFUNCTION("""COMPUTED_VALUE"""),"1 USD = 153.2127 PKR")</f>
        <v>1 USD = 153.2127 PKR</v>
      </c>
      <c r="H988" s="9" t="str">
        <f ca="1">IFERROR(__xludf.DUMMYFUNCTION("""COMPUTED_VALUE"""),"USD PKR rate for 03/05/2021")</f>
        <v>USD PKR rate for 03/05/2021</v>
      </c>
      <c r="I988" s="9"/>
    </row>
    <row r="989" spans="1:9" ht="14.25" customHeight="1" x14ac:dyDescent="0.3">
      <c r="A989" s="6">
        <v>40706</v>
      </c>
      <c r="B989" s="7">
        <v>86.065899999999999</v>
      </c>
      <c r="C989" s="8">
        <f t="shared" si="7"/>
        <v>94.241597512293012</v>
      </c>
      <c r="D989" s="9">
        <f t="shared" si="6"/>
        <v>64.44310838203937</v>
      </c>
      <c r="E989" s="9"/>
      <c r="F989" s="9">
        <f ca="1">IFERROR(__xludf.DUMMYFUNCTION("""COMPUTED_VALUE"""),44318)</f>
        <v>44318</v>
      </c>
      <c r="G989" s="9" t="str">
        <f ca="1">IFERROR(__xludf.DUMMYFUNCTION("""COMPUTED_VALUE"""),"1 USD = 153.8996 PKR")</f>
        <v>1 USD = 153.8996 PKR</v>
      </c>
      <c r="H989" s="9" t="str">
        <f ca="1">IFERROR(__xludf.DUMMYFUNCTION("""COMPUTED_VALUE"""),"USD PKR rate for 02/05/2021")</f>
        <v>USD PKR rate for 02/05/2021</v>
      </c>
      <c r="I989" s="9"/>
    </row>
    <row r="990" spans="1:9" ht="14.25" customHeight="1" x14ac:dyDescent="0.3">
      <c r="A990" s="6">
        <v>40707</v>
      </c>
      <c r="B990" s="7">
        <v>85.640100000000004</v>
      </c>
      <c r="C990" s="8">
        <f t="shared" si="7"/>
        <v>94.25845260017779</v>
      </c>
      <c r="D990" s="9">
        <f t="shared" si="6"/>
        <v>64.445846214836635</v>
      </c>
      <c r="E990" s="9"/>
      <c r="F990" s="9">
        <f ca="1">IFERROR(__xludf.DUMMYFUNCTION("""COMPUTED_VALUE"""),44317)</f>
        <v>44317</v>
      </c>
      <c r="G990" s="9" t="str">
        <f ca="1">IFERROR(__xludf.DUMMYFUNCTION("""COMPUTED_VALUE"""),"1 USD = 153.9151 PKR")</f>
        <v>1 USD = 153.9151 PKR</v>
      </c>
      <c r="H990" s="9" t="str">
        <f ca="1">IFERROR(__xludf.DUMMYFUNCTION("""COMPUTED_VALUE"""),"USD PKR rate for 01/05/2021")</f>
        <v>USD PKR rate for 01/05/2021</v>
      </c>
      <c r="I990" s="9"/>
    </row>
    <row r="991" spans="1:9" ht="14.25" customHeight="1" x14ac:dyDescent="0.3">
      <c r="A991" s="6">
        <v>40708</v>
      </c>
      <c r="B991" s="7">
        <v>85.475899999999996</v>
      </c>
      <c r="C991" s="8">
        <f t="shared" si="7"/>
        <v>94.275310702591128</v>
      </c>
      <c r="D991" s="9">
        <f t="shared" si="6"/>
        <v>64.448584047633901</v>
      </c>
      <c r="E991" s="9"/>
      <c r="F991" s="9">
        <f ca="1">IFERROR(__xludf.DUMMYFUNCTION("""COMPUTED_VALUE"""),44316)</f>
        <v>44316</v>
      </c>
      <c r="G991" s="9" t="str">
        <f ca="1">IFERROR(__xludf.DUMMYFUNCTION("""COMPUTED_VALUE"""),"1 USD = 153.8195 PKR")</f>
        <v>1 USD = 153.8195 PKR</v>
      </c>
      <c r="H991" s="9" t="str">
        <f ca="1">IFERROR(__xludf.DUMMYFUNCTION("""COMPUTED_VALUE"""),"USD PKR rate for 30/04/2021")</f>
        <v>USD PKR rate for 30/04/2021</v>
      </c>
      <c r="I991" s="9"/>
    </row>
    <row r="992" spans="1:9" ht="14.25" customHeight="1" x14ac:dyDescent="0.3">
      <c r="A992" s="6">
        <v>40709</v>
      </c>
      <c r="B992" s="7">
        <v>86.015000000000001</v>
      </c>
      <c r="C992" s="8">
        <f t="shared" si="7"/>
        <v>94.292171820072184</v>
      </c>
      <c r="D992" s="9">
        <f t="shared" si="6"/>
        <v>64.451321880431166</v>
      </c>
      <c r="E992" s="9"/>
      <c r="F992" s="9">
        <f ca="1">IFERROR(__xludf.DUMMYFUNCTION("""COMPUTED_VALUE"""),44315)</f>
        <v>44315</v>
      </c>
      <c r="G992" s="9" t="str">
        <f ca="1">IFERROR(__xludf.DUMMYFUNCTION("""COMPUTED_VALUE"""),"1 USD = 153.5075 PKR")</f>
        <v>1 USD = 153.5075 PKR</v>
      </c>
      <c r="H992" s="9" t="str">
        <f ca="1">IFERROR(__xludf.DUMMYFUNCTION("""COMPUTED_VALUE"""),"USD PKR rate for 29/04/2021")</f>
        <v>USD PKR rate for 29/04/2021</v>
      </c>
      <c r="I992" s="9"/>
    </row>
    <row r="993" spans="1:9" ht="14.25" customHeight="1" x14ac:dyDescent="0.3">
      <c r="A993" s="6">
        <v>40710</v>
      </c>
      <c r="B993" s="7">
        <v>85.836800000000011</v>
      </c>
      <c r="C993" s="8">
        <f t="shared" si="7"/>
        <v>94.309035953160105</v>
      </c>
      <c r="D993" s="9">
        <f t="shared" si="6"/>
        <v>64.454059713228432</v>
      </c>
      <c r="E993" s="9"/>
      <c r="F993" s="9">
        <f ca="1">IFERROR(__xludf.DUMMYFUNCTION("""COMPUTED_VALUE"""),44314)</f>
        <v>44314</v>
      </c>
      <c r="G993" s="9" t="str">
        <f ca="1">IFERROR(__xludf.DUMMYFUNCTION("""COMPUTED_VALUE"""),"1 USD = 153.7239 PKR")</f>
        <v>1 USD = 153.7239 PKR</v>
      </c>
      <c r="H993" s="9" t="str">
        <f ca="1">IFERROR(__xludf.DUMMYFUNCTION("""COMPUTED_VALUE"""),"USD PKR rate for 28/04/2021")</f>
        <v>USD PKR rate for 28/04/2021</v>
      </c>
      <c r="I993" s="9"/>
    </row>
    <row r="994" spans="1:9" ht="14.25" customHeight="1" x14ac:dyDescent="0.3">
      <c r="A994" s="6">
        <v>40711</v>
      </c>
      <c r="B994" s="7">
        <v>86.345100000000002</v>
      </c>
      <c r="C994" s="8">
        <f t="shared" si="7"/>
        <v>94.325903102394406</v>
      </c>
      <c r="D994" s="9">
        <f t="shared" si="6"/>
        <v>64.456797546025697</v>
      </c>
      <c r="E994" s="9"/>
      <c r="F994" s="9">
        <f ca="1">IFERROR(__xludf.DUMMYFUNCTION("""COMPUTED_VALUE"""),44313)</f>
        <v>44313</v>
      </c>
      <c r="G994" s="9" t="str">
        <f ca="1">IFERROR(__xludf.DUMMYFUNCTION("""COMPUTED_VALUE"""),"1 USD = 154.361 PKR")</f>
        <v>1 USD = 154.361 PKR</v>
      </c>
      <c r="H994" s="9" t="str">
        <f ca="1">IFERROR(__xludf.DUMMYFUNCTION("""COMPUTED_VALUE"""),"USD PKR rate for 27/04/2021")</f>
        <v>USD PKR rate for 27/04/2021</v>
      </c>
      <c r="I994" s="9"/>
    </row>
    <row r="995" spans="1:9" ht="14.25" customHeight="1" x14ac:dyDescent="0.3">
      <c r="A995" s="6">
        <v>40712</v>
      </c>
      <c r="B995" s="7">
        <v>86.345100000000002</v>
      </c>
      <c r="C995" s="8">
        <f t="shared" si="7"/>
        <v>94.342773268314446</v>
      </c>
      <c r="D995" s="9">
        <f t="shared" si="6"/>
        <v>64.459535378822963</v>
      </c>
      <c r="E995" s="9"/>
      <c r="F995" s="9">
        <f ca="1">IFERROR(__xludf.DUMMYFUNCTION("""COMPUTED_VALUE"""),44312)</f>
        <v>44312</v>
      </c>
      <c r="G995" s="9" t="str">
        <f ca="1">IFERROR(__xludf.DUMMYFUNCTION("""COMPUTED_VALUE"""),"1 USD = 154.0084 PKR")</f>
        <v>1 USD = 154.0084 PKR</v>
      </c>
      <c r="H995" s="9" t="str">
        <f ca="1">IFERROR(__xludf.DUMMYFUNCTION("""COMPUTED_VALUE"""),"USD PKR rate for 26/04/2021")</f>
        <v>USD PKR rate for 26/04/2021</v>
      </c>
      <c r="I995" s="9"/>
    </row>
    <row r="996" spans="1:9" ht="14.25" customHeight="1" x14ac:dyDescent="0.3">
      <c r="A996" s="6">
        <v>40713</v>
      </c>
      <c r="B996" s="7">
        <v>86.4358</v>
      </c>
      <c r="C996" s="8">
        <f t="shared" si="7"/>
        <v>94.359646451459753</v>
      </c>
      <c r="D996" s="9">
        <f t="shared" si="6"/>
        <v>64.462273211620229</v>
      </c>
      <c r="E996" s="9"/>
      <c r="F996" s="9">
        <f ca="1">IFERROR(__xludf.DUMMYFUNCTION("""COMPUTED_VALUE"""),44311)</f>
        <v>44311</v>
      </c>
      <c r="G996" s="9" t="str">
        <f ca="1">IFERROR(__xludf.DUMMYFUNCTION("""COMPUTED_VALUE"""),"1 USD = 153.2743 PKR")</f>
        <v>1 USD = 153.2743 PKR</v>
      </c>
      <c r="H996" s="9" t="str">
        <f ca="1">IFERROR(__xludf.DUMMYFUNCTION("""COMPUTED_VALUE"""),"USD PKR rate for 25/04/2021")</f>
        <v>USD PKR rate for 25/04/2021</v>
      </c>
      <c r="I996" s="9"/>
    </row>
    <row r="997" spans="1:9" ht="14.25" customHeight="1" x14ac:dyDescent="0.3">
      <c r="A997" s="6">
        <v>40714</v>
      </c>
      <c r="B997" s="7">
        <v>86.281099999999995</v>
      </c>
      <c r="C997" s="8">
        <f t="shared" si="7"/>
        <v>94.376522652369971</v>
      </c>
      <c r="D997" s="9">
        <f t="shared" si="6"/>
        <v>64.465011044417494</v>
      </c>
      <c r="E997" s="9"/>
      <c r="F997" s="9">
        <f ca="1">IFERROR(__xludf.DUMMYFUNCTION("""COMPUTED_VALUE"""),44310)</f>
        <v>44310</v>
      </c>
      <c r="G997" s="9" t="str">
        <f ca="1">IFERROR(__xludf.DUMMYFUNCTION("""COMPUTED_VALUE"""),"1 USD = 153.1151 PKR")</f>
        <v>1 USD = 153.1151 PKR</v>
      </c>
      <c r="H997" s="9" t="str">
        <f ca="1">IFERROR(__xludf.DUMMYFUNCTION("""COMPUTED_VALUE"""),"USD PKR rate for 24/04/2021")</f>
        <v>USD PKR rate for 24/04/2021</v>
      </c>
      <c r="I997" s="9"/>
    </row>
    <row r="998" spans="1:9" ht="14.25" customHeight="1" x14ac:dyDescent="0.3">
      <c r="A998" s="6">
        <v>40715</v>
      </c>
      <c r="B998" s="7">
        <v>85.886300000000006</v>
      </c>
      <c r="C998" s="8">
        <f t="shared" si="7"/>
        <v>94.393401871584786</v>
      </c>
      <c r="D998" s="9">
        <f t="shared" si="6"/>
        <v>64.46774887721476</v>
      </c>
      <c r="E998" s="9"/>
      <c r="F998" s="9">
        <f ca="1">IFERROR(__xludf.DUMMYFUNCTION("""COMPUTED_VALUE"""),44309)</f>
        <v>44309</v>
      </c>
      <c r="G998" s="9" t="str">
        <f ca="1">IFERROR(__xludf.DUMMYFUNCTION("""COMPUTED_VALUE"""),"1 USD = 153.4468 PKR")</f>
        <v>1 USD = 153.4468 PKR</v>
      </c>
      <c r="H998" s="9" t="str">
        <f ca="1">IFERROR(__xludf.DUMMYFUNCTION("""COMPUTED_VALUE"""),"USD PKR rate for 23/04/2021")</f>
        <v>USD PKR rate for 23/04/2021</v>
      </c>
      <c r="I998" s="9"/>
    </row>
    <row r="999" spans="1:9" ht="14.25" customHeight="1" x14ac:dyDescent="0.3">
      <c r="A999" s="6">
        <v>40716</v>
      </c>
      <c r="B999" s="7">
        <v>86.169100000000014</v>
      </c>
      <c r="C999" s="8">
        <f t="shared" si="7"/>
        <v>94.410284109644067</v>
      </c>
      <c r="D999" s="9">
        <f t="shared" si="6"/>
        <v>64.470486710012025</v>
      </c>
      <c r="E999" s="9"/>
      <c r="F999" s="9">
        <f ca="1">IFERROR(__xludf.DUMMYFUNCTION("""COMPUTED_VALUE"""),44308)</f>
        <v>44308</v>
      </c>
      <c r="G999" s="9" t="str">
        <f ca="1">IFERROR(__xludf.DUMMYFUNCTION("""COMPUTED_VALUE"""),"1 USD = 153.5136 PKR")</f>
        <v>1 USD = 153.5136 PKR</v>
      </c>
      <c r="H999" s="9" t="str">
        <f ca="1">IFERROR(__xludf.DUMMYFUNCTION("""COMPUTED_VALUE"""),"USD PKR rate for 22/04/2021")</f>
        <v>USD PKR rate for 22/04/2021</v>
      </c>
      <c r="I999" s="9"/>
    </row>
    <row r="1000" spans="1:9" ht="14.25" customHeight="1" x14ac:dyDescent="0.3">
      <c r="A1000" s="6">
        <v>40717</v>
      </c>
      <c r="B1000" s="7">
        <v>85.466300000000004</v>
      </c>
      <c r="C1000" s="8">
        <f t="shared" si="7"/>
        <v>94.4271693670877</v>
      </c>
      <c r="D1000" s="9">
        <f t="shared" si="6"/>
        <v>64.473224542809291</v>
      </c>
      <c r="E1000" s="9"/>
      <c r="F1000" s="9">
        <f ca="1">IFERROR(__xludf.DUMMYFUNCTION("""COMPUTED_VALUE"""),44307)</f>
        <v>44307</v>
      </c>
      <c r="G1000" s="9" t="str">
        <f ca="1">IFERROR(__xludf.DUMMYFUNCTION("""COMPUTED_VALUE"""),"1 USD = 153.2539 PKR")</f>
        <v>1 USD = 153.2539 PKR</v>
      </c>
      <c r="H1000" s="9" t="str">
        <f ca="1">IFERROR(__xludf.DUMMYFUNCTION("""COMPUTED_VALUE"""),"USD PKR rate for 21/04/2021")</f>
        <v>USD PKR rate for 21/04/2021</v>
      </c>
      <c r="I1000" s="9"/>
    </row>
    <row r="1001" spans="1:9" ht="14.25" customHeight="1" x14ac:dyDescent="0.3">
      <c r="A1001" s="6">
        <v>40718</v>
      </c>
      <c r="B1001" s="7">
        <v>85.949700000000007</v>
      </c>
      <c r="C1001" s="8">
        <f t="shared" si="7"/>
        <v>94.444057644455725</v>
      </c>
      <c r="D1001" s="9">
        <f t="shared" si="6"/>
        <v>64.475962375606557</v>
      </c>
      <c r="E1001" s="9"/>
      <c r="F1001" s="9">
        <f ca="1">IFERROR(__xludf.DUMMYFUNCTION("""COMPUTED_VALUE"""),44306)</f>
        <v>44306</v>
      </c>
      <c r="G1001" s="9" t="str">
        <f ca="1">IFERROR(__xludf.DUMMYFUNCTION("""COMPUTED_VALUE"""),"1 USD = 152.9029 PKR")</f>
        <v>1 USD = 152.9029 PKR</v>
      </c>
      <c r="H1001" s="9" t="str">
        <f ca="1">IFERROR(__xludf.DUMMYFUNCTION("""COMPUTED_VALUE"""),"USD PKR rate for 20/04/2021")</f>
        <v>USD PKR rate for 20/04/2021</v>
      </c>
      <c r="I1001" s="9"/>
    </row>
    <row r="1002" spans="1:9" ht="14.25" customHeight="1" x14ac:dyDescent="0.3">
      <c r="A1002" s="6">
        <v>40719</v>
      </c>
      <c r="B1002" s="7">
        <v>85.949700000000007</v>
      </c>
      <c r="C1002" s="8">
        <f t="shared" si="7"/>
        <v>94.460948942288155</v>
      </c>
      <c r="D1002" s="9">
        <f t="shared" si="6"/>
        <v>64.478700208403822</v>
      </c>
      <c r="E1002" s="9"/>
      <c r="F1002" s="9">
        <f ca="1">IFERROR(__xludf.DUMMYFUNCTION("""COMPUTED_VALUE"""),44305)</f>
        <v>44305</v>
      </c>
      <c r="G1002" s="9" t="str">
        <f ca="1">IFERROR(__xludf.DUMMYFUNCTION("""COMPUTED_VALUE"""),"1 USD = 153.2618 PKR")</f>
        <v>1 USD = 153.2618 PKR</v>
      </c>
      <c r="H1002" s="9" t="str">
        <f ca="1">IFERROR(__xludf.DUMMYFUNCTION("""COMPUTED_VALUE"""),"USD PKR rate for 19/04/2021")</f>
        <v>USD PKR rate for 19/04/2021</v>
      </c>
      <c r="I1002" s="9"/>
    </row>
    <row r="1003" spans="1:9" ht="14.25" customHeight="1" x14ac:dyDescent="0.3">
      <c r="A1003" s="6">
        <v>40720</v>
      </c>
      <c r="B1003" s="7">
        <v>85.944299999999998</v>
      </c>
      <c r="C1003" s="8">
        <f t="shared" si="7"/>
        <v>94.477843261125386</v>
      </c>
      <c r="D1003" s="9">
        <f t="shared" si="6"/>
        <v>64.481438041201088</v>
      </c>
      <c r="E1003" s="9"/>
      <c r="F1003" s="9">
        <f ca="1">IFERROR(__xludf.DUMMYFUNCTION("""COMPUTED_VALUE"""),44304)</f>
        <v>44304</v>
      </c>
      <c r="G1003" s="9" t="str">
        <f ca="1">IFERROR(__xludf.DUMMYFUNCTION("""COMPUTED_VALUE"""),"1 USD = 153.3789 PKR")</f>
        <v>1 USD = 153.3789 PKR</v>
      </c>
      <c r="H1003" s="9" t="str">
        <f ca="1">IFERROR(__xludf.DUMMYFUNCTION("""COMPUTED_VALUE"""),"USD PKR rate for 18/04/2021")</f>
        <v>USD PKR rate for 18/04/2021</v>
      </c>
      <c r="I1003" s="9"/>
    </row>
    <row r="1004" spans="1:9" ht="14.25" customHeight="1" x14ac:dyDescent="0.3">
      <c r="A1004" s="6">
        <v>40721</v>
      </c>
      <c r="B1004" s="7">
        <v>86.402000000000001</v>
      </c>
      <c r="C1004" s="8">
        <f t="shared" si="7"/>
        <v>94.494740601507615</v>
      </c>
      <c r="D1004" s="9">
        <f t="shared" si="6"/>
        <v>64.484175873998353</v>
      </c>
      <c r="E1004" s="9"/>
      <c r="F1004" s="9">
        <f ca="1">IFERROR(__xludf.DUMMYFUNCTION("""COMPUTED_VALUE"""),44303)</f>
        <v>44303</v>
      </c>
      <c r="G1004" s="9" t="str">
        <f ca="1">IFERROR(__xludf.DUMMYFUNCTION("""COMPUTED_VALUE"""),"1 USD = 152.8055 PKR")</f>
        <v>1 USD = 152.8055 PKR</v>
      </c>
      <c r="H1004" s="9" t="str">
        <f ca="1">IFERROR(__xludf.DUMMYFUNCTION("""COMPUTED_VALUE"""),"USD PKR rate for 17/04/2021")</f>
        <v>USD PKR rate for 17/04/2021</v>
      </c>
      <c r="I1004" s="9"/>
    </row>
    <row r="1005" spans="1:9" ht="14.25" customHeight="1" x14ac:dyDescent="0.3">
      <c r="A1005" s="6">
        <v>40722</v>
      </c>
      <c r="B1005" s="7">
        <v>85.993399999999994</v>
      </c>
      <c r="C1005" s="8">
        <f t="shared" si="7"/>
        <v>94.511640963975253</v>
      </c>
      <c r="D1005" s="9">
        <f t="shared" si="6"/>
        <v>64.486913706795619</v>
      </c>
      <c r="E1005" s="9"/>
      <c r="F1005" s="9">
        <f ca="1">IFERROR(__xludf.DUMMYFUNCTION("""COMPUTED_VALUE"""),44302)</f>
        <v>44302</v>
      </c>
      <c r="G1005" s="9" t="str">
        <f ca="1">IFERROR(__xludf.DUMMYFUNCTION("""COMPUTED_VALUE"""),"1 USD = 152.8023 PKR")</f>
        <v>1 USD = 152.8023 PKR</v>
      </c>
      <c r="H1005" s="9" t="str">
        <f ca="1">IFERROR(__xludf.DUMMYFUNCTION("""COMPUTED_VALUE"""),"USD PKR rate for 16/04/2021")</f>
        <v>USD PKR rate for 16/04/2021</v>
      </c>
      <c r="I1005" s="9"/>
    </row>
    <row r="1006" spans="1:9" ht="14.25" customHeight="1" x14ac:dyDescent="0.3">
      <c r="A1006" s="6">
        <v>40723</v>
      </c>
      <c r="B1006" s="7">
        <v>86.507999999999996</v>
      </c>
      <c r="C1006" s="8">
        <f t="shared" si="7"/>
        <v>94.52854434906881</v>
      </c>
      <c r="D1006" s="9">
        <f t="shared" si="6"/>
        <v>64.489651539592884</v>
      </c>
      <c r="E1006" s="9"/>
      <c r="F1006" s="9">
        <f ca="1">IFERROR(__xludf.DUMMYFUNCTION("""COMPUTED_VALUE"""),44301)</f>
        <v>44301</v>
      </c>
      <c r="G1006" s="9" t="str">
        <f ca="1">IFERROR(__xludf.DUMMYFUNCTION("""COMPUTED_VALUE"""),"1 USD = 152.7054 PKR")</f>
        <v>1 USD = 152.7054 PKR</v>
      </c>
      <c r="H1006" s="9" t="str">
        <f ca="1">IFERROR(__xludf.DUMMYFUNCTION("""COMPUTED_VALUE"""),"USD PKR rate for 15/04/2021")</f>
        <v>USD PKR rate for 15/04/2021</v>
      </c>
      <c r="I1006" s="9"/>
    </row>
    <row r="1007" spans="1:9" ht="14.25" customHeight="1" x14ac:dyDescent="0.3">
      <c r="A1007" s="6">
        <v>40724</v>
      </c>
      <c r="B1007" s="7">
        <v>86.205299999999994</v>
      </c>
      <c r="C1007" s="8">
        <f t="shared" si="7"/>
        <v>94.545450757328879</v>
      </c>
      <c r="D1007" s="9">
        <f t="shared" si="6"/>
        <v>64.49238937239015</v>
      </c>
      <c r="E1007" s="9"/>
      <c r="F1007" s="9">
        <f ca="1">IFERROR(__xludf.DUMMYFUNCTION("""COMPUTED_VALUE"""),44300)</f>
        <v>44300</v>
      </c>
      <c r="G1007" s="9" t="str">
        <f ca="1">IFERROR(__xludf.DUMMYFUNCTION("""COMPUTED_VALUE"""),"1 USD = 152.8959 PKR")</f>
        <v>1 USD = 152.8959 PKR</v>
      </c>
      <c r="H1007" s="9" t="str">
        <f ca="1">IFERROR(__xludf.DUMMYFUNCTION("""COMPUTED_VALUE"""),"USD PKR rate for 14/04/2021")</f>
        <v>USD PKR rate for 14/04/2021</v>
      </c>
      <c r="I1007" s="9"/>
    </row>
    <row r="1008" spans="1:9" ht="14.25" customHeight="1" x14ac:dyDescent="0.3">
      <c r="A1008" s="6">
        <v>40725</v>
      </c>
      <c r="B1008" s="7">
        <v>86.060500000000005</v>
      </c>
      <c r="C1008" s="8">
        <f t="shared" si="7"/>
        <v>94.562360189296143</v>
      </c>
      <c r="D1008" s="9">
        <f t="shared" si="6"/>
        <v>64.495127205187416</v>
      </c>
      <c r="E1008" s="9"/>
      <c r="F1008" s="9">
        <f ca="1">IFERROR(__xludf.DUMMYFUNCTION("""COMPUTED_VALUE"""),44299)</f>
        <v>44299</v>
      </c>
      <c r="G1008" s="9" t="str">
        <f ca="1">IFERROR(__xludf.DUMMYFUNCTION("""COMPUTED_VALUE"""),"1 USD = 152.9008 PKR")</f>
        <v>1 USD = 152.9008 PKR</v>
      </c>
      <c r="H1008" s="9" t="str">
        <f ca="1">IFERROR(__xludf.DUMMYFUNCTION("""COMPUTED_VALUE"""),"USD PKR rate for 13/04/2021")</f>
        <v>USD PKR rate for 13/04/2021</v>
      </c>
      <c r="I1008" s="9"/>
    </row>
    <row r="1009" spans="1:9" ht="14.25" customHeight="1" x14ac:dyDescent="0.3">
      <c r="A1009" s="6">
        <v>40726</v>
      </c>
      <c r="B1009" s="7">
        <v>86.060500000000005</v>
      </c>
      <c r="C1009" s="8">
        <f t="shared" si="7"/>
        <v>94.579272645511409</v>
      </c>
      <c r="D1009" s="9">
        <f t="shared" si="6"/>
        <v>64.497865037984681</v>
      </c>
      <c r="E1009" s="9"/>
      <c r="F1009" s="9">
        <f ca="1">IFERROR(__xludf.DUMMYFUNCTION("""COMPUTED_VALUE"""),44298)</f>
        <v>44298</v>
      </c>
      <c r="G1009" s="9" t="str">
        <f ca="1">IFERROR(__xludf.DUMMYFUNCTION("""COMPUTED_VALUE"""),"1 USD = 152.5462 PKR")</f>
        <v>1 USD = 152.5462 PKR</v>
      </c>
      <c r="H1009" s="9" t="str">
        <f ca="1">IFERROR(__xludf.DUMMYFUNCTION("""COMPUTED_VALUE"""),"USD PKR rate for 12/04/2021")</f>
        <v>USD PKR rate for 12/04/2021</v>
      </c>
      <c r="I1009" s="9"/>
    </row>
    <row r="1010" spans="1:9" ht="14.25" customHeight="1" x14ac:dyDescent="0.3">
      <c r="A1010" s="6">
        <v>40727</v>
      </c>
      <c r="B1010" s="7">
        <v>86.097999999999999</v>
      </c>
      <c r="C1010" s="8">
        <f t="shared" si="7"/>
        <v>94.596188126515614</v>
      </c>
      <c r="D1010" s="9">
        <f t="shared" si="6"/>
        <v>64.500602870781961</v>
      </c>
      <c r="E1010" s="9"/>
      <c r="F1010" s="9">
        <f ca="1">IFERROR(__xludf.DUMMYFUNCTION("""COMPUTED_VALUE"""),44297)</f>
        <v>44297</v>
      </c>
      <c r="G1010" s="9" t="str">
        <f ca="1">IFERROR(__xludf.DUMMYFUNCTION("""COMPUTED_VALUE"""),"1 USD = 152.7526 PKR")</f>
        <v>1 USD = 152.7526 PKR</v>
      </c>
      <c r="H1010" s="9" t="str">
        <f ca="1">IFERROR(__xludf.DUMMYFUNCTION("""COMPUTED_VALUE"""),"USD PKR rate for 11/04/2021")</f>
        <v>USD PKR rate for 11/04/2021</v>
      </c>
      <c r="I1010" s="9"/>
    </row>
    <row r="1011" spans="1:9" ht="14.25" customHeight="1" x14ac:dyDescent="0.3">
      <c r="A1011" s="6">
        <v>40728</v>
      </c>
      <c r="B1011" s="7">
        <v>85.950599999999994</v>
      </c>
      <c r="C1011" s="8">
        <f t="shared" si="7"/>
        <v>94.613106632849622</v>
      </c>
      <c r="D1011" s="9">
        <f t="shared" si="6"/>
        <v>64.503340703579227</v>
      </c>
      <c r="E1011" s="9"/>
      <c r="F1011" s="9">
        <f ca="1">IFERROR(__xludf.DUMMYFUNCTION("""COMPUTED_VALUE"""),44296)</f>
        <v>44296</v>
      </c>
      <c r="G1011" s="9" t="str">
        <f ca="1">IFERROR(__xludf.DUMMYFUNCTION("""COMPUTED_VALUE"""),"1 USD = 152.8806 PKR")</f>
        <v>1 USD = 152.8806 PKR</v>
      </c>
      <c r="H1011" s="9" t="str">
        <f ca="1">IFERROR(__xludf.DUMMYFUNCTION("""COMPUTED_VALUE"""),"USD PKR rate for 10/04/2021")</f>
        <v>USD PKR rate for 10/04/2021</v>
      </c>
      <c r="I1011" s="9"/>
    </row>
    <row r="1012" spans="1:9" ht="14.25" customHeight="1" x14ac:dyDescent="0.3">
      <c r="A1012" s="6">
        <v>40729</v>
      </c>
      <c r="B1012" s="7">
        <v>85.588300000000004</v>
      </c>
      <c r="C1012" s="8">
        <f t="shared" si="7"/>
        <v>94.630028165054469</v>
      </c>
      <c r="D1012" s="9">
        <f t="shared" si="6"/>
        <v>64.506078536376492</v>
      </c>
      <c r="E1012" s="9"/>
      <c r="F1012" s="9">
        <f ca="1">IFERROR(__xludf.DUMMYFUNCTION("""COMPUTED_VALUE"""),44295)</f>
        <v>44295</v>
      </c>
      <c r="G1012" s="9" t="str">
        <f ca="1">IFERROR(__xludf.DUMMYFUNCTION("""COMPUTED_VALUE"""),"1 USD = 152.7404 PKR")</f>
        <v>1 USD = 152.7404 PKR</v>
      </c>
      <c r="H1012" s="9" t="str">
        <f ca="1">IFERROR(__xludf.DUMMYFUNCTION("""COMPUTED_VALUE"""),"USD PKR rate for 09/04/2021")</f>
        <v>USD PKR rate for 09/04/2021</v>
      </c>
      <c r="I1012" s="9"/>
    </row>
    <row r="1013" spans="1:9" ht="14.25" customHeight="1" x14ac:dyDescent="0.3">
      <c r="A1013" s="6">
        <v>40730</v>
      </c>
      <c r="B1013" s="7">
        <v>86.199200000000019</v>
      </c>
      <c r="C1013" s="8">
        <f t="shared" si="7"/>
        <v>94.646952723671518</v>
      </c>
      <c r="D1013" s="9">
        <f t="shared" si="6"/>
        <v>64.508816369173758</v>
      </c>
      <c r="E1013" s="9"/>
      <c r="F1013" s="9">
        <f ca="1">IFERROR(__xludf.DUMMYFUNCTION("""COMPUTED_VALUE"""),44294)</f>
        <v>44294</v>
      </c>
      <c r="G1013" s="9" t="str">
        <f ca="1">IFERROR(__xludf.DUMMYFUNCTION("""COMPUTED_VALUE"""),"1 USD = 152.7688 PKR")</f>
        <v>1 USD = 152.7688 PKR</v>
      </c>
      <c r="H1013" s="9" t="str">
        <f ca="1">IFERROR(__xludf.DUMMYFUNCTION("""COMPUTED_VALUE"""),"USD PKR rate for 08/04/2021")</f>
        <v>USD PKR rate for 08/04/2021</v>
      </c>
      <c r="I1013" s="9"/>
    </row>
    <row r="1014" spans="1:9" ht="14.25" customHeight="1" x14ac:dyDescent="0.3">
      <c r="A1014" s="6">
        <v>40731</v>
      </c>
      <c r="B1014" s="7">
        <v>85.904499999999999</v>
      </c>
      <c r="C1014" s="8">
        <f t="shared" si="7"/>
        <v>94.663880309241947</v>
      </c>
      <c r="D1014" s="9">
        <f t="shared" si="6"/>
        <v>64.511554201971023</v>
      </c>
      <c r="E1014" s="9"/>
      <c r="F1014" s="9">
        <f ca="1">IFERROR(__xludf.DUMMYFUNCTION("""COMPUTED_VALUE"""),44293)</f>
        <v>44293</v>
      </c>
      <c r="G1014" s="9" t="str">
        <f ca="1">IFERROR(__xludf.DUMMYFUNCTION("""COMPUTED_VALUE"""),"1 USD = 153.1713 PKR")</f>
        <v>1 USD = 153.1713 PKR</v>
      </c>
      <c r="H1014" s="9" t="str">
        <f ca="1">IFERROR(__xludf.DUMMYFUNCTION("""COMPUTED_VALUE"""),"USD PKR rate for 07/04/2021")</f>
        <v>USD PKR rate for 07/04/2021</v>
      </c>
      <c r="I1014" s="9"/>
    </row>
    <row r="1015" spans="1:9" ht="14.25" customHeight="1" x14ac:dyDescent="0.3">
      <c r="A1015" s="6">
        <v>40732</v>
      </c>
      <c r="B1015" s="7">
        <v>85.472899999999996</v>
      </c>
      <c r="C1015" s="8">
        <f t="shared" si="7"/>
        <v>94.680810922307145</v>
      </c>
      <c r="D1015" s="9">
        <f t="shared" si="6"/>
        <v>64.514292034768289</v>
      </c>
      <c r="E1015" s="9"/>
      <c r="F1015" s="9">
        <f ca="1">IFERROR(__xludf.DUMMYFUNCTION("""COMPUTED_VALUE"""),44292)</f>
        <v>44292</v>
      </c>
      <c r="G1015" s="9" t="str">
        <f ca="1">IFERROR(__xludf.DUMMYFUNCTION("""COMPUTED_VALUE"""),"1 USD = 153.221 PKR")</f>
        <v>1 USD = 153.221 PKR</v>
      </c>
      <c r="H1015" s="9" t="str">
        <f ca="1">IFERROR(__xludf.DUMMYFUNCTION("""COMPUTED_VALUE"""),"USD PKR rate for 06/04/2021")</f>
        <v>USD PKR rate for 06/04/2021</v>
      </c>
      <c r="I1015" s="9"/>
    </row>
    <row r="1016" spans="1:9" ht="14.25" customHeight="1" x14ac:dyDescent="0.3">
      <c r="A1016" s="6">
        <v>40733</v>
      </c>
      <c r="B1016" s="7">
        <v>85.472899999999996</v>
      </c>
      <c r="C1016" s="8">
        <f t="shared" si="7"/>
        <v>94.697744563408563</v>
      </c>
      <c r="D1016" s="9">
        <f t="shared" si="6"/>
        <v>64.517029867565554</v>
      </c>
      <c r="E1016" s="9"/>
      <c r="F1016" s="9">
        <f ca="1">IFERROR(__xludf.DUMMYFUNCTION("""COMPUTED_VALUE"""),44291)</f>
        <v>44291</v>
      </c>
      <c r="G1016" s="9" t="str">
        <f ca="1">IFERROR(__xludf.DUMMYFUNCTION("""COMPUTED_VALUE"""),"1 USD = 152.5774 PKR")</f>
        <v>1 USD = 152.5774 PKR</v>
      </c>
      <c r="H1016" s="9" t="str">
        <f ca="1">IFERROR(__xludf.DUMMYFUNCTION("""COMPUTED_VALUE"""),"USD PKR rate for 05/04/2021")</f>
        <v>USD PKR rate for 05/04/2021</v>
      </c>
      <c r="I1016" s="9"/>
    </row>
    <row r="1017" spans="1:9" ht="14.25" customHeight="1" x14ac:dyDescent="0.3">
      <c r="A1017" s="6">
        <v>40734</v>
      </c>
      <c r="B1017" s="7">
        <v>85.654300000000006</v>
      </c>
      <c r="C1017" s="8">
        <f t="shared" si="7"/>
        <v>94.714681233087774</v>
      </c>
      <c r="D1017" s="9">
        <f t="shared" si="6"/>
        <v>64.51976770036282</v>
      </c>
      <c r="E1017" s="9"/>
      <c r="F1017" s="9">
        <f ca="1">IFERROR(__xludf.DUMMYFUNCTION("""COMPUTED_VALUE"""),44290)</f>
        <v>44290</v>
      </c>
      <c r="G1017" s="9" t="str">
        <f ca="1">IFERROR(__xludf.DUMMYFUNCTION("""COMPUTED_VALUE"""),"1 USD = 152.814 PKR")</f>
        <v>1 USD = 152.814 PKR</v>
      </c>
      <c r="H1017" s="9" t="str">
        <f ca="1">IFERROR(__xludf.DUMMYFUNCTION("""COMPUTED_VALUE"""),"USD PKR rate for 04/04/2021")</f>
        <v>USD PKR rate for 04/04/2021</v>
      </c>
      <c r="I1017" s="9"/>
    </row>
    <row r="1018" spans="1:9" ht="14.25" customHeight="1" x14ac:dyDescent="0.3">
      <c r="A1018" s="6">
        <v>40735</v>
      </c>
      <c r="B1018" s="7">
        <v>85.767399999999995</v>
      </c>
      <c r="C1018" s="8">
        <f t="shared" si="7"/>
        <v>94.73162093188644</v>
      </c>
      <c r="D1018" s="9">
        <f t="shared" si="6"/>
        <v>64.522505533160086</v>
      </c>
      <c r="E1018" s="9"/>
      <c r="F1018" s="9">
        <f ca="1">IFERROR(__xludf.DUMMYFUNCTION("""COMPUTED_VALUE"""),44289)</f>
        <v>44289</v>
      </c>
      <c r="G1018" s="9" t="str">
        <f ca="1">IFERROR(__xludf.DUMMYFUNCTION("""COMPUTED_VALUE"""),"1 USD = 153.5555 PKR")</f>
        <v>1 USD = 153.5555 PKR</v>
      </c>
      <c r="H1018" s="9" t="str">
        <f ca="1">IFERROR(__xludf.DUMMYFUNCTION("""COMPUTED_VALUE"""),"USD PKR rate for 03/04/2021")</f>
        <v>USD PKR rate for 03/04/2021</v>
      </c>
      <c r="I1018" s="9"/>
    </row>
    <row r="1019" spans="1:9" ht="14.25" customHeight="1" x14ac:dyDescent="0.3">
      <c r="A1019" s="6">
        <v>40736</v>
      </c>
      <c r="B1019" s="7">
        <v>86.308300000000003</v>
      </c>
      <c r="C1019" s="8">
        <f t="shared" si="7"/>
        <v>94.748563660346292</v>
      </c>
      <c r="D1019" s="9">
        <f t="shared" si="6"/>
        <v>64.525243365957351</v>
      </c>
      <c r="E1019" s="9"/>
      <c r="F1019" s="9">
        <f ca="1">IFERROR(__xludf.DUMMYFUNCTION("""COMPUTED_VALUE"""),44288)</f>
        <v>44288</v>
      </c>
      <c r="G1019" s="9" t="str">
        <f ca="1">IFERROR(__xludf.DUMMYFUNCTION("""COMPUTED_VALUE"""),"1 USD = 153.5503 PKR")</f>
        <v>1 USD = 153.5503 PKR</v>
      </c>
      <c r="H1019" s="9" t="str">
        <f ca="1">IFERROR(__xludf.DUMMYFUNCTION("""COMPUTED_VALUE"""),"USD PKR rate for 02/04/2021")</f>
        <v>USD PKR rate for 02/04/2021</v>
      </c>
      <c r="I1019" s="9"/>
    </row>
    <row r="1020" spans="1:9" ht="14.25" customHeight="1" x14ac:dyDescent="0.3">
      <c r="A1020" s="6">
        <v>40737</v>
      </c>
      <c r="B1020" s="7">
        <v>85.919499999999999</v>
      </c>
      <c r="C1020" s="8">
        <f t="shared" si="7"/>
        <v>94.76550941900922</v>
      </c>
      <c r="D1020" s="9">
        <f t="shared" si="6"/>
        <v>64.527981198754617</v>
      </c>
      <c r="E1020" s="9"/>
      <c r="F1020" s="9">
        <f ca="1">IFERROR(__xludf.DUMMYFUNCTION("""COMPUTED_VALUE"""),44287)</f>
        <v>44287</v>
      </c>
      <c r="G1020" s="9" t="str">
        <f ca="1">IFERROR(__xludf.DUMMYFUNCTION("""COMPUTED_VALUE"""),"1 USD = 152.7804 PKR")</f>
        <v>1 USD = 152.7804 PKR</v>
      </c>
      <c r="H1020" s="9" t="str">
        <f ca="1">IFERROR(__xludf.DUMMYFUNCTION("""COMPUTED_VALUE"""),"USD PKR rate for 01/04/2021")</f>
        <v>USD PKR rate for 01/04/2021</v>
      </c>
      <c r="I1020" s="9"/>
    </row>
    <row r="1021" spans="1:9" ht="14.25" customHeight="1" x14ac:dyDescent="0.3">
      <c r="A1021" s="6">
        <v>40738</v>
      </c>
      <c r="B1021" s="7">
        <v>86.189800000000005</v>
      </c>
      <c r="C1021" s="8">
        <f t="shared" si="7"/>
        <v>94.782458208417069</v>
      </c>
      <c r="D1021" s="9">
        <f t="shared" si="6"/>
        <v>64.530719031551882</v>
      </c>
      <c r="E1021" s="9"/>
      <c r="F1021" s="9">
        <f ca="1">IFERROR(__xludf.DUMMYFUNCTION("""COMPUTED_VALUE"""),44286)</f>
        <v>44286</v>
      </c>
      <c r="G1021" s="9" t="str">
        <f ca="1">IFERROR(__xludf.DUMMYFUNCTION("""COMPUTED_VALUE"""),"1 USD = 152.6496 PKR")</f>
        <v>1 USD = 152.6496 PKR</v>
      </c>
      <c r="H1021" s="9" t="str">
        <f ca="1">IFERROR(__xludf.DUMMYFUNCTION("""COMPUTED_VALUE"""),"USD PKR rate for 31/03/2021")</f>
        <v>USD PKR rate for 31/03/2021</v>
      </c>
      <c r="I1021" s="9"/>
    </row>
    <row r="1022" spans="1:9" ht="14.25" customHeight="1" x14ac:dyDescent="0.3">
      <c r="A1022" s="6">
        <v>40739</v>
      </c>
      <c r="B1022" s="7">
        <v>86.160100000000014</v>
      </c>
      <c r="C1022" s="8">
        <f t="shared" si="7"/>
        <v>94.799410029112053</v>
      </c>
      <c r="D1022" s="9">
        <f t="shared" si="6"/>
        <v>64.533456864349148</v>
      </c>
      <c r="E1022" s="9"/>
      <c r="F1022" s="9">
        <f ca="1">IFERROR(__xludf.DUMMYFUNCTION("""COMPUTED_VALUE"""),44285)</f>
        <v>44285</v>
      </c>
      <c r="G1022" s="9" t="str">
        <f ca="1">IFERROR(__xludf.DUMMYFUNCTION("""COMPUTED_VALUE"""),"1 USD = 153.0849 PKR")</f>
        <v>1 USD = 153.0849 PKR</v>
      </c>
      <c r="H1022" s="9" t="str">
        <f ca="1">IFERROR(__xludf.DUMMYFUNCTION("""COMPUTED_VALUE"""),"USD PKR rate for 30/03/2021")</f>
        <v>USD PKR rate for 30/03/2021</v>
      </c>
      <c r="I1022" s="9"/>
    </row>
    <row r="1023" spans="1:9" ht="14.25" customHeight="1" x14ac:dyDescent="0.3">
      <c r="A1023" s="6">
        <v>40740</v>
      </c>
      <c r="B1023" s="7">
        <v>75.572400000000016</v>
      </c>
      <c r="C1023" s="8">
        <f t="shared" si="7"/>
        <v>94.816364881636261</v>
      </c>
      <c r="D1023" s="9">
        <f t="shared" ref="D1023:D1277" si="8">(A1023-$A$3)/365.2524</f>
        <v>64.536194697146414</v>
      </c>
      <c r="E1023" s="9"/>
      <c r="F1023" s="9">
        <f ca="1">IFERROR(__xludf.DUMMYFUNCTION("""COMPUTED_VALUE"""),44284)</f>
        <v>44284</v>
      </c>
      <c r="G1023" s="9" t="str">
        <f ca="1">IFERROR(__xludf.DUMMYFUNCTION("""COMPUTED_VALUE"""),"1 USD = 153.9333 PKR")</f>
        <v>1 USD = 153.9333 PKR</v>
      </c>
      <c r="H1023" s="9" t="str">
        <f ca="1">IFERROR(__xludf.DUMMYFUNCTION("""COMPUTED_VALUE"""),"USD PKR rate for 29/03/2021")</f>
        <v>USD PKR rate for 29/03/2021</v>
      </c>
      <c r="I1023" s="9"/>
    </row>
    <row r="1024" spans="1:9" ht="14.25" customHeight="1" x14ac:dyDescent="0.3">
      <c r="A1024" s="6">
        <v>40741</v>
      </c>
      <c r="B1024" s="7">
        <v>75.652100000000004</v>
      </c>
      <c r="C1024" s="8">
        <f t="shared" ref="C1024:C1278" si="9">(1+$C$1)^D1024*$C$3</f>
        <v>94.833322766531893</v>
      </c>
      <c r="D1024" s="9">
        <f t="shared" si="8"/>
        <v>64.538932529943679</v>
      </c>
      <c r="E1024" s="9"/>
      <c r="F1024" s="9">
        <f ca="1">IFERROR(__xludf.DUMMYFUNCTION("""COMPUTED_VALUE"""),44283)</f>
        <v>44283</v>
      </c>
      <c r="G1024" s="9" t="str">
        <f ca="1">IFERROR(__xludf.DUMMYFUNCTION("""COMPUTED_VALUE"""),"1 USD = 154.6248 PKR")</f>
        <v>1 USD = 154.6248 PKR</v>
      </c>
      <c r="H1024" s="9" t="str">
        <f ca="1">IFERROR(__xludf.DUMMYFUNCTION("""COMPUTED_VALUE"""),"USD PKR rate for 28/03/2021")</f>
        <v>USD PKR rate for 28/03/2021</v>
      </c>
      <c r="I1024" s="9"/>
    </row>
    <row r="1025" spans="1:9" ht="14.25" customHeight="1" x14ac:dyDescent="0.3">
      <c r="A1025" s="6">
        <v>40742</v>
      </c>
      <c r="B1025" s="7">
        <v>86.505799999999994</v>
      </c>
      <c r="C1025" s="8">
        <f t="shared" si="9"/>
        <v>94.850283684341321</v>
      </c>
      <c r="D1025" s="9">
        <f t="shared" si="8"/>
        <v>64.541670362740945</v>
      </c>
      <c r="E1025" s="9"/>
      <c r="F1025" s="9">
        <f ca="1">IFERROR(__xludf.DUMMYFUNCTION("""COMPUTED_VALUE"""),44282)</f>
        <v>44282</v>
      </c>
      <c r="G1025" s="9" t="str">
        <f ca="1">IFERROR(__xludf.DUMMYFUNCTION("""COMPUTED_VALUE"""),"1 USD = 155.0099 PKR")</f>
        <v>1 USD = 155.0099 PKR</v>
      </c>
      <c r="H1025" s="9" t="str">
        <f ca="1">IFERROR(__xludf.DUMMYFUNCTION("""COMPUTED_VALUE"""),"USD PKR rate for 27/03/2021")</f>
        <v>USD PKR rate for 27/03/2021</v>
      </c>
      <c r="I1025" s="9"/>
    </row>
    <row r="1026" spans="1:9" ht="14.25" customHeight="1" x14ac:dyDescent="0.3">
      <c r="A1026" s="6">
        <v>40743</v>
      </c>
      <c r="B1026" s="7">
        <v>86.112499999999997</v>
      </c>
      <c r="C1026" s="8">
        <f t="shared" si="9"/>
        <v>94.867247635606972</v>
      </c>
      <c r="D1026" s="9">
        <f t="shared" si="8"/>
        <v>64.54440819553821</v>
      </c>
      <c r="E1026" s="9"/>
      <c r="F1026" s="9">
        <f ca="1">IFERROR(__xludf.DUMMYFUNCTION("""COMPUTED_VALUE"""),44281)</f>
        <v>44281</v>
      </c>
      <c r="G1026" s="9" t="str">
        <f ca="1">IFERROR(__xludf.DUMMYFUNCTION("""COMPUTED_VALUE"""),"1 USD = 155.0049 PKR")</f>
        <v>1 USD = 155.0049 PKR</v>
      </c>
      <c r="H1026" s="9" t="str">
        <f ca="1">IFERROR(__xludf.DUMMYFUNCTION("""COMPUTED_VALUE"""),"USD PKR rate for 26/03/2021")</f>
        <v>USD PKR rate for 26/03/2021</v>
      </c>
      <c r="I1026" s="9"/>
    </row>
    <row r="1027" spans="1:9" ht="14.25" customHeight="1" x14ac:dyDescent="0.3">
      <c r="A1027" s="6">
        <v>40744</v>
      </c>
      <c r="B1027" s="7">
        <v>85.708500000000001</v>
      </c>
      <c r="C1027" s="8">
        <f t="shared" si="9"/>
        <v>94.88421462087139</v>
      </c>
      <c r="D1027" s="9">
        <f t="shared" si="8"/>
        <v>64.547146028335476</v>
      </c>
      <c r="E1027" s="9"/>
      <c r="F1027" s="9">
        <f ca="1">IFERROR(__xludf.DUMMYFUNCTION("""COMPUTED_VALUE"""),44280)</f>
        <v>44280</v>
      </c>
      <c r="G1027" s="9" t="str">
        <f ca="1">IFERROR(__xludf.DUMMYFUNCTION("""COMPUTED_VALUE"""),"1 USD = 154.8237 PKR")</f>
        <v>1 USD = 154.8237 PKR</v>
      </c>
      <c r="H1027" s="9" t="str">
        <f ca="1">IFERROR(__xludf.DUMMYFUNCTION("""COMPUTED_VALUE"""),"USD PKR rate for 25/03/2021")</f>
        <v>USD PKR rate for 25/03/2021</v>
      </c>
      <c r="I1027" s="9"/>
    </row>
    <row r="1028" spans="1:9" ht="14.25" customHeight="1" x14ac:dyDescent="0.3">
      <c r="A1028" s="6">
        <v>40745</v>
      </c>
      <c r="B1028" s="7">
        <v>86.646900000000016</v>
      </c>
      <c r="C1028" s="8">
        <f t="shared" si="9"/>
        <v>94.901184640677187</v>
      </c>
      <c r="D1028" s="9">
        <f t="shared" si="8"/>
        <v>64.549883861132741</v>
      </c>
      <c r="E1028" s="9"/>
      <c r="F1028" s="9">
        <f ca="1">IFERROR(__xludf.DUMMYFUNCTION("""COMPUTED_VALUE"""),44279)</f>
        <v>44279</v>
      </c>
      <c r="G1028" s="9" t="str">
        <f ca="1">IFERROR(__xludf.DUMMYFUNCTION("""COMPUTED_VALUE"""),"1 USD = 155.3708 PKR")</f>
        <v>1 USD = 155.3708 PKR</v>
      </c>
      <c r="H1028" s="9" t="str">
        <f ca="1">IFERROR(__xludf.DUMMYFUNCTION("""COMPUTED_VALUE"""),"USD PKR rate for 24/03/2021")</f>
        <v>USD PKR rate for 24/03/2021</v>
      </c>
      <c r="I1028" s="9"/>
    </row>
    <row r="1029" spans="1:9" ht="14.25" customHeight="1" x14ac:dyDescent="0.3">
      <c r="A1029" s="6">
        <v>40746</v>
      </c>
      <c r="B1029" s="7">
        <v>86.003200000000007</v>
      </c>
      <c r="C1029" s="8">
        <f t="shared" si="9"/>
        <v>94.918157695567075</v>
      </c>
      <c r="D1029" s="9">
        <f t="shared" si="8"/>
        <v>64.552621693930007</v>
      </c>
      <c r="E1029" s="9"/>
      <c r="F1029" s="9">
        <f ca="1">IFERROR(__xludf.DUMMYFUNCTION("""COMPUTED_VALUE"""),44278)</f>
        <v>44278</v>
      </c>
      <c r="G1029" s="9" t="str">
        <f ca="1">IFERROR(__xludf.DUMMYFUNCTION("""COMPUTED_VALUE"""),"1 USD = 156.1148 PKR")</f>
        <v>1 USD = 156.1148 PKR</v>
      </c>
      <c r="H1029" s="9" t="str">
        <f ca="1">IFERROR(__xludf.DUMMYFUNCTION("""COMPUTED_VALUE"""),"USD PKR rate for 23/03/2021")</f>
        <v>USD PKR rate for 23/03/2021</v>
      </c>
      <c r="I1029" s="9"/>
    </row>
    <row r="1030" spans="1:9" ht="14.25" customHeight="1" x14ac:dyDescent="0.3">
      <c r="A1030" s="6">
        <v>40747</v>
      </c>
      <c r="B1030" s="7">
        <v>86.003200000000007</v>
      </c>
      <c r="C1030" s="8">
        <f t="shared" si="9"/>
        <v>94.935133786083838</v>
      </c>
      <c r="D1030" s="9">
        <f t="shared" si="8"/>
        <v>64.555359526727273</v>
      </c>
      <c r="E1030" s="9"/>
      <c r="F1030" s="9">
        <f ca="1">IFERROR(__xludf.DUMMYFUNCTION("""COMPUTED_VALUE"""),44277)</f>
        <v>44277</v>
      </c>
      <c r="G1030" s="9" t="str">
        <f ca="1">IFERROR(__xludf.DUMMYFUNCTION("""COMPUTED_VALUE"""),"1 USD = 155.6845 PKR")</f>
        <v>1 USD = 155.6845 PKR</v>
      </c>
      <c r="H1030" s="9" t="str">
        <f ca="1">IFERROR(__xludf.DUMMYFUNCTION("""COMPUTED_VALUE"""),"USD PKR rate for 22/03/2021")</f>
        <v>USD PKR rate for 22/03/2021</v>
      </c>
      <c r="I1030" s="9"/>
    </row>
    <row r="1031" spans="1:9" ht="14.25" customHeight="1" x14ac:dyDescent="0.3">
      <c r="A1031" s="6">
        <v>40748</v>
      </c>
      <c r="B1031" s="7">
        <v>85.934700000000007</v>
      </c>
      <c r="C1031" s="8">
        <f t="shared" si="9"/>
        <v>94.952112912770531</v>
      </c>
      <c r="D1031" s="9">
        <f t="shared" si="8"/>
        <v>64.558097359524538</v>
      </c>
      <c r="E1031" s="9"/>
      <c r="F1031" s="9">
        <f ca="1">IFERROR(__xludf.DUMMYFUNCTION("""COMPUTED_VALUE"""),44276)</f>
        <v>44276</v>
      </c>
      <c r="G1031" s="9" t="str">
        <f ca="1">IFERROR(__xludf.DUMMYFUNCTION("""COMPUTED_VALUE"""),"1 USD = 155.8561 PKR")</f>
        <v>1 USD = 155.8561 PKR</v>
      </c>
      <c r="H1031" s="9" t="str">
        <f ca="1">IFERROR(__xludf.DUMMYFUNCTION("""COMPUTED_VALUE"""),"USD PKR rate for 21/03/2021")</f>
        <v>USD PKR rate for 21/03/2021</v>
      </c>
      <c r="I1031" s="9"/>
    </row>
    <row r="1032" spans="1:9" ht="14.25" customHeight="1" x14ac:dyDescent="0.3">
      <c r="A1032" s="6">
        <v>40749</v>
      </c>
      <c r="B1032" s="7">
        <v>85.871399999999994</v>
      </c>
      <c r="C1032" s="8">
        <f t="shared" si="9"/>
        <v>94.969095076170092</v>
      </c>
      <c r="D1032" s="9">
        <f t="shared" si="8"/>
        <v>64.560835192321804</v>
      </c>
      <c r="E1032" s="9"/>
      <c r="F1032" s="9">
        <f ca="1">IFERROR(__xludf.DUMMYFUNCTION("""COMPUTED_VALUE"""),44275)</f>
        <v>44275</v>
      </c>
      <c r="G1032" s="9" t="str">
        <f ca="1">IFERROR(__xludf.DUMMYFUNCTION("""COMPUTED_VALUE"""),"1 USD = 155.9999 PKR")</f>
        <v>1 USD = 155.9999 PKR</v>
      </c>
      <c r="H1032" s="9" t="str">
        <f ca="1">IFERROR(__xludf.DUMMYFUNCTION("""COMPUTED_VALUE"""),"USD PKR rate for 20/03/2021")</f>
        <v>USD PKR rate for 20/03/2021</v>
      </c>
      <c r="I1032" s="9"/>
    </row>
    <row r="1033" spans="1:9" ht="14.25" customHeight="1" x14ac:dyDescent="0.3">
      <c r="A1033" s="6">
        <v>40750</v>
      </c>
      <c r="B1033" s="7">
        <v>86.124499999999998</v>
      </c>
      <c r="C1033" s="8">
        <f t="shared" si="9"/>
        <v>94.98608027682566</v>
      </c>
      <c r="D1033" s="9">
        <f t="shared" si="8"/>
        <v>64.563573025119069</v>
      </c>
      <c r="E1033" s="9"/>
      <c r="F1033" s="9">
        <f ca="1">IFERROR(__xludf.DUMMYFUNCTION("""COMPUTED_VALUE"""),44274)</f>
        <v>44274</v>
      </c>
      <c r="G1033" s="9" t="str">
        <f ca="1">IFERROR(__xludf.DUMMYFUNCTION("""COMPUTED_VALUE"""),"1 USD = 155.9991 PKR")</f>
        <v>1 USD = 155.9991 PKR</v>
      </c>
      <c r="H1033" s="9" t="str">
        <f ca="1">IFERROR(__xludf.DUMMYFUNCTION("""COMPUTED_VALUE"""),"USD PKR rate for 19/03/2021")</f>
        <v>USD PKR rate for 19/03/2021</v>
      </c>
      <c r="I1033" s="9"/>
    </row>
    <row r="1034" spans="1:9" ht="14.25" customHeight="1" x14ac:dyDescent="0.3">
      <c r="A1034" s="6">
        <v>40751</v>
      </c>
      <c r="B1034" s="7">
        <v>87.000799999999998</v>
      </c>
      <c r="C1034" s="8">
        <f t="shared" si="9"/>
        <v>95.003068515280404</v>
      </c>
      <c r="D1034" s="9">
        <f t="shared" si="8"/>
        <v>64.566310857916335</v>
      </c>
      <c r="E1034" s="9"/>
      <c r="F1034" s="9">
        <f ca="1">IFERROR(__xludf.DUMMYFUNCTION("""COMPUTED_VALUE"""),44273)</f>
        <v>44273</v>
      </c>
      <c r="G1034" s="9" t="str">
        <f ca="1">IFERROR(__xludf.DUMMYFUNCTION("""COMPUTED_VALUE"""),"1 USD = 155.5796 PKR")</f>
        <v>1 USD = 155.5796 PKR</v>
      </c>
      <c r="H1034" s="9" t="str">
        <f ca="1">IFERROR(__xludf.DUMMYFUNCTION("""COMPUTED_VALUE"""),"USD PKR rate for 18/03/2021")</f>
        <v>USD PKR rate for 18/03/2021</v>
      </c>
      <c r="I1034" s="9"/>
    </row>
    <row r="1035" spans="1:9" ht="14.25" customHeight="1" x14ac:dyDescent="0.3">
      <c r="A1035" s="6">
        <v>40752</v>
      </c>
      <c r="B1035" s="7">
        <v>86.201700000000002</v>
      </c>
      <c r="C1035" s="8">
        <f t="shared" si="9"/>
        <v>95.020059792077703</v>
      </c>
      <c r="D1035" s="9">
        <f t="shared" si="8"/>
        <v>64.569048690713601</v>
      </c>
      <c r="E1035" s="9"/>
      <c r="F1035" s="9">
        <f ca="1">IFERROR(__xludf.DUMMYFUNCTION("""COMPUTED_VALUE"""),44272)</f>
        <v>44272</v>
      </c>
      <c r="G1035" s="9" t="str">
        <f ca="1">IFERROR(__xludf.DUMMYFUNCTION("""COMPUTED_VALUE"""),"1 USD = 156.0375 PKR")</f>
        <v>1 USD = 156.0375 PKR</v>
      </c>
      <c r="H1035" s="9" t="str">
        <f ca="1">IFERROR(__xludf.DUMMYFUNCTION("""COMPUTED_VALUE"""),"USD PKR rate for 17/03/2021")</f>
        <v>USD PKR rate for 17/03/2021</v>
      </c>
      <c r="I1035" s="9"/>
    </row>
    <row r="1036" spans="1:9" ht="14.25" customHeight="1" x14ac:dyDescent="0.3">
      <c r="A1036" s="6">
        <v>40753</v>
      </c>
      <c r="B1036" s="7">
        <v>86.805999999999997</v>
      </c>
      <c r="C1036" s="8">
        <f t="shared" si="9"/>
        <v>95.037054107760881</v>
      </c>
      <c r="D1036" s="9">
        <f t="shared" si="8"/>
        <v>64.571786523510866</v>
      </c>
      <c r="E1036" s="9"/>
      <c r="F1036" s="9">
        <f ca="1">IFERROR(__xludf.DUMMYFUNCTION("""COMPUTED_VALUE"""),44271)</f>
        <v>44271</v>
      </c>
      <c r="G1036" s="9" t="str">
        <f ca="1">IFERROR(__xludf.DUMMYFUNCTION("""COMPUTED_VALUE"""),"1 USD = 156.723 PKR")</f>
        <v>1 USD = 156.723 PKR</v>
      </c>
      <c r="H1036" s="9" t="str">
        <f ca="1">IFERROR(__xludf.DUMMYFUNCTION("""COMPUTED_VALUE"""),"USD PKR rate for 16/03/2021")</f>
        <v>USD PKR rate for 16/03/2021</v>
      </c>
      <c r="I1036" s="9"/>
    </row>
    <row r="1037" spans="1:9" ht="14.25" customHeight="1" x14ac:dyDescent="0.3">
      <c r="A1037" s="6">
        <v>40754</v>
      </c>
      <c r="B1037" s="7">
        <v>86.805999999999997</v>
      </c>
      <c r="C1037" s="8">
        <f t="shared" si="9"/>
        <v>95.054051462873502</v>
      </c>
      <c r="D1037" s="9">
        <f t="shared" si="8"/>
        <v>64.574524356308132</v>
      </c>
      <c r="E1037" s="9"/>
      <c r="F1037" s="9">
        <f ca="1">IFERROR(__xludf.DUMMYFUNCTION("""COMPUTED_VALUE"""),44270)</f>
        <v>44270</v>
      </c>
      <c r="G1037" s="9" t="str">
        <f ca="1">IFERROR(__xludf.DUMMYFUNCTION("""COMPUTED_VALUE"""),"1 USD = 157.0263 PKR")</f>
        <v>1 USD = 157.0263 PKR</v>
      </c>
      <c r="H1037" s="9" t="str">
        <f ca="1">IFERROR(__xludf.DUMMYFUNCTION("""COMPUTED_VALUE"""),"USD PKR rate for 15/03/2021")</f>
        <v>USD PKR rate for 15/03/2021</v>
      </c>
      <c r="I1037" s="9"/>
    </row>
    <row r="1038" spans="1:9" ht="14.25" customHeight="1" x14ac:dyDescent="0.3">
      <c r="A1038" s="6">
        <v>40755</v>
      </c>
      <c r="B1038" s="7">
        <v>86.890600000000006</v>
      </c>
      <c r="C1038" s="8">
        <f t="shared" si="9"/>
        <v>95.071051857959148</v>
      </c>
      <c r="D1038" s="9">
        <f t="shared" si="8"/>
        <v>64.577262189105397</v>
      </c>
      <c r="E1038" s="9"/>
      <c r="F1038" s="9">
        <f ca="1">IFERROR(__xludf.DUMMYFUNCTION("""COMPUTED_VALUE"""),44269)</f>
        <v>44269</v>
      </c>
      <c r="G1038" s="9" t="str">
        <f ca="1">IFERROR(__xludf.DUMMYFUNCTION("""COMPUTED_VALUE"""),"1 USD = 156.7168 PKR")</f>
        <v>1 USD = 156.7168 PKR</v>
      </c>
      <c r="H1038" s="9" t="str">
        <f ca="1">IFERROR(__xludf.DUMMYFUNCTION("""COMPUTED_VALUE"""),"USD PKR rate for 14/03/2021")</f>
        <v>USD PKR rate for 14/03/2021</v>
      </c>
      <c r="I1038" s="9"/>
    </row>
    <row r="1039" spans="1:9" ht="14.25" customHeight="1" x14ac:dyDescent="0.3">
      <c r="A1039" s="6">
        <v>40756</v>
      </c>
      <c r="B1039" s="7">
        <v>86.579499999999996</v>
      </c>
      <c r="C1039" s="8">
        <f t="shared" si="9"/>
        <v>95.088055293561439</v>
      </c>
      <c r="D1039" s="9">
        <f t="shared" si="8"/>
        <v>64.580000021902663</v>
      </c>
      <c r="E1039" s="9"/>
      <c r="F1039" s="9">
        <f ca="1">IFERROR(__xludf.DUMMYFUNCTION("""COMPUTED_VALUE"""),44268)</f>
        <v>44268</v>
      </c>
      <c r="G1039" s="9" t="str">
        <f ca="1">IFERROR(__xludf.DUMMYFUNCTION("""COMPUTED_VALUE"""),"1 USD = 157.0486 PKR")</f>
        <v>1 USD = 157.0486 PKR</v>
      </c>
      <c r="H1039" s="9" t="str">
        <f ca="1">IFERROR(__xludf.DUMMYFUNCTION("""COMPUTED_VALUE"""),"USD PKR rate for 13/03/2021")</f>
        <v>USD PKR rate for 13/03/2021</v>
      </c>
      <c r="I1039" s="9"/>
    </row>
    <row r="1040" spans="1:9" ht="14.25" customHeight="1" x14ac:dyDescent="0.3">
      <c r="A1040" s="6">
        <v>40757</v>
      </c>
      <c r="B1040" s="7">
        <v>87.067499999999995</v>
      </c>
      <c r="C1040" s="8">
        <f t="shared" si="9"/>
        <v>95.10506177022431</v>
      </c>
      <c r="D1040" s="9">
        <f t="shared" si="8"/>
        <v>64.582737854699928</v>
      </c>
      <c r="E1040" s="9"/>
      <c r="F1040" s="9">
        <f ca="1">IFERROR(__xludf.DUMMYFUNCTION("""COMPUTED_VALUE"""),44267)</f>
        <v>44267</v>
      </c>
      <c r="G1040" s="9" t="str">
        <f ca="1">IFERROR(__xludf.DUMMYFUNCTION("""COMPUTED_VALUE"""),"1 USD = 157.0504 PKR")</f>
        <v>1 USD = 157.0504 PKR</v>
      </c>
      <c r="H1040" s="9" t="str">
        <f ca="1">IFERROR(__xludf.DUMMYFUNCTION("""COMPUTED_VALUE"""),"USD PKR rate for 12/03/2021")</f>
        <v>USD PKR rate for 12/03/2021</v>
      </c>
      <c r="I1040" s="9"/>
    </row>
    <row r="1041" spans="1:9" ht="14.25" customHeight="1" x14ac:dyDescent="0.3">
      <c r="A1041" s="6">
        <v>40758</v>
      </c>
      <c r="B1041" s="7">
        <v>86.133499999999998</v>
      </c>
      <c r="C1041" s="8">
        <f t="shared" si="9"/>
        <v>95.122071288491611</v>
      </c>
      <c r="D1041" s="9">
        <f t="shared" si="8"/>
        <v>64.585475687497194</v>
      </c>
      <c r="E1041" s="9"/>
      <c r="F1041" s="9">
        <f ca="1">IFERROR(__xludf.DUMMYFUNCTION("""COMPUTED_VALUE"""),44266)</f>
        <v>44266</v>
      </c>
      <c r="G1041" s="9" t="str">
        <f ca="1">IFERROR(__xludf.DUMMYFUNCTION("""COMPUTED_VALUE"""),"1 USD = 157.1407 PKR")</f>
        <v>1 USD = 157.1407 PKR</v>
      </c>
      <c r="H1041" s="9" t="str">
        <f ca="1">IFERROR(__xludf.DUMMYFUNCTION("""COMPUTED_VALUE"""),"USD PKR rate for 11/03/2021")</f>
        <v>USD PKR rate for 11/03/2021</v>
      </c>
      <c r="I1041" s="9"/>
    </row>
    <row r="1042" spans="1:9" ht="14.25" customHeight="1" x14ac:dyDescent="0.3">
      <c r="A1042" s="6">
        <v>40759</v>
      </c>
      <c r="B1042" s="7">
        <v>87.697900000000004</v>
      </c>
      <c r="C1042" s="8">
        <f t="shared" si="9"/>
        <v>95.139083848907305</v>
      </c>
      <c r="D1042" s="9">
        <f t="shared" si="8"/>
        <v>64.58821352029446</v>
      </c>
      <c r="E1042" s="9"/>
      <c r="F1042" s="9">
        <f ca="1">IFERROR(__xludf.DUMMYFUNCTION("""COMPUTED_VALUE"""),44265)</f>
        <v>44265</v>
      </c>
      <c r="G1042" s="9" t="str">
        <f ca="1">IFERROR(__xludf.DUMMYFUNCTION("""COMPUTED_VALUE"""),"1 USD = 157.0581 PKR")</f>
        <v>1 USD = 157.0581 PKR</v>
      </c>
      <c r="H1042" s="9" t="str">
        <f ca="1">IFERROR(__xludf.DUMMYFUNCTION("""COMPUTED_VALUE"""),"USD PKR rate for 10/03/2021")</f>
        <v>USD PKR rate for 10/03/2021</v>
      </c>
      <c r="I1042" s="9"/>
    </row>
    <row r="1043" spans="1:9" ht="14.25" customHeight="1" x14ac:dyDescent="0.3">
      <c r="A1043" s="6">
        <v>40760</v>
      </c>
      <c r="B1043" s="7">
        <v>86.452100000000002</v>
      </c>
      <c r="C1043" s="8">
        <f t="shared" si="9"/>
        <v>95.156099452015482</v>
      </c>
      <c r="D1043" s="9">
        <f t="shared" si="8"/>
        <v>64.590951353091725</v>
      </c>
      <c r="E1043" s="9"/>
      <c r="F1043" s="9">
        <f ca="1">IFERROR(__xludf.DUMMYFUNCTION("""COMPUTED_VALUE"""),44264)</f>
        <v>44264</v>
      </c>
      <c r="G1043" s="9" t="str">
        <f ca="1">IFERROR(__xludf.DUMMYFUNCTION("""COMPUTED_VALUE"""),"1 USD = 157.0521 PKR")</f>
        <v>1 USD = 157.0521 PKR</v>
      </c>
      <c r="H1043" s="9" t="str">
        <f ca="1">IFERROR(__xludf.DUMMYFUNCTION("""COMPUTED_VALUE"""),"USD PKR rate for 09/03/2021")</f>
        <v>USD PKR rate for 09/03/2021</v>
      </c>
      <c r="I1043" s="9"/>
    </row>
    <row r="1044" spans="1:9" ht="14.25" customHeight="1" x14ac:dyDescent="0.3">
      <c r="A1044" s="6">
        <v>40761</v>
      </c>
      <c r="B1044" s="7">
        <v>86.452100000000002</v>
      </c>
      <c r="C1044" s="8">
        <f t="shared" si="9"/>
        <v>95.173118098360348</v>
      </c>
      <c r="D1044" s="9">
        <f t="shared" si="8"/>
        <v>64.593689185888991</v>
      </c>
      <c r="E1044" s="9"/>
      <c r="F1044" s="9">
        <f ca="1">IFERROR(__xludf.DUMMYFUNCTION("""COMPUTED_VALUE"""),44263)</f>
        <v>44263</v>
      </c>
      <c r="G1044" s="9" t="str">
        <f ca="1">IFERROR(__xludf.DUMMYFUNCTION("""COMPUTED_VALUE"""),"1 USD = 157.2324 PKR")</f>
        <v>1 USD = 157.2324 PKR</v>
      </c>
      <c r="H1044" s="9" t="str">
        <f ca="1">IFERROR(__xludf.DUMMYFUNCTION("""COMPUTED_VALUE"""),"USD PKR rate for 08/03/2021")</f>
        <v>USD PKR rate for 08/03/2021</v>
      </c>
      <c r="I1044" s="9"/>
    </row>
    <row r="1045" spans="1:9" ht="14.25" customHeight="1" x14ac:dyDescent="0.3">
      <c r="A1045" s="6">
        <v>40762</v>
      </c>
      <c r="B1045" s="7">
        <v>86.301699999999997</v>
      </c>
      <c r="C1045" s="8">
        <f t="shared" si="9"/>
        <v>95.190139788486178</v>
      </c>
      <c r="D1045" s="9">
        <f t="shared" si="8"/>
        <v>64.596427018686256</v>
      </c>
      <c r="E1045" s="9"/>
      <c r="F1045" s="9">
        <f ca="1">IFERROR(__xludf.DUMMYFUNCTION("""COMPUTED_VALUE"""),44262)</f>
        <v>44262</v>
      </c>
      <c r="G1045" s="9" t="str">
        <f ca="1">IFERROR(__xludf.DUMMYFUNCTION("""COMPUTED_VALUE"""),"1 USD = 156.99 PKR")</f>
        <v>1 USD = 156.99 PKR</v>
      </c>
      <c r="H1045" s="9" t="str">
        <f ca="1">IFERROR(__xludf.DUMMYFUNCTION("""COMPUTED_VALUE"""),"USD PKR rate for 07/03/2021")</f>
        <v>USD PKR rate for 07/03/2021</v>
      </c>
      <c r="I1045" s="9"/>
    </row>
    <row r="1046" spans="1:9" ht="14.25" customHeight="1" x14ac:dyDescent="0.3">
      <c r="A1046" s="6">
        <v>40763</v>
      </c>
      <c r="B1046" s="7">
        <v>86.008100000000013</v>
      </c>
      <c r="C1046" s="8">
        <f t="shared" si="9"/>
        <v>95.207164522937319</v>
      </c>
      <c r="D1046" s="9">
        <f t="shared" si="8"/>
        <v>64.599164851483522</v>
      </c>
      <c r="E1046" s="9"/>
      <c r="F1046" s="9">
        <f ca="1">IFERROR(__xludf.DUMMYFUNCTION("""COMPUTED_VALUE"""),44261)</f>
        <v>44261</v>
      </c>
      <c r="G1046" s="9" t="str">
        <f ca="1">IFERROR(__xludf.DUMMYFUNCTION("""COMPUTED_VALUE"""),"1 USD = 157.0036 PKR")</f>
        <v>1 USD = 157.0036 PKR</v>
      </c>
      <c r="H1046" s="9" t="str">
        <f ca="1">IFERROR(__xludf.DUMMYFUNCTION("""COMPUTED_VALUE"""),"USD PKR rate for 06/03/2021")</f>
        <v>USD PKR rate for 06/03/2021</v>
      </c>
      <c r="I1046" s="9"/>
    </row>
    <row r="1047" spans="1:9" ht="14.25" customHeight="1" x14ac:dyDescent="0.3">
      <c r="A1047" s="6">
        <v>40764</v>
      </c>
      <c r="B1047" s="7">
        <v>86.919200000000004</v>
      </c>
      <c r="C1047" s="8">
        <f t="shared" si="9"/>
        <v>95.224192302258288</v>
      </c>
      <c r="D1047" s="9">
        <f t="shared" si="8"/>
        <v>64.601902684280788</v>
      </c>
      <c r="E1047" s="9"/>
      <c r="F1047" s="9">
        <f ca="1">IFERROR(__xludf.DUMMYFUNCTION("""COMPUTED_VALUE"""),44260)</f>
        <v>44260</v>
      </c>
      <c r="G1047" s="9" t="str">
        <f ca="1">IFERROR(__xludf.DUMMYFUNCTION("""COMPUTED_VALUE"""),"1 USD = 157.0036 PKR")</f>
        <v>1 USD = 157.0036 PKR</v>
      </c>
      <c r="H1047" s="9" t="str">
        <f ca="1">IFERROR(__xludf.DUMMYFUNCTION("""COMPUTED_VALUE"""),"USD PKR rate for 05/03/2021")</f>
        <v>USD PKR rate for 05/03/2021</v>
      </c>
      <c r="I1047" s="9"/>
    </row>
    <row r="1048" spans="1:9" ht="14.25" customHeight="1" x14ac:dyDescent="0.3">
      <c r="A1048" s="6">
        <v>40765</v>
      </c>
      <c r="B1048" s="7">
        <v>86.85720000000002</v>
      </c>
      <c r="C1048" s="8">
        <f t="shared" si="9"/>
        <v>95.24122312699356</v>
      </c>
      <c r="D1048" s="9">
        <f t="shared" si="8"/>
        <v>64.604640517078053</v>
      </c>
      <c r="E1048" s="9"/>
      <c r="F1048" s="9">
        <f ca="1">IFERROR(__xludf.DUMMYFUNCTION("""COMPUTED_VALUE"""),44259)</f>
        <v>44259</v>
      </c>
      <c r="G1048" s="9" t="str">
        <f ca="1">IFERROR(__xludf.DUMMYFUNCTION("""COMPUTED_VALUE"""),"1 USD = 157.1864 PKR")</f>
        <v>1 USD = 157.1864 PKR</v>
      </c>
      <c r="H1048" s="9" t="str">
        <f ca="1">IFERROR(__xludf.DUMMYFUNCTION("""COMPUTED_VALUE"""),"USD PKR rate for 04/03/2021")</f>
        <v>USD PKR rate for 04/03/2021</v>
      </c>
      <c r="I1048" s="9"/>
    </row>
    <row r="1049" spans="1:9" ht="14.25" customHeight="1" x14ac:dyDescent="0.3">
      <c r="A1049" s="6">
        <v>40766</v>
      </c>
      <c r="B1049" s="7">
        <v>86.759799999999998</v>
      </c>
      <c r="C1049" s="8">
        <f t="shared" si="9"/>
        <v>95.258256997687965</v>
      </c>
      <c r="D1049" s="9">
        <f t="shared" si="8"/>
        <v>64.607378349875319</v>
      </c>
      <c r="E1049" s="9"/>
      <c r="F1049" s="9">
        <f ca="1">IFERROR(__xludf.DUMMYFUNCTION("""COMPUTED_VALUE"""),44258)</f>
        <v>44258</v>
      </c>
      <c r="G1049" s="9" t="str">
        <f ca="1">IFERROR(__xludf.DUMMYFUNCTION("""COMPUTED_VALUE"""),"1 USD = 157.2023 PKR")</f>
        <v>1 USD = 157.2023 PKR</v>
      </c>
      <c r="H1049" s="9" t="str">
        <f ca="1">IFERROR(__xludf.DUMMYFUNCTION("""COMPUTED_VALUE"""),"USD PKR rate for 03/03/2021")</f>
        <v>USD PKR rate for 03/03/2021</v>
      </c>
      <c r="I1049" s="9"/>
    </row>
    <row r="1050" spans="1:9" ht="14.25" customHeight="1" x14ac:dyDescent="0.3">
      <c r="A1050" s="6">
        <v>40767</v>
      </c>
      <c r="B1050" s="7">
        <v>86.647999999999996</v>
      </c>
      <c r="C1050" s="8">
        <f t="shared" si="9"/>
        <v>95.275293914886205</v>
      </c>
      <c r="D1050" s="9">
        <f t="shared" si="8"/>
        <v>64.610116182672584</v>
      </c>
      <c r="E1050" s="9"/>
      <c r="F1050" s="9">
        <f ca="1">IFERROR(__xludf.DUMMYFUNCTION("""COMPUTED_VALUE"""),44257)</f>
        <v>44257</v>
      </c>
      <c r="G1050" s="9" t="str">
        <f ca="1">IFERROR(__xludf.DUMMYFUNCTION("""COMPUTED_VALUE"""),"1 USD = 157.7816 PKR")</f>
        <v>1 USD = 157.7816 PKR</v>
      </c>
      <c r="H1050" s="9" t="str">
        <f ca="1">IFERROR(__xludf.DUMMYFUNCTION("""COMPUTED_VALUE"""),"USD PKR rate for 02/03/2021")</f>
        <v>USD PKR rate for 02/03/2021</v>
      </c>
      <c r="I1050" s="9"/>
    </row>
    <row r="1051" spans="1:9" ht="14.25" customHeight="1" x14ac:dyDescent="0.3">
      <c r="A1051" s="6">
        <v>40768</v>
      </c>
      <c r="B1051" s="7">
        <v>86.647999999999996</v>
      </c>
      <c r="C1051" s="8">
        <f t="shared" si="9"/>
        <v>95.292333879133139</v>
      </c>
      <c r="D1051" s="9">
        <f t="shared" si="8"/>
        <v>64.61285401546985</v>
      </c>
      <c r="E1051" s="9"/>
      <c r="F1051" s="9">
        <f ca="1">IFERROR(__xludf.DUMMYFUNCTION("""COMPUTED_VALUE"""),44256)</f>
        <v>44256</v>
      </c>
      <c r="G1051" s="9" t="str">
        <f ca="1">IFERROR(__xludf.DUMMYFUNCTION("""COMPUTED_VALUE"""),"1 USD = 157.994 PKR")</f>
        <v>1 USD = 157.994 PKR</v>
      </c>
      <c r="H1051" s="9" t="str">
        <f ca="1">IFERROR(__xludf.DUMMYFUNCTION("""COMPUTED_VALUE"""),"USD PKR rate for 01/03/2021")</f>
        <v>USD PKR rate for 01/03/2021</v>
      </c>
      <c r="I1051" s="9"/>
    </row>
    <row r="1052" spans="1:9" ht="14.25" customHeight="1" x14ac:dyDescent="0.3">
      <c r="A1052" s="6">
        <v>40769</v>
      </c>
      <c r="B1052" s="7">
        <v>86.584199999999996</v>
      </c>
      <c r="C1052" s="8">
        <f t="shared" si="9"/>
        <v>95.309376890973738</v>
      </c>
      <c r="D1052" s="9">
        <f t="shared" si="8"/>
        <v>64.615591848267115</v>
      </c>
      <c r="E1052" s="9"/>
      <c r="F1052" s="9">
        <f ca="1">IFERROR(__xludf.DUMMYFUNCTION("""COMPUTED_VALUE"""),44255)</f>
        <v>44255</v>
      </c>
      <c r="G1052" s="9" t="str">
        <f ca="1">IFERROR(__xludf.DUMMYFUNCTION("""COMPUTED_VALUE"""),"1 USD = 157.8038 PKR")</f>
        <v>1 USD = 157.8038 PKR</v>
      </c>
      <c r="H1052" s="9" t="str">
        <f ca="1">IFERROR(__xludf.DUMMYFUNCTION("""COMPUTED_VALUE"""),"USD PKR rate for 28/02/2021")</f>
        <v>USD PKR rate for 28/02/2021</v>
      </c>
      <c r="I1052" s="9"/>
    </row>
    <row r="1053" spans="1:9" ht="14.25" customHeight="1" x14ac:dyDescent="0.3">
      <c r="A1053" s="6">
        <v>40770</v>
      </c>
      <c r="B1053" s="7">
        <v>85.456800000000001</v>
      </c>
      <c r="C1053" s="8">
        <f t="shared" si="9"/>
        <v>95.326422950953045</v>
      </c>
      <c r="D1053" s="9">
        <f t="shared" si="8"/>
        <v>64.618329681064381</v>
      </c>
      <c r="E1053" s="9"/>
      <c r="F1053" s="9">
        <f ca="1">IFERROR(__xludf.DUMMYFUNCTION("""COMPUTED_VALUE"""),44254)</f>
        <v>44254</v>
      </c>
      <c r="G1053" s="9" t="str">
        <f ca="1">IFERROR(__xludf.DUMMYFUNCTION("""COMPUTED_VALUE"""),"1 USD = 158.3954 PKR")</f>
        <v>1 USD = 158.3954 PKR</v>
      </c>
      <c r="H1053" s="9" t="str">
        <f ca="1">IFERROR(__xludf.DUMMYFUNCTION("""COMPUTED_VALUE"""),"USD PKR rate for 27/02/2021")</f>
        <v>USD PKR rate for 27/02/2021</v>
      </c>
      <c r="I1053" s="9"/>
    </row>
    <row r="1054" spans="1:9" ht="14.25" customHeight="1" x14ac:dyDescent="0.3">
      <c r="A1054" s="6">
        <v>40771</v>
      </c>
      <c r="B1054" s="7">
        <v>86.840800000000002</v>
      </c>
      <c r="C1054" s="8">
        <f t="shared" si="9"/>
        <v>95.343472059616232</v>
      </c>
      <c r="D1054" s="9">
        <f t="shared" si="8"/>
        <v>64.621067513861647</v>
      </c>
      <c r="E1054" s="9"/>
      <c r="F1054" s="9">
        <f ca="1">IFERROR(__xludf.DUMMYFUNCTION("""COMPUTED_VALUE"""),44253)</f>
        <v>44253</v>
      </c>
      <c r="G1054" s="9" t="str">
        <f ca="1">IFERROR(__xludf.DUMMYFUNCTION("""COMPUTED_VALUE"""),"1 USD = 158.3934 PKR")</f>
        <v>1 USD = 158.3934 PKR</v>
      </c>
      <c r="H1054" s="9" t="str">
        <f ca="1">IFERROR(__xludf.DUMMYFUNCTION("""COMPUTED_VALUE"""),"USD PKR rate for 26/02/2021")</f>
        <v>USD PKR rate for 26/02/2021</v>
      </c>
      <c r="I1054" s="9"/>
    </row>
    <row r="1055" spans="1:9" ht="14.25" customHeight="1" x14ac:dyDescent="0.3">
      <c r="A1055" s="6">
        <v>40772</v>
      </c>
      <c r="B1055" s="7">
        <v>86.661100000000005</v>
      </c>
      <c r="C1055" s="8">
        <f t="shared" si="9"/>
        <v>95.360524217508569</v>
      </c>
      <c r="D1055" s="9">
        <f t="shared" si="8"/>
        <v>64.623805346658912</v>
      </c>
      <c r="E1055" s="9"/>
      <c r="F1055" s="9">
        <f ca="1">IFERROR(__xludf.DUMMYFUNCTION("""COMPUTED_VALUE"""),44252)</f>
        <v>44252</v>
      </c>
      <c r="G1055" s="9" t="str">
        <f ca="1">IFERROR(__xludf.DUMMYFUNCTION("""COMPUTED_VALUE"""),"1 USD = 158.4338 PKR")</f>
        <v>1 USD = 158.4338 PKR</v>
      </c>
      <c r="H1055" s="9" t="str">
        <f ca="1">IFERROR(__xludf.DUMMYFUNCTION("""COMPUTED_VALUE"""),"USD PKR rate for 25/02/2021")</f>
        <v>USD PKR rate for 25/02/2021</v>
      </c>
      <c r="I1055" s="9"/>
    </row>
    <row r="1056" spans="1:9" ht="14.25" customHeight="1" x14ac:dyDescent="0.3">
      <c r="A1056" s="6">
        <v>40773</v>
      </c>
      <c r="B1056" s="7">
        <v>87.235699999999994</v>
      </c>
      <c r="C1056" s="8">
        <f t="shared" si="9"/>
        <v>95.377579425175384</v>
      </c>
      <c r="D1056" s="9">
        <f t="shared" si="8"/>
        <v>64.626543179456178</v>
      </c>
      <c r="E1056" s="9"/>
      <c r="F1056" s="9">
        <f ca="1">IFERROR(__xludf.DUMMYFUNCTION("""COMPUTED_VALUE"""),44251)</f>
        <v>44251</v>
      </c>
      <c r="G1056" s="9" t="str">
        <f ca="1">IFERROR(__xludf.DUMMYFUNCTION("""COMPUTED_VALUE"""),"1 USD = 158.9162 PKR")</f>
        <v>1 USD = 158.9162 PKR</v>
      </c>
      <c r="H1056" s="9" t="str">
        <f ca="1">IFERROR(__xludf.DUMMYFUNCTION("""COMPUTED_VALUE"""),"USD PKR rate for 24/02/2021")</f>
        <v>USD PKR rate for 24/02/2021</v>
      </c>
      <c r="I1056" s="9"/>
    </row>
    <row r="1057" spans="1:9" ht="14.25" customHeight="1" x14ac:dyDescent="0.3">
      <c r="A1057" s="6">
        <v>40774</v>
      </c>
      <c r="B1057" s="7">
        <v>86.802999999999997</v>
      </c>
      <c r="C1057" s="8">
        <f t="shared" si="9"/>
        <v>95.394637683162046</v>
      </c>
      <c r="D1057" s="9">
        <f t="shared" si="8"/>
        <v>64.629281012253443</v>
      </c>
      <c r="E1057" s="9"/>
      <c r="F1057" s="9">
        <f ca="1">IFERROR(__xludf.DUMMYFUNCTION("""COMPUTED_VALUE"""),44250)</f>
        <v>44250</v>
      </c>
      <c r="G1057" s="9" t="str">
        <f ca="1">IFERROR(__xludf.DUMMYFUNCTION("""COMPUTED_VALUE"""),"1 USD = 158.8585 PKR")</f>
        <v>1 USD = 158.8585 PKR</v>
      </c>
      <c r="H1057" s="9" t="str">
        <f ca="1">IFERROR(__xludf.DUMMYFUNCTION("""COMPUTED_VALUE"""),"USD PKR rate for 23/02/2021")</f>
        <v>USD PKR rate for 23/02/2021</v>
      </c>
      <c r="I1057" s="9"/>
    </row>
    <row r="1058" spans="1:9" ht="14.25" customHeight="1" x14ac:dyDescent="0.3">
      <c r="A1058" s="6">
        <v>40775</v>
      </c>
      <c r="B1058" s="7">
        <v>86.802999999999997</v>
      </c>
      <c r="C1058" s="8">
        <f t="shared" si="9"/>
        <v>95.411698992014294</v>
      </c>
      <c r="D1058" s="9">
        <f t="shared" si="8"/>
        <v>64.632018845050709</v>
      </c>
      <c r="E1058" s="9"/>
      <c r="F1058" s="9">
        <f ca="1">IFERROR(__xludf.DUMMYFUNCTION("""COMPUTED_VALUE"""),44249)</f>
        <v>44249</v>
      </c>
      <c r="G1058" s="9" t="str">
        <f ca="1">IFERROR(__xludf.DUMMYFUNCTION("""COMPUTED_VALUE"""),"1 USD = 159.0532 PKR")</f>
        <v>1 USD = 159.0532 PKR</v>
      </c>
      <c r="H1058" s="9" t="str">
        <f ca="1">IFERROR(__xludf.DUMMYFUNCTION("""COMPUTED_VALUE"""),"USD PKR rate for 22/02/2021")</f>
        <v>USD PKR rate for 22/02/2021</v>
      </c>
      <c r="I1058" s="9"/>
    </row>
    <row r="1059" spans="1:9" ht="14.25" customHeight="1" x14ac:dyDescent="0.3">
      <c r="A1059" s="6">
        <v>40776</v>
      </c>
      <c r="B1059" s="7">
        <v>86.734499999999997</v>
      </c>
      <c r="C1059" s="8">
        <f t="shared" si="9"/>
        <v>95.428763352277684</v>
      </c>
      <c r="D1059" s="9">
        <f t="shared" si="8"/>
        <v>64.634756677847975</v>
      </c>
      <c r="E1059" s="9"/>
      <c r="F1059" s="9">
        <f ca="1">IFERROR(__xludf.DUMMYFUNCTION("""COMPUTED_VALUE"""),44248)</f>
        <v>44248</v>
      </c>
      <c r="G1059" s="9" t="str">
        <f ca="1">IFERROR(__xludf.DUMMYFUNCTION("""COMPUTED_VALUE"""),"1 USD = 159.2553 PKR")</f>
        <v>1 USD = 159.2553 PKR</v>
      </c>
      <c r="H1059" s="9" t="str">
        <f ca="1">IFERROR(__xludf.DUMMYFUNCTION("""COMPUTED_VALUE"""),"USD PKR rate for 21/02/2021")</f>
        <v>USD PKR rate for 21/02/2021</v>
      </c>
      <c r="I1059" s="9"/>
    </row>
    <row r="1060" spans="1:9" ht="14.25" customHeight="1" x14ac:dyDescent="0.3">
      <c r="A1060" s="6">
        <v>40777</v>
      </c>
      <c r="B1060" s="7">
        <v>87.035399999999996</v>
      </c>
      <c r="C1060" s="8">
        <f t="shared" si="9"/>
        <v>95.445830764497941</v>
      </c>
      <c r="D1060" s="9">
        <f t="shared" si="8"/>
        <v>64.63749451064524</v>
      </c>
      <c r="E1060" s="9"/>
      <c r="F1060" s="9">
        <f ca="1">IFERROR(__xludf.DUMMYFUNCTION("""COMPUTED_VALUE"""),44247)</f>
        <v>44247</v>
      </c>
      <c r="G1060" s="9" t="str">
        <f ca="1">IFERROR(__xludf.DUMMYFUNCTION("""COMPUTED_VALUE"""),"1 USD = 159.3682 PKR")</f>
        <v>1 USD = 159.3682 PKR</v>
      </c>
      <c r="H1060" s="9" t="str">
        <f ca="1">IFERROR(__xludf.DUMMYFUNCTION("""COMPUTED_VALUE"""),"USD PKR rate for 20/02/2021")</f>
        <v>USD PKR rate for 20/02/2021</v>
      </c>
      <c r="I1060" s="9"/>
    </row>
    <row r="1061" spans="1:9" ht="14.25" customHeight="1" x14ac:dyDescent="0.3">
      <c r="A1061" s="6">
        <v>40778</v>
      </c>
      <c r="B1061" s="7">
        <v>86.5839</v>
      </c>
      <c r="C1061" s="8">
        <f t="shared" si="9"/>
        <v>95.462901229220932</v>
      </c>
      <c r="D1061" s="9">
        <f t="shared" si="8"/>
        <v>64.640232343442506</v>
      </c>
      <c r="E1061" s="9"/>
      <c r="F1061" s="9">
        <f ca="1">IFERROR(__xludf.DUMMYFUNCTION("""COMPUTED_VALUE"""),44246)</f>
        <v>44246</v>
      </c>
      <c r="G1061" s="9" t="str">
        <f ca="1">IFERROR(__xludf.DUMMYFUNCTION("""COMPUTED_VALUE"""),"1 USD = 159.0555 PKR")</f>
        <v>1 USD = 159.0555 PKR</v>
      </c>
      <c r="H1061" s="9" t="str">
        <f ca="1">IFERROR(__xludf.DUMMYFUNCTION("""COMPUTED_VALUE"""),"USD PKR rate for 19/02/2021")</f>
        <v>USD PKR rate for 19/02/2021</v>
      </c>
      <c r="I1061" s="9"/>
    </row>
    <row r="1062" spans="1:9" ht="14.25" customHeight="1" x14ac:dyDescent="0.3">
      <c r="A1062" s="6">
        <v>40779</v>
      </c>
      <c r="B1062" s="7">
        <v>86.6935</v>
      </c>
      <c r="C1062" s="8">
        <f t="shared" si="9"/>
        <v>95.479974746992568</v>
      </c>
      <c r="D1062" s="9">
        <f t="shared" si="8"/>
        <v>64.642970176239771</v>
      </c>
      <c r="E1062" s="9"/>
      <c r="F1062" s="9">
        <f ca="1">IFERROR(__xludf.DUMMYFUNCTION("""COMPUTED_VALUE"""),44245)</f>
        <v>44245</v>
      </c>
      <c r="G1062" s="9" t="str">
        <f ca="1">IFERROR(__xludf.DUMMYFUNCTION("""COMPUTED_VALUE"""),"1 USD = 158.9142 PKR")</f>
        <v>1 USD = 158.9142 PKR</v>
      </c>
      <c r="H1062" s="9" t="str">
        <f ca="1">IFERROR(__xludf.DUMMYFUNCTION("""COMPUTED_VALUE"""),"USD PKR rate for 18/02/2021")</f>
        <v>USD PKR rate for 18/02/2021</v>
      </c>
      <c r="I1062" s="9"/>
    </row>
    <row r="1063" spans="1:9" ht="14.25" customHeight="1" x14ac:dyDescent="0.3">
      <c r="A1063" s="6">
        <v>40780</v>
      </c>
      <c r="B1063" s="7">
        <v>86.9542</v>
      </c>
      <c r="C1063" s="8">
        <f t="shared" si="9"/>
        <v>95.497051318358913</v>
      </c>
      <c r="D1063" s="9">
        <f t="shared" si="8"/>
        <v>64.645708009037037</v>
      </c>
      <c r="E1063" s="9"/>
      <c r="F1063" s="9">
        <f ca="1">IFERROR(__xludf.DUMMYFUNCTION("""COMPUTED_VALUE"""),44244)</f>
        <v>44244</v>
      </c>
      <c r="G1063" s="9" t="str">
        <f ca="1">IFERROR(__xludf.DUMMYFUNCTION("""COMPUTED_VALUE"""),"1 USD = 159.7583 PKR")</f>
        <v>1 USD = 159.7583 PKR</v>
      </c>
      <c r="H1063" s="9" t="str">
        <f ca="1">IFERROR(__xludf.DUMMYFUNCTION("""COMPUTED_VALUE"""),"USD PKR rate for 17/02/2021")</f>
        <v>USD PKR rate for 17/02/2021</v>
      </c>
      <c r="I1063" s="9"/>
    </row>
    <row r="1064" spans="1:9" ht="14.25" customHeight="1" x14ac:dyDescent="0.3">
      <c r="A1064" s="6">
        <v>40781</v>
      </c>
      <c r="B1064" s="7">
        <v>86.21720000000002</v>
      </c>
      <c r="C1064" s="8">
        <f t="shared" si="9"/>
        <v>95.514130943866078</v>
      </c>
      <c r="D1064" s="9">
        <f t="shared" si="8"/>
        <v>64.648445841834302</v>
      </c>
      <c r="E1064" s="9"/>
      <c r="F1064" s="9">
        <f ca="1">IFERROR(__xludf.DUMMYFUNCTION("""COMPUTED_VALUE"""),44243)</f>
        <v>44243</v>
      </c>
      <c r="G1064" s="9" t="str">
        <f ca="1">IFERROR(__xludf.DUMMYFUNCTION("""COMPUTED_VALUE"""),"1 USD = 159.9024 PKR")</f>
        <v>1 USD = 159.9024 PKR</v>
      </c>
      <c r="H1064" s="9" t="str">
        <f ca="1">IFERROR(__xludf.DUMMYFUNCTION("""COMPUTED_VALUE"""),"USD PKR rate for 16/02/2021")</f>
        <v>USD PKR rate for 16/02/2021</v>
      </c>
      <c r="I1064" s="9"/>
    </row>
    <row r="1065" spans="1:9" ht="14.25" customHeight="1" x14ac:dyDescent="0.3">
      <c r="A1065" s="6">
        <v>40782</v>
      </c>
      <c r="B1065" s="7">
        <v>86.21720000000002</v>
      </c>
      <c r="C1065" s="8">
        <f t="shared" si="9"/>
        <v>95.531213624060342</v>
      </c>
      <c r="D1065" s="9">
        <f t="shared" si="8"/>
        <v>64.651183674631568</v>
      </c>
      <c r="E1065" s="9"/>
      <c r="F1065" s="9">
        <f ca="1">IFERROR(__xludf.DUMMYFUNCTION("""COMPUTED_VALUE"""),44242)</f>
        <v>44242</v>
      </c>
      <c r="G1065" s="9" t="str">
        <f ca="1">IFERROR(__xludf.DUMMYFUNCTION("""COMPUTED_VALUE"""),"1 USD = 159.367 PKR")</f>
        <v>1 USD = 159.367 PKR</v>
      </c>
      <c r="H1065" s="9" t="str">
        <f ca="1">IFERROR(__xludf.DUMMYFUNCTION("""COMPUTED_VALUE"""),"USD PKR rate for 15/02/2021")</f>
        <v>USD PKR rate for 15/02/2021</v>
      </c>
      <c r="I1065" s="9"/>
    </row>
    <row r="1066" spans="1:9" ht="14.25" customHeight="1" x14ac:dyDescent="0.3">
      <c r="A1066" s="6">
        <v>40783</v>
      </c>
      <c r="B1066" s="7">
        <v>86.338499999999996</v>
      </c>
      <c r="C1066" s="8">
        <f t="shared" si="9"/>
        <v>95.548299359487885</v>
      </c>
      <c r="D1066" s="9">
        <f t="shared" si="8"/>
        <v>64.653921507428834</v>
      </c>
      <c r="E1066" s="9"/>
      <c r="F1066" s="9">
        <f ca="1">IFERROR(__xludf.DUMMYFUNCTION("""COMPUTED_VALUE"""),44241)</f>
        <v>44241</v>
      </c>
      <c r="G1066" s="9" t="str">
        <f ca="1">IFERROR(__xludf.DUMMYFUNCTION("""COMPUTED_VALUE"""),"1 USD = 158.9101 PKR")</f>
        <v>1 USD = 158.9101 PKR</v>
      </c>
      <c r="H1066" s="9" t="str">
        <f ca="1">IFERROR(__xludf.DUMMYFUNCTION("""COMPUTED_VALUE"""),"USD PKR rate for 14/02/2021")</f>
        <v>USD PKR rate for 14/02/2021</v>
      </c>
      <c r="I1066" s="9"/>
    </row>
    <row r="1067" spans="1:9" ht="14.25" customHeight="1" x14ac:dyDescent="0.3">
      <c r="A1067" s="6">
        <v>40784</v>
      </c>
      <c r="B1067" s="7">
        <v>86.120800000000003</v>
      </c>
      <c r="C1067" s="8">
        <f t="shared" si="9"/>
        <v>95.565388150695341</v>
      </c>
      <c r="D1067" s="9">
        <f t="shared" si="8"/>
        <v>64.656659340226099</v>
      </c>
      <c r="E1067" s="9"/>
      <c r="F1067" s="9">
        <f ca="1">IFERROR(__xludf.DUMMYFUNCTION("""COMPUTED_VALUE"""),44240)</f>
        <v>44240</v>
      </c>
      <c r="G1067" s="9" t="str">
        <f ca="1">IFERROR(__xludf.DUMMYFUNCTION("""COMPUTED_VALUE"""),"1 USD = 158.85 PKR")</f>
        <v>1 USD = 158.85 PKR</v>
      </c>
      <c r="H1067" s="9" t="str">
        <f ca="1">IFERROR(__xludf.DUMMYFUNCTION("""COMPUTED_VALUE"""),"USD PKR rate for 13/02/2021")</f>
        <v>USD PKR rate for 13/02/2021</v>
      </c>
      <c r="I1067" s="9"/>
    </row>
    <row r="1068" spans="1:9" ht="14.25" customHeight="1" x14ac:dyDescent="0.3">
      <c r="A1068" s="6">
        <v>40785</v>
      </c>
      <c r="B1068" s="7">
        <v>87.659000000000006</v>
      </c>
      <c r="C1068" s="8">
        <f t="shared" si="9"/>
        <v>95.582479998229161</v>
      </c>
      <c r="D1068" s="9">
        <f t="shared" si="8"/>
        <v>64.659397173023365</v>
      </c>
      <c r="E1068" s="9"/>
      <c r="F1068" s="9">
        <f ca="1">IFERROR(__xludf.DUMMYFUNCTION("""COMPUTED_VALUE"""),44239)</f>
        <v>44239</v>
      </c>
      <c r="G1068" s="9" t="str">
        <f ca="1">IFERROR(__xludf.DUMMYFUNCTION("""COMPUTED_VALUE"""),"1 USD = 158.8466 PKR")</f>
        <v>1 USD = 158.8466 PKR</v>
      </c>
      <c r="H1068" s="9" t="str">
        <f ca="1">IFERROR(__xludf.DUMMYFUNCTION("""COMPUTED_VALUE"""),"USD PKR rate for 12/02/2021")</f>
        <v>USD PKR rate for 12/02/2021</v>
      </c>
      <c r="I1068" s="9"/>
    </row>
    <row r="1069" spans="1:9" ht="14.25" customHeight="1" x14ac:dyDescent="0.3">
      <c r="A1069" s="6">
        <v>40786</v>
      </c>
      <c r="B1069" s="7">
        <v>86.928399999999996</v>
      </c>
      <c r="C1069" s="8">
        <f t="shared" si="9"/>
        <v>95.59957490263595</v>
      </c>
      <c r="D1069" s="9">
        <f t="shared" si="8"/>
        <v>64.66213500582063</v>
      </c>
      <c r="E1069" s="9"/>
      <c r="F1069" s="9">
        <f ca="1">IFERROR(__xludf.DUMMYFUNCTION("""COMPUTED_VALUE"""),44238)</f>
        <v>44238</v>
      </c>
      <c r="G1069" s="9" t="str">
        <f ca="1">IFERROR(__xludf.DUMMYFUNCTION("""COMPUTED_VALUE"""),"1 USD = 159.4547 PKR")</f>
        <v>1 USD = 159.4547 PKR</v>
      </c>
      <c r="H1069" s="9" t="str">
        <f ca="1">IFERROR(__xludf.DUMMYFUNCTION("""COMPUTED_VALUE"""),"USD PKR rate for 11/02/2021")</f>
        <v>USD PKR rate for 11/02/2021</v>
      </c>
      <c r="I1069" s="9"/>
    </row>
    <row r="1070" spans="1:9" ht="14.25" customHeight="1" x14ac:dyDescent="0.3">
      <c r="A1070" s="6">
        <v>40787</v>
      </c>
      <c r="B1070" s="7">
        <v>87.627399999999994</v>
      </c>
      <c r="C1070" s="8">
        <f t="shared" si="9"/>
        <v>95.616672864462416</v>
      </c>
      <c r="D1070" s="9">
        <f t="shared" si="8"/>
        <v>64.664872838617896</v>
      </c>
      <c r="E1070" s="9"/>
      <c r="F1070" s="9">
        <f ca="1">IFERROR(__xludf.DUMMYFUNCTION("""COMPUTED_VALUE"""),44237)</f>
        <v>44237</v>
      </c>
      <c r="G1070" s="9" t="str">
        <f ca="1">IFERROR(__xludf.DUMMYFUNCTION("""COMPUTED_VALUE"""),"1 USD = 159.873 PKR")</f>
        <v>1 USD = 159.873 PKR</v>
      </c>
      <c r="H1070" s="9" t="str">
        <f ca="1">IFERROR(__xludf.DUMMYFUNCTION("""COMPUTED_VALUE"""),"USD PKR rate for 10/02/2021")</f>
        <v>USD PKR rate for 10/02/2021</v>
      </c>
      <c r="I1070" s="9"/>
    </row>
    <row r="1071" spans="1:9" ht="14.25" customHeight="1" x14ac:dyDescent="0.3">
      <c r="A1071" s="6">
        <v>40788</v>
      </c>
      <c r="B1071" s="7">
        <v>86.905500000000004</v>
      </c>
      <c r="C1071" s="8">
        <f t="shared" si="9"/>
        <v>95.633773884255405</v>
      </c>
      <c r="D1071" s="9">
        <f t="shared" si="8"/>
        <v>64.667610671415162</v>
      </c>
      <c r="E1071" s="9"/>
      <c r="F1071" s="9">
        <f ca="1">IFERROR(__xludf.DUMMYFUNCTION("""COMPUTED_VALUE"""),44236)</f>
        <v>44236</v>
      </c>
      <c r="G1071" s="9" t="str">
        <f ca="1">IFERROR(__xludf.DUMMYFUNCTION("""COMPUTED_VALUE"""),"1 USD = 160.0174 PKR")</f>
        <v>1 USD = 160.0174 PKR</v>
      </c>
      <c r="H1071" s="9" t="str">
        <f ca="1">IFERROR(__xludf.DUMMYFUNCTION("""COMPUTED_VALUE"""),"USD PKR rate for 09/02/2021")</f>
        <v>USD PKR rate for 09/02/2021</v>
      </c>
      <c r="I1071" s="9"/>
    </row>
    <row r="1072" spans="1:9" ht="14.25" customHeight="1" x14ac:dyDescent="0.3">
      <c r="A1072" s="6">
        <v>40789</v>
      </c>
      <c r="B1072" s="7">
        <v>86.905500000000004</v>
      </c>
      <c r="C1072" s="8">
        <f t="shared" si="9"/>
        <v>95.650877962561822</v>
      </c>
      <c r="D1072" s="9">
        <f t="shared" si="8"/>
        <v>64.670348504212427</v>
      </c>
      <c r="E1072" s="9"/>
      <c r="F1072" s="9">
        <f ca="1">IFERROR(__xludf.DUMMYFUNCTION("""COMPUTED_VALUE"""),44235)</f>
        <v>44235</v>
      </c>
      <c r="G1072" s="9" t="str">
        <f ca="1">IFERROR(__xludf.DUMMYFUNCTION("""COMPUTED_VALUE"""),"1 USD = 159.9151 PKR")</f>
        <v>1 USD = 159.9151 PKR</v>
      </c>
      <c r="H1072" s="9" t="str">
        <f ca="1">IFERROR(__xludf.DUMMYFUNCTION("""COMPUTED_VALUE"""),"USD PKR rate for 08/02/2021")</f>
        <v>USD PKR rate for 08/02/2021</v>
      </c>
      <c r="I1072" s="9"/>
    </row>
    <row r="1073" spans="1:9" ht="14.25" customHeight="1" x14ac:dyDescent="0.3">
      <c r="A1073" s="6">
        <v>40790</v>
      </c>
      <c r="B1073" s="7">
        <v>87.152699999999996</v>
      </c>
      <c r="C1073" s="8">
        <f t="shared" si="9"/>
        <v>95.667985099928686</v>
      </c>
      <c r="D1073" s="9">
        <f t="shared" si="8"/>
        <v>64.673086337009693</v>
      </c>
      <c r="E1073" s="9"/>
      <c r="F1073" s="9">
        <f ca="1">IFERROR(__xludf.DUMMYFUNCTION("""COMPUTED_VALUE"""),44234)</f>
        <v>44234</v>
      </c>
      <c r="G1073" s="9" t="str">
        <f ca="1">IFERROR(__xludf.DUMMYFUNCTION("""COMPUTED_VALUE"""),"1 USD = 160.1796 PKR")</f>
        <v>1 USD = 160.1796 PKR</v>
      </c>
      <c r="H1073" s="9" t="str">
        <f ca="1">IFERROR(__xludf.DUMMYFUNCTION("""COMPUTED_VALUE"""),"USD PKR rate for 07/02/2021")</f>
        <v>USD PKR rate for 07/02/2021</v>
      </c>
      <c r="I1073" s="9"/>
    </row>
    <row r="1074" spans="1:9" ht="14.25" customHeight="1" x14ac:dyDescent="0.3">
      <c r="A1074" s="6">
        <v>40791</v>
      </c>
      <c r="B1074" s="7">
        <v>87.657499999999999</v>
      </c>
      <c r="C1074" s="8">
        <f t="shared" si="9"/>
        <v>95.685095296903114</v>
      </c>
      <c r="D1074" s="9">
        <f t="shared" si="8"/>
        <v>64.675824169806958</v>
      </c>
      <c r="E1074" s="9"/>
      <c r="F1074" s="9">
        <f ca="1">IFERROR(__xludf.DUMMYFUNCTION("""COMPUTED_VALUE"""),44233)</f>
        <v>44233</v>
      </c>
      <c r="G1074" s="9" t="str">
        <f ca="1">IFERROR(__xludf.DUMMYFUNCTION("""COMPUTED_VALUE"""),"1 USD = 160.0557 PKR")</f>
        <v>1 USD = 160.0557 PKR</v>
      </c>
      <c r="H1074" s="9" t="str">
        <f ca="1">IFERROR(__xludf.DUMMYFUNCTION("""COMPUTED_VALUE"""),"USD PKR rate for 06/02/2021")</f>
        <v>USD PKR rate for 06/02/2021</v>
      </c>
      <c r="I1074" s="9"/>
    </row>
    <row r="1075" spans="1:9" ht="14.25" customHeight="1" x14ac:dyDescent="0.3">
      <c r="A1075" s="6">
        <v>40792</v>
      </c>
      <c r="B1075" s="7">
        <v>87.081800000000001</v>
      </c>
      <c r="C1075" s="8">
        <f t="shared" si="9"/>
        <v>95.702208554032211</v>
      </c>
      <c r="D1075" s="9">
        <f t="shared" si="8"/>
        <v>64.678562002604224</v>
      </c>
      <c r="E1075" s="9"/>
      <c r="F1075" s="9">
        <f ca="1">IFERROR(__xludf.DUMMYFUNCTION("""COMPUTED_VALUE"""),44232)</f>
        <v>44232</v>
      </c>
      <c r="G1075" s="9" t="str">
        <f ca="1">IFERROR(__xludf.DUMMYFUNCTION("""COMPUTED_VALUE"""),"1 USD = 160.0557 PKR")</f>
        <v>1 USD = 160.0557 PKR</v>
      </c>
      <c r="H1075" s="9" t="str">
        <f ca="1">IFERROR(__xludf.DUMMYFUNCTION("""COMPUTED_VALUE"""),"USD PKR rate for 05/02/2021")</f>
        <v>USD PKR rate for 05/02/2021</v>
      </c>
      <c r="I1075" s="9"/>
    </row>
    <row r="1076" spans="1:9" ht="14.25" customHeight="1" x14ac:dyDescent="0.3">
      <c r="A1076" s="6">
        <v>40793</v>
      </c>
      <c r="B1076" s="7">
        <v>87.587599999999995</v>
      </c>
      <c r="C1076" s="8">
        <f t="shared" si="9"/>
        <v>95.719324871863449</v>
      </c>
      <c r="D1076" s="9">
        <f t="shared" si="8"/>
        <v>64.681299835401489</v>
      </c>
      <c r="E1076" s="9"/>
      <c r="F1076" s="9">
        <f ca="1">IFERROR(__xludf.DUMMYFUNCTION("""COMPUTED_VALUE"""),44231)</f>
        <v>44231</v>
      </c>
      <c r="G1076" s="9" t="str">
        <f ca="1">IFERROR(__xludf.DUMMYFUNCTION("""COMPUTED_VALUE"""),"1 USD = 160.3253 PKR")</f>
        <v>1 USD = 160.3253 PKR</v>
      </c>
      <c r="H1076" s="9" t="str">
        <f ca="1">IFERROR(__xludf.DUMMYFUNCTION("""COMPUTED_VALUE"""),"USD PKR rate for 04/02/2021")</f>
        <v>USD PKR rate for 04/02/2021</v>
      </c>
      <c r="I1076" s="9"/>
    </row>
    <row r="1077" spans="1:9" ht="14.25" customHeight="1" x14ac:dyDescent="0.3">
      <c r="A1077" s="6">
        <v>40794</v>
      </c>
      <c r="B1077" s="7">
        <v>87.759100000000004</v>
      </c>
      <c r="C1077" s="8">
        <f t="shared" si="9"/>
        <v>95.736444250944189</v>
      </c>
      <c r="D1077" s="9">
        <f t="shared" si="8"/>
        <v>64.684037668198755</v>
      </c>
      <c r="E1077" s="9"/>
      <c r="F1077" s="9">
        <f ca="1">IFERROR(__xludf.DUMMYFUNCTION("""COMPUTED_VALUE"""),44230)</f>
        <v>44230</v>
      </c>
      <c r="G1077" s="9" t="str">
        <f ca="1">IFERROR(__xludf.DUMMYFUNCTION("""COMPUTED_VALUE"""),"1 USD = 160.4576 PKR")</f>
        <v>1 USD = 160.4576 PKR</v>
      </c>
      <c r="H1077" s="9" t="str">
        <f ca="1">IFERROR(__xludf.DUMMYFUNCTION("""COMPUTED_VALUE"""),"USD PKR rate for 03/02/2021")</f>
        <v>USD PKR rate for 03/02/2021</v>
      </c>
      <c r="I1077" s="9"/>
    </row>
    <row r="1078" spans="1:9" ht="14.25" customHeight="1" x14ac:dyDescent="0.3">
      <c r="A1078" s="6">
        <v>40795</v>
      </c>
      <c r="B1078" s="7">
        <v>87.155199999999994</v>
      </c>
      <c r="C1078" s="8">
        <f t="shared" si="9"/>
        <v>95.753566691821902</v>
      </c>
      <c r="D1078" s="9">
        <f t="shared" si="8"/>
        <v>64.686775500996021</v>
      </c>
      <c r="E1078" s="9"/>
      <c r="F1078" s="9">
        <f ca="1">IFERROR(__xludf.DUMMYFUNCTION("""COMPUTED_VALUE"""),44229)</f>
        <v>44229</v>
      </c>
      <c r="G1078" s="9" t="str">
        <f ca="1">IFERROR(__xludf.DUMMYFUNCTION("""COMPUTED_VALUE"""),"1 USD = 160.4063 PKR")</f>
        <v>1 USD = 160.4063 PKR</v>
      </c>
      <c r="H1078" s="9" t="str">
        <f ca="1">IFERROR(__xludf.DUMMYFUNCTION("""COMPUTED_VALUE"""),"USD PKR rate for 02/02/2021")</f>
        <v>USD PKR rate for 02/02/2021</v>
      </c>
      <c r="I1078" s="9"/>
    </row>
    <row r="1079" spans="1:9" ht="14.25" customHeight="1" x14ac:dyDescent="0.3">
      <c r="A1079" s="6">
        <v>40796</v>
      </c>
      <c r="B1079" s="7">
        <v>87.155199999999994</v>
      </c>
      <c r="C1079" s="8">
        <f t="shared" si="9"/>
        <v>95.770692195044205</v>
      </c>
      <c r="D1079" s="9">
        <f t="shared" si="8"/>
        <v>64.689513333793286</v>
      </c>
      <c r="E1079" s="9"/>
      <c r="F1079" s="9">
        <f ca="1">IFERROR(__xludf.DUMMYFUNCTION("""COMPUTED_VALUE"""),44228)</f>
        <v>44228</v>
      </c>
      <c r="G1079" s="9" t="str">
        <f ca="1">IFERROR(__xludf.DUMMYFUNCTION("""COMPUTED_VALUE"""),"1 USD = 160.3119 PKR")</f>
        <v>1 USD = 160.3119 PKR</v>
      </c>
      <c r="H1079" s="9" t="str">
        <f ca="1">IFERROR(__xludf.DUMMYFUNCTION("""COMPUTED_VALUE"""),"USD PKR rate for 01/02/2021")</f>
        <v>USD PKR rate for 01/02/2021</v>
      </c>
      <c r="I1079" s="9"/>
    </row>
    <row r="1080" spans="1:9" ht="14.25" customHeight="1" x14ac:dyDescent="0.3">
      <c r="A1080" s="6">
        <v>40797</v>
      </c>
      <c r="B1080" s="7">
        <v>87.320099999999996</v>
      </c>
      <c r="C1080" s="8">
        <f t="shared" si="9"/>
        <v>95.787820761158798</v>
      </c>
      <c r="D1080" s="9">
        <f t="shared" si="8"/>
        <v>64.692251166590552</v>
      </c>
      <c r="E1080" s="9"/>
      <c r="F1080" s="9">
        <f ca="1">IFERROR(__xludf.DUMMYFUNCTION("""COMPUTED_VALUE"""),44227)</f>
        <v>44227</v>
      </c>
      <c r="G1080" s="9" t="str">
        <f ca="1">IFERROR(__xludf.DUMMYFUNCTION("""COMPUTED_VALUE"""),"1 USD = 160.3602 PKR")</f>
        <v>1 USD = 160.3602 PKR</v>
      </c>
      <c r="H1080" s="9" t="str">
        <f ca="1">IFERROR(__xludf.DUMMYFUNCTION("""COMPUTED_VALUE"""),"USD PKR rate for 31/01/2021")</f>
        <v>USD PKR rate for 31/01/2021</v>
      </c>
      <c r="I1080" s="9"/>
    </row>
    <row r="1081" spans="1:9" ht="14.25" customHeight="1" x14ac:dyDescent="0.3">
      <c r="A1081" s="6">
        <v>40798</v>
      </c>
      <c r="B1081" s="7">
        <v>87.059799999999996</v>
      </c>
      <c r="C1081" s="8">
        <f t="shared" si="9"/>
        <v>95.804952390713467</v>
      </c>
      <c r="D1081" s="9">
        <f t="shared" si="8"/>
        <v>64.694988999387817</v>
      </c>
      <c r="E1081" s="9"/>
      <c r="F1081" s="9">
        <f ca="1">IFERROR(__xludf.DUMMYFUNCTION("""COMPUTED_VALUE"""),44226)</f>
        <v>44226</v>
      </c>
      <c r="G1081" s="9" t="str">
        <f ca="1">IFERROR(__xludf.DUMMYFUNCTION("""COMPUTED_VALUE"""),"1 USD = 160.3644 PKR")</f>
        <v>1 USD = 160.3644 PKR</v>
      </c>
      <c r="H1081" s="9" t="str">
        <f ca="1">IFERROR(__xludf.DUMMYFUNCTION("""COMPUTED_VALUE"""),"USD PKR rate for 30/01/2021")</f>
        <v>USD PKR rate for 30/01/2021</v>
      </c>
      <c r="I1081" s="9"/>
    </row>
    <row r="1082" spans="1:9" ht="14.25" customHeight="1" x14ac:dyDescent="0.3">
      <c r="A1082" s="6">
        <v>40799</v>
      </c>
      <c r="B1082" s="7">
        <v>86.972300000000004</v>
      </c>
      <c r="C1082" s="8">
        <f t="shared" si="9"/>
        <v>95.822087084256111</v>
      </c>
      <c r="D1082" s="9">
        <f t="shared" si="8"/>
        <v>64.697726832185083</v>
      </c>
      <c r="E1082" s="9"/>
      <c r="F1082" s="9">
        <f ca="1">IFERROR(__xludf.DUMMYFUNCTION("""COMPUTED_VALUE"""),44225)</f>
        <v>44225</v>
      </c>
      <c r="G1082" s="9" t="str">
        <f ca="1">IFERROR(__xludf.DUMMYFUNCTION("""COMPUTED_VALUE"""),"1 USD = 160.2534 PKR")</f>
        <v>1 USD = 160.2534 PKR</v>
      </c>
      <c r="H1082" s="9" t="str">
        <f ca="1">IFERROR(__xludf.DUMMYFUNCTION("""COMPUTED_VALUE"""),"USD PKR rate for 29/01/2021")</f>
        <v>USD PKR rate for 29/01/2021</v>
      </c>
      <c r="I1082" s="9"/>
    </row>
    <row r="1083" spans="1:9" ht="14.25" customHeight="1" x14ac:dyDescent="0.3">
      <c r="A1083" s="6">
        <v>40800</v>
      </c>
      <c r="B1083" s="7">
        <v>87.648899999999998</v>
      </c>
      <c r="C1083" s="8">
        <f t="shared" si="9"/>
        <v>95.839224842334716</v>
      </c>
      <c r="D1083" s="9">
        <f t="shared" si="8"/>
        <v>64.700464664982348</v>
      </c>
      <c r="E1083" s="9"/>
      <c r="F1083" s="9">
        <f ca="1">IFERROR(__xludf.DUMMYFUNCTION("""COMPUTED_VALUE"""),44224)</f>
        <v>44224</v>
      </c>
      <c r="G1083" s="9" t="str">
        <f ca="1">IFERROR(__xludf.DUMMYFUNCTION("""COMPUTED_VALUE"""),"1 USD = 160.6899 PKR")</f>
        <v>1 USD = 160.6899 PKR</v>
      </c>
      <c r="H1083" s="9" t="str">
        <f ca="1">IFERROR(__xludf.DUMMYFUNCTION("""COMPUTED_VALUE"""),"USD PKR rate for 28/01/2021")</f>
        <v>USD PKR rate for 28/01/2021</v>
      </c>
      <c r="I1083" s="9"/>
    </row>
    <row r="1084" spans="1:9" ht="14.25" customHeight="1" x14ac:dyDescent="0.3">
      <c r="A1084" s="6">
        <v>40801</v>
      </c>
      <c r="B1084" s="7">
        <v>87.851500000000001</v>
      </c>
      <c r="C1084" s="8">
        <f t="shared" si="9"/>
        <v>95.856365665497322</v>
      </c>
      <c r="D1084" s="9">
        <f t="shared" si="8"/>
        <v>64.703202497779614</v>
      </c>
      <c r="E1084" s="9"/>
      <c r="F1084" s="9">
        <f ca="1">IFERROR(__xludf.DUMMYFUNCTION("""COMPUTED_VALUE"""),44223)</f>
        <v>44223</v>
      </c>
      <c r="G1084" s="9" t="str">
        <f ca="1">IFERROR(__xludf.DUMMYFUNCTION("""COMPUTED_VALUE"""),"1 USD = 160.7288 PKR")</f>
        <v>1 USD = 160.7288 PKR</v>
      </c>
      <c r="H1084" s="9" t="str">
        <f ca="1">IFERROR(__xludf.DUMMYFUNCTION("""COMPUTED_VALUE"""),"USD PKR rate for 27/01/2021")</f>
        <v>USD PKR rate for 27/01/2021</v>
      </c>
      <c r="I1084" s="9"/>
    </row>
    <row r="1085" spans="1:9" ht="14.25" customHeight="1" x14ac:dyDescent="0.3">
      <c r="A1085" s="6">
        <v>40802</v>
      </c>
      <c r="B1085" s="7">
        <v>87.298699999999997</v>
      </c>
      <c r="C1085" s="8">
        <f t="shared" si="9"/>
        <v>95.873509554292241</v>
      </c>
      <c r="D1085" s="9">
        <f t="shared" si="8"/>
        <v>64.70594033057688</v>
      </c>
      <c r="E1085" s="9"/>
      <c r="F1085" s="9">
        <f ca="1">IFERROR(__xludf.DUMMYFUNCTION("""COMPUTED_VALUE"""),44222)</f>
        <v>44222</v>
      </c>
      <c r="G1085" s="9" t="str">
        <f ca="1">IFERROR(__xludf.DUMMYFUNCTION("""COMPUTED_VALUE"""),"1 USD = 160.7219 PKR")</f>
        <v>1 USD = 160.7219 PKR</v>
      </c>
      <c r="H1085" s="9" t="str">
        <f ca="1">IFERROR(__xludf.DUMMYFUNCTION("""COMPUTED_VALUE"""),"USD PKR rate for 26/01/2021")</f>
        <v>USD PKR rate for 26/01/2021</v>
      </c>
      <c r="I1085" s="9"/>
    </row>
    <row r="1086" spans="1:9" ht="14.25" customHeight="1" x14ac:dyDescent="0.3">
      <c r="A1086" s="6">
        <v>40803</v>
      </c>
      <c r="B1086" s="7">
        <v>87.298699999999997</v>
      </c>
      <c r="C1086" s="8">
        <f t="shared" si="9"/>
        <v>95.890656509267714</v>
      </c>
      <c r="D1086" s="9">
        <f t="shared" si="8"/>
        <v>64.708678163374145</v>
      </c>
      <c r="E1086" s="9"/>
      <c r="F1086" s="9">
        <f ca="1">IFERROR(__xludf.DUMMYFUNCTION("""COMPUTED_VALUE"""),44221)</f>
        <v>44221</v>
      </c>
      <c r="G1086" s="9" t="str">
        <f ca="1">IFERROR(__xludf.DUMMYFUNCTION("""COMPUTED_VALUE"""),"1 USD = 160.8024 PKR")</f>
        <v>1 USD = 160.8024 PKR</v>
      </c>
      <c r="H1086" s="9" t="str">
        <f ca="1">IFERROR(__xludf.DUMMYFUNCTION("""COMPUTED_VALUE"""),"USD PKR rate for 25/01/2021")</f>
        <v>USD PKR rate for 25/01/2021</v>
      </c>
      <c r="I1086" s="9"/>
    </row>
    <row r="1087" spans="1:9" ht="14.25" customHeight="1" x14ac:dyDescent="0.3">
      <c r="A1087" s="6">
        <v>40804</v>
      </c>
      <c r="B1087" s="7">
        <v>87.692899999999995</v>
      </c>
      <c r="C1087" s="8">
        <f t="shared" si="9"/>
        <v>95.90780653097211</v>
      </c>
      <c r="D1087" s="9">
        <f t="shared" si="8"/>
        <v>64.711415996171411</v>
      </c>
      <c r="E1087" s="9"/>
      <c r="F1087" s="9">
        <f ca="1">IFERROR(__xludf.DUMMYFUNCTION("""COMPUTED_VALUE"""),44220)</f>
        <v>44220</v>
      </c>
      <c r="G1087" s="9" t="str">
        <f ca="1">IFERROR(__xludf.DUMMYFUNCTION("""COMPUTED_VALUE"""),"1 USD = 160.7548 PKR")</f>
        <v>1 USD = 160.7548 PKR</v>
      </c>
      <c r="H1087" s="9" t="str">
        <f ca="1">IFERROR(__xludf.DUMMYFUNCTION("""COMPUTED_VALUE"""),"USD PKR rate for 24/01/2021")</f>
        <v>USD PKR rate for 24/01/2021</v>
      </c>
      <c r="I1087" s="9"/>
    </row>
    <row r="1088" spans="1:9" ht="14.25" customHeight="1" x14ac:dyDescent="0.3">
      <c r="A1088" s="6">
        <v>40805</v>
      </c>
      <c r="B1088" s="7">
        <v>88.293400000000005</v>
      </c>
      <c r="C1088" s="8">
        <f t="shared" si="9"/>
        <v>95.924959619953924</v>
      </c>
      <c r="D1088" s="9">
        <f t="shared" si="8"/>
        <v>64.714153828968676</v>
      </c>
      <c r="E1088" s="9"/>
      <c r="F1088" s="9">
        <f ca="1">IFERROR(__xludf.DUMMYFUNCTION("""COMPUTED_VALUE"""),44219)</f>
        <v>44219</v>
      </c>
      <c r="G1088" s="9" t="str">
        <f ca="1">IFERROR(__xludf.DUMMYFUNCTION("""COMPUTED_VALUE"""),"1 USD = 160.6452 PKR")</f>
        <v>1 USD = 160.6452 PKR</v>
      </c>
      <c r="H1088" s="9" t="str">
        <f ca="1">IFERROR(__xludf.DUMMYFUNCTION("""COMPUTED_VALUE"""),"USD PKR rate for 23/01/2021")</f>
        <v>USD PKR rate for 23/01/2021</v>
      </c>
      <c r="I1088" s="9"/>
    </row>
    <row r="1089" spans="1:9" ht="14.25" customHeight="1" x14ac:dyDescent="0.3">
      <c r="A1089" s="6">
        <v>40806</v>
      </c>
      <c r="B1089" s="7">
        <v>87.981800000000007</v>
      </c>
      <c r="C1089" s="8">
        <f t="shared" si="9"/>
        <v>95.942115776761725</v>
      </c>
      <c r="D1089" s="9">
        <f t="shared" si="8"/>
        <v>64.716891661765942</v>
      </c>
      <c r="E1089" s="9"/>
      <c r="F1089" s="9">
        <f ca="1">IFERROR(__xludf.DUMMYFUNCTION("""COMPUTED_VALUE"""),44218)</f>
        <v>44218</v>
      </c>
      <c r="G1089" s="9" t="str">
        <f ca="1">IFERROR(__xludf.DUMMYFUNCTION("""COMPUTED_VALUE"""),"1 USD = 160.6452 PKR")</f>
        <v>1 USD = 160.6452 PKR</v>
      </c>
      <c r="H1089" s="9" t="str">
        <f ca="1">IFERROR(__xludf.DUMMYFUNCTION("""COMPUTED_VALUE"""),"USD PKR rate for 22/01/2021")</f>
        <v>USD PKR rate for 22/01/2021</v>
      </c>
      <c r="I1089" s="9"/>
    </row>
    <row r="1090" spans="1:9" ht="14.25" customHeight="1" x14ac:dyDescent="0.3">
      <c r="A1090" s="6">
        <v>40807</v>
      </c>
      <c r="B1090" s="7">
        <v>87.662300000000002</v>
      </c>
      <c r="C1090" s="8">
        <f t="shared" si="9"/>
        <v>95.959275001944178</v>
      </c>
      <c r="D1090" s="9">
        <f t="shared" si="8"/>
        <v>64.719629494563208</v>
      </c>
      <c r="E1090" s="9"/>
      <c r="F1090" s="9">
        <f ca="1">IFERROR(__xludf.DUMMYFUNCTION("""COMPUTED_VALUE"""),44217)</f>
        <v>44217</v>
      </c>
      <c r="G1090" s="9" t="str">
        <f ca="1">IFERROR(__xludf.DUMMYFUNCTION("""COMPUTED_VALUE"""),"1 USD = 160.6494 PKR")</f>
        <v>1 USD = 160.6494 PKR</v>
      </c>
      <c r="H1090" s="9" t="str">
        <f ca="1">IFERROR(__xludf.DUMMYFUNCTION("""COMPUTED_VALUE"""),"USD PKR rate for 21/01/2021")</f>
        <v>USD PKR rate for 21/01/2021</v>
      </c>
      <c r="I1090" s="9"/>
    </row>
    <row r="1091" spans="1:9" ht="14.25" customHeight="1" x14ac:dyDescent="0.3">
      <c r="A1091" s="6">
        <v>40808</v>
      </c>
      <c r="B1091" s="7">
        <v>87.331500000000005</v>
      </c>
      <c r="C1091" s="8">
        <f t="shared" si="9"/>
        <v>95.976437296050108</v>
      </c>
      <c r="D1091" s="9">
        <f t="shared" si="8"/>
        <v>64.722367327360473</v>
      </c>
      <c r="E1091" s="9"/>
      <c r="F1091" s="9">
        <f ca="1">IFERROR(__xludf.DUMMYFUNCTION("""COMPUTED_VALUE"""),44216)</f>
        <v>44216</v>
      </c>
      <c r="G1091" s="9" t="str">
        <f ca="1">IFERROR(__xludf.DUMMYFUNCTION("""COMPUTED_VALUE"""),"1 USD = 160.554 PKR")</f>
        <v>1 USD = 160.554 PKR</v>
      </c>
      <c r="H1091" s="9" t="str">
        <f ca="1">IFERROR(__xludf.DUMMYFUNCTION("""COMPUTED_VALUE"""),"USD PKR rate for 20/01/2021")</f>
        <v>USD PKR rate for 20/01/2021</v>
      </c>
      <c r="I1091" s="9"/>
    </row>
    <row r="1092" spans="1:9" ht="14.25" customHeight="1" x14ac:dyDescent="0.3">
      <c r="A1092" s="6">
        <v>40809</v>
      </c>
      <c r="B1092" s="7">
        <v>87.347300000000004</v>
      </c>
      <c r="C1092" s="8">
        <f t="shared" si="9"/>
        <v>95.993602659628337</v>
      </c>
      <c r="D1092" s="9">
        <f t="shared" si="8"/>
        <v>64.725105160157739</v>
      </c>
      <c r="E1092" s="9"/>
      <c r="F1092" s="9">
        <f ca="1">IFERROR(__xludf.DUMMYFUNCTION("""COMPUTED_VALUE"""),44215)</f>
        <v>44215</v>
      </c>
      <c r="G1092" s="9" t="str">
        <f ca="1">IFERROR(__xludf.DUMMYFUNCTION("""COMPUTED_VALUE"""),"1 USD = 160.6778 PKR")</f>
        <v>1 USD = 160.6778 PKR</v>
      </c>
      <c r="H1092" s="9" t="str">
        <f ca="1">IFERROR(__xludf.DUMMYFUNCTION("""COMPUTED_VALUE"""),"USD PKR rate for 19/01/2021")</f>
        <v>USD PKR rate for 19/01/2021</v>
      </c>
      <c r="I1092" s="9"/>
    </row>
    <row r="1093" spans="1:9" ht="14.25" customHeight="1" x14ac:dyDescent="0.3">
      <c r="A1093" s="6">
        <v>40810</v>
      </c>
      <c r="B1093" s="7">
        <v>87.347300000000004</v>
      </c>
      <c r="C1093" s="8">
        <f t="shared" si="9"/>
        <v>96.010771093227788</v>
      </c>
      <c r="D1093" s="9">
        <f t="shared" si="8"/>
        <v>64.727842992955004</v>
      </c>
      <c r="E1093" s="9"/>
      <c r="F1093" s="9">
        <f ca="1">IFERROR(__xludf.DUMMYFUNCTION("""COMPUTED_VALUE"""),44214)</f>
        <v>44214</v>
      </c>
      <c r="G1093" s="9" t="str">
        <f ca="1">IFERROR(__xludf.DUMMYFUNCTION("""COMPUTED_VALUE"""),"1 USD = 160.6549 PKR")</f>
        <v>1 USD = 160.6549 PKR</v>
      </c>
      <c r="H1093" s="9" t="str">
        <f ca="1">IFERROR(__xludf.DUMMYFUNCTION("""COMPUTED_VALUE"""),"USD PKR rate for 18/01/2021")</f>
        <v>USD PKR rate for 18/01/2021</v>
      </c>
      <c r="I1093" s="9"/>
    </row>
    <row r="1094" spans="1:9" ht="14.25" customHeight="1" x14ac:dyDescent="0.3">
      <c r="A1094" s="6">
        <v>40811</v>
      </c>
      <c r="B1094" s="7">
        <v>87.009</v>
      </c>
      <c r="C1094" s="8">
        <f t="shared" si="9"/>
        <v>96.027942597397725</v>
      </c>
      <c r="D1094" s="9">
        <f t="shared" si="8"/>
        <v>64.73058082575227</v>
      </c>
      <c r="E1094" s="9"/>
      <c r="F1094" s="9">
        <f ca="1">IFERROR(__xludf.DUMMYFUNCTION("""COMPUTED_VALUE"""),44213)</f>
        <v>44213</v>
      </c>
      <c r="G1094" s="9" t="str">
        <f ca="1">IFERROR(__xludf.DUMMYFUNCTION("""COMPUTED_VALUE"""),"1 USD = 161.0312 PKR")</f>
        <v>1 USD = 161.0312 PKR</v>
      </c>
      <c r="H1094" s="9" t="str">
        <f ca="1">IFERROR(__xludf.DUMMYFUNCTION("""COMPUTED_VALUE"""),"USD PKR rate for 17/01/2021")</f>
        <v>USD PKR rate for 17/01/2021</v>
      </c>
      <c r="I1094" s="9"/>
    </row>
    <row r="1095" spans="1:9" ht="14.25" customHeight="1" x14ac:dyDescent="0.3">
      <c r="A1095" s="6">
        <v>40812</v>
      </c>
      <c r="B1095" s="7">
        <v>88.066599999999994</v>
      </c>
      <c r="C1095" s="8">
        <f t="shared" si="9"/>
        <v>96.045117172687156</v>
      </c>
      <c r="D1095" s="9">
        <f t="shared" si="8"/>
        <v>64.733318658549535</v>
      </c>
      <c r="E1095" s="9"/>
      <c r="F1095" s="9">
        <f ca="1">IFERROR(__xludf.DUMMYFUNCTION("""COMPUTED_VALUE"""),44212)</f>
        <v>44212</v>
      </c>
      <c r="G1095" s="9" t="str">
        <f ca="1">IFERROR(__xludf.DUMMYFUNCTION("""COMPUTED_VALUE"""),"1 USD = 161.1303 PKR")</f>
        <v>1 USD = 161.1303 PKR</v>
      </c>
      <c r="H1095" s="9" t="str">
        <f ca="1">IFERROR(__xludf.DUMMYFUNCTION("""COMPUTED_VALUE"""),"USD PKR rate for 16/01/2021")</f>
        <v>USD PKR rate for 16/01/2021</v>
      </c>
      <c r="I1095" s="9"/>
    </row>
    <row r="1096" spans="1:9" ht="14.25" customHeight="1" x14ac:dyDescent="0.3">
      <c r="A1096" s="6">
        <v>40813</v>
      </c>
      <c r="B1096" s="7">
        <v>87.616699999999994</v>
      </c>
      <c r="C1096" s="8">
        <f t="shared" si="9"/>
        <v>96.062294819645444</v>
      </c>
      <c r="D1096" s="9">
        <f t="shared" si="8"/>
        <v>64.736056491346801</v>
      </c>
      <c r="E1096" s="9"/>
      <c r="F1096" s="9">
        <f ca="1">IFERROR(__xludf.DUMMYFUNCTION("""COMPUTED_VALUE"""),44211)</f>
        <v>44211</v>
      </c>
      <c r="G1096" s="9" t="str">
        <f ca="1">IFERROR(__xludf.DUMMYFUNCTION("""COMPUTED_VALUE"""),"1 USD = 160.2504 PKR")</f>
        <v>1 USD = 160.2504 PKR</v>
      </c>
      <c r="H1096" s="9" t="str">
        <f ca="1">IFERROR(__xludf.DUMMYFUNCTION("""COMPUTED_VALUE"""),"USD PKR rate for 15/01/2021")</f>
        <v>USD PKR rate for 15/01/2021</v>
      </c>
      <c r="I1096" s="9"/>
    </row>
    <row r="1097" spans="1:9" ht="14.25" customHeight="1" x14ac:dyDescent="0.3">
      <c r="A1097" s="6">
        <v>40814</v>
      </c>
      <c r="B1097" s="7">
        <v>87.959500000000006</v>
      </c>
      <c r="C1097" s="8">
        <f t="shared" si="9"/>
        <v>96.079475538821882</v>
      </c>
      <c r="D1097" s="9">
        <f t="shared" si="8"/>
        <v>64.738794324144067</v>
      </c>
      <c r="E1097" s="9"/>
      <c r="F1097" s="9">
        <f ca="1">IFERROR(__xludf.DUMMYFUNCTION("""COMPUTED_VALUE"""),44210)</f>
        <v>44210</v>
      </c>
      <c r="G1097" s="9" t="str">
        <f ca="1">IFERROR(__xludf.DUMMYFUNCTION("""COMPUTED_VALUE"""),"1 USD = 160.3735 PKR")</f>
        <v>1 USD = 160.3735 PKR</v>
      </c>
      <c r="H1097" s="9" t="str">
        <f ca="1">IFERROR(__xludf.DUMMYFUNCTION("""COMPUTED_VALUE"""),"USD PKR rate for 14/01/2021")</f>
        <v>USD PKR rate for 14/01/2021</v>
      </c>
      <c r="I1097" s="9"/>
    </row>
    <row r="1098" spans="1:9" ht="14.25" customHeight="1" x14ac:dyDescent="0.3">
      <c r="A1098" s="6">
        <v>40815</v>
      </c>
      <c r="B1098" s="7">
        <v>87.707600000000014</v>
      </c>
      <c r="C1098" s="8">
        <f t="shared" si="9"/>
        <v>96.096659330765974</v>
      </c>
      <c r="D1098" s="9">
        <f t="shared" si="8"/>
        <v>64.741532156941332</v>
      </c>
      <c r="E1098" s="9"/>
      <c r="F1098" s="9">
        <f ca="1">IFERROR(__xludf.DUMMYFUNCTION("""COMPUTED_VALUE"""),44209)</f>
        <v>44209</v>
      </c>
      <c r="G1098" s="9" t="str">
        <f ca="1">IFERROR(__xludf.DUMMYFUNCTION("""COMPUTED_VALUE"""),"1 USD = 160.5219 PKR")</f>
        <v>1 USD = 160.5219 PKR</v>
      </c>
      <c r="H1098" s="9" t="str">
        <f ca="1">IFERROR(__xludf.DUMMYFUNCTION("""COMPUTED_VALUE"""),"USD PKR rate for 13/01/2021")</f>
        <v>USD PKR rate for 13/01/2021</v>
      </c>
      <c r="I1098" s="9"/>
    </row>
    <row r="1099" spans="1:9" ht="14.25" customHeight="1" x14ac:dyDescent="0.3">
      <c r="A1099" s="6">
        <v>40816</v>
      </c>
      <c r="B1099" s="7">
        <v>87.880499999999998</v>
      </c>
      <c r="C1099" s="8">
        <f t="shared" si="9"/>
        <v>96.113846196027282</v>
      </c>
      <c r="D1099" s="9">
        <f t="shared" si="8"/>
        <v>64.744269989738598</v>
      </c>
      <c r="E1099" s="9"/>
      <c r="F1099" s="9">
        <f ca="1">IFERROR(__xludf.DUMMYFUNCTION("""COMPUTED_VALUE"""),44208)</f>
        <v>44208</v>
      </c>
      <c r="G1099" s="9" t="str">
        <f ca="1">IFERROR(__xludf.DUMMYFUNCTION("""COMPUTED_VALUE"""),"1 USD = 160.4208 PKR")</f>
        <v>1 USD = 160.4208 PKR</v>
      </c>
      <c r="H1099" s="9" t="str">
        <f ca="1">IFERROR(__xludf.DUMMYFUNCTION("""COMPUTED_VALUE"""),"USD PKR rate for 12/01/2021")</f>
        <v>USD PKR rate for 12/01/2021</v>
      </c>
      <c r="I1099" s="9"/>
    </row>
    <row r="1100" spans="1:9" ht="14.25" customHeight="1" x14ac:dyDescent="0.3">
      <c r="A1100" s="6">
        <v>40817</v>
      </c>
      <c r="B1100" s="7">
        <v>87.880499999999998</v>
      </c>
      <c r="C1100" s="8">
        <f t="shared" si="9"/>
        <v>96.131036135155455</v>
      </c>
      <c r="D1100" s="9">
        <f t="shared" si="8"/>
        <v>64.747007822535863</v>
      </c>
      <c r="E1100" s="9"/>
      <c r="F1100" s="9">
        <f ca="1">IFERROR(__xludf.DUMMYFUNCTION("""COMPUTED_VALUE"""),44207)</f>
        <v>44207</v>
      </c>
      <c r="G1100" s="9" t="str">
        <f ca="1">IFERROR(__xludf.DUMMYFUNCTION("""COMPUTED_VALUE"""),"1 USD = 160.4397 PKR")</f>
        <v>1 USD = 160.4397 PKR</v>
      </c>
      <c r="H1100" s="9" t="str">
        <f ca="1">IFERROR(__xludf.DUMMYFUNCTION("""COMPUTED_VALUE"""),"USD PKR rate for 11/01/2021")</f>
        <v>USD PKR rate for 11/01/2021</v>
      </c>
      <c r="I1100" s="9"/>
    </row>
    <row r="1101" spans="1:9" ht="14.25" customHeight="1" x14ac:dyDescent="0.3">
      <c r="A1101" s="6">
        <v>40818</v>
      </c>
      <c r="B1101" s="7">
        <v>87.897400000000005</v>
      </c>
      <c r="C1101" s="8">
        <f t="shared" si="9"/>
        <v>96.148229148700253</v>
      </c>
      <c r="D1101" s="9">
        <f t="shared" si="8"/>
        <v>64.749745655333129</v>
      </c>
      <c r="E1101" s="9"/>
      <c r="F1101" s="9">
        <f ca="1">IFERROR(__xludf.DUMMYFUNCTION("""COMPUTED_VALUE"""),44206)</f>
        <v>44206</v>
      </c>
      <c r="G1101" s="9" t="str">
        <f ca="1">IFERROR(__xludf.DUMMYFUNCTION("""COMPUTED_VALUE"""),"1 USD = 160.627 PKR")</f>
        <v>1 USD = 160.627 PKR</v>
      </c>
      <c r="H1101" s="9" t="str">
        <f ca="1">IFERROR(__xludf.DUMMYFUNCTION("""COMPUTED_VALUE"""),"USD PKR rate for 10/01/2021")</f>
        <v>USD PKR rate for 10/01/2021</v>
      </c>
      <c r="I1101" s="9"/>
    </row>
    <row r="1102" spans="1:9" ht="14.25" customHeight="1" x14ac:dyDescent="0.3">
      <c r="A1102" s="6">
        <v>40819</v>
      </c>
      <c r="B1102" s="7">
        <v>87.177000000000007</v>
      </c>
      <c r="C1102" s="8">
        <f t="shared" si="9"/>
        <v>96.165425237211466</v>
      </c>
      <c r="D1102" s="9">
        <f t="shared" si="8"/>
        <v>64.752483488130395</v>
      </c>
      <c r="E1102" s="9"/>
      <c r="F1102" s="9">
        <f ca="1">IFERROR(__xludf.DUMMYFUNCTION("""COMPUTED_VALUE"""),44205)</f>
        <v>44205</v>
      </c>
      <c r="G1102" s="9" t="str">
        <f ca="1">IFERROR(__xludf.DUMMYFUNCTION("""COMPUTED_VALUE"""),"1 USD = 160.5933 PKR")</f>
        <v>1 USD = 160.5933 PKR</v>
      </c>
      <c r="H1102" s="9" t="str">
        <f ca="1">IFERROR(__xludf.DUMMYFUNCTION("""COMPUTED_VALUE"""),"USD PKR rate for 09/01/2021")</f>
        <v>USD PKR rate for 09/01/2021</v>
      </c>
      <c r="I1102" s="9"/>
    </row>
    <row r="1103" spans="1:9" ht="14.25" customHeight="1" x14ac:dyDescent="0.3">
      <c r="A1103" s="6">
        <v>40820</v>
      </c>
      <c r="B1103" s="7">
        <v>87.216800000000006</v>
      </c>
      <c r="C1103" s="8">
        <f t="shared" si="9"/>
        <v>96.18262440123921</v>
      </c>
      <c r="D1103" s="9">
        <f t="shared" si="8"/>
        <v>64.75522132092766</v>
      </c>
      <c r="E1103" s="9"/>
      <c r="F1103" s="9">
        <f ca="1">IFERROR(__xludf.DUMMYFUNCTION("""COMPUTED_VALUE"""),44204)</f>
        <v>44204</v>
      </c>
      <c r="G1103" s="9" t="str">
        <f ca="1">IFERROR(__xludf.DUMMYFUNCTION("""COMPUTED_VALUE"""),"1 USD = 160.2497 PKR")</f>
        <v>1 USD = 160.2497 PKR</v>
      </c>
      <c r="H1103" s="9" t="str">
        <f ca="1">IFERROR(__xludf.DUMMYFUNCTION("""COMPUTED_VALUE"""),"USD PKR rate for 08/01/2021")</f>
        <v>USD PKR rate for 08/01/2021</v>
      </c>
      <c r="I1103" s="9"/>
    </row>
    <row r="1104" spans="1:9" ht="14.25" customHeight="1" x14ac:dyDescent="0.3">
      <c r="A1104" s="6">
        <v>40821</v>
      </c>
      <c r="B1104" s="7">
        <v>87.132300000000001</v>
      </c>
      <c r="C1104" s="8">
        <f t="shared" si="9"/>
        <v>96.199826641333459</v>
      </c>
      <c r="D1104" s="9">
        <f t="shared" si="8"/>
        <v>64.757959153724926</v>
      </c>
      <c r="E1104" s="9"/>
      <c r="F1104" s="9">
        <f ca="1">IFERROR(__xludf.DUMMYFUNCTION("""COMPUTED_VALUE"""),44203)</f>
        <v>44203</v>
      </c>
      <c r="G1104" s="9" t="str">
        <f ca="1">IFERROR(__xludf.DUMMYFUNCTION("""COMPUTED_VALUE"""),"1 USD = 160.442 PKR")</f>
        <v>1 USD = 160.442 PKR</v>
      </c>
      <c r="H1104" s="9" t="str">
        <f ca="1">IFERROR(__xludf.DUMMYFUNCTION("""COMPUTED_VALUE"""),"USD PKR rate for 07/01/2021")</f>
        <v>USD PKR rate for 07/01/2021</v>
      </c>
      <c r="I1104" s="9"/>
    </row>
    <row r="1105" spans="1:9" ht="14.25" customHeight="1" x14ac:dyDescent="0.3">
      <c r="A1105" s="6">
        <v>40822</v>
      </c>
      <c r="B1105" s="7">
        <v>87.631100000000004</v>
      </c>
      <c r="C1105" s="8">
        <f t="shared" si="9"/>
        <v>96.217031958044359</v>
      </c>
      <c r="D1105" s="9">
        <f t="shared" si="8"/>
        <v>64.760696986522191</v>
      </c>
      <c r="E1105" s="9"/>
      <c r="F1105" s="9">
        <f ca="1">IFERROR(__xludf.DUMMYFUNCTION("""COMPUTED_VALUE"""),44202)</f>
        <v>44202</v>
      </c>
      <c r="G1105" s="9" t="str">
        <f ca="1">IFERROR(__xludf.DUMMYFUNCTION("""COMPUTED_VALUE"""),"1 USD = 160.4387 PKR")</f>
        <v>1 USD = 160.4387 PKR</v>
      </c>
      <c r="H1105" s="9" t="str">
        <f ca="1">IFERROR(__xludf.DUMMYFUNCTION("""COMPUTED_VALUE"""),"USD PKR rate for 06/01/2021")</f>
        <v>USD PKR rate for 06/01/2021</v>
      </c>
      <c r="I1105" s="9"/>
    </row>
    <row r="1106" spans="1:9" ht="14.25" customHeight="1" x14ac:dyDescent="0.3">
      <c r="A1106" s="6">
        <v>40823</v>
      </c>
      <c r="B1106" s="7">
        <v>87.942300000000003</v>
      </c>
      <c r="C1106" s="8">
        <f t="shared" si="9"/>
        <v>96.234240351922168</v>
      </c>
      <c r="D1106" s="9">
        <f t="shared" si="8"/>
        <v>64.763434819319457</v>
      </c>
      <c r="E1106" s="9"/>
      <c r="F1106" s="9">
        <f ca="1">IFERROR(__xludf.DUMMYFUNCTION("""COMPUTED_VALUE"""),44201)</f>
        <v>44201</v>
      </c>
      <c r="G1106" s="9" t="str">
        <f ca="1">IFERROR(__xludf.DUMMYFUNCTION("""COMPUTED_VALUE"""),"1 USD = 160.6332 PKR")</f>
        <v>1 USD = 160.6332 PKR</v>
      </c>
      <c r="H1106" s="9" t="str">
        <f ca="1">IFERROR(__xludf.DUMMYFUNCTION("""COMPUTED_VALUE"""),"USD PKR rate for 05/01/2021")</f>
        <v>USD PKR rate for 05/01/2021</v>
      </c>
      <c r="I1106" s="9"/>
    </row>
    <row r="1107" spans="1:9" ht="14.25" customHeight="1" x14ac:dyDescent="0.3">
      <c r="A1107" s="6">
        <v>40824</v>
      </c>
      <c r="B1107" s="7">
        <v>87.942300000000003</v>
      </c>
      <c r="C1107" s="8">
        <f t="shared" si="9"/>
        <v>96.251451823517229</v>
      </c>
      <c r="D1107" s="9">
        <f t="shared" si="8"/>
        <v>64.766172652116722</v>
      </c>
      <c r="E1107" s="9"/>
      <c r="F1107" s="9">
        <f ca="1">IFERROR(__xludf.DUMMYFUNCTION("""COMPUTED_VALUE"""),44200)</f>
        <v>44200</v>
      </c>
      <c r="G1107" s="9" t="str">
        <f ca="1">IFERROR(__xludf.DUMMYFUNCTION("""COMPUTED_VALUE"""),"1 USD = 160.0744 PKR")</f>
        <v>1 USD = 160.0744 PKR</v>
      </c>
      <c r="H1107" s="9" t="str">
        <f ca="1">IFERROR(__xludf.DUMMYFUNCTION("""COMPUTED_VALUE"""),"USD PKR rate for 04/01/2021")</f>
        <v>USD PKR rate for 04/01/2021</v>
      </c>
      <c r="I1107" s="9"/>
    </row>
    <row r="1108" spans="1:9" ht="14.25" customHeight="1" x14ac:dyDescent="0.3">
      <c r="A1108" s="6">
        <v>40825</v>
      </c>
      <c r="B1108" s="7">
        <v>88.061099999999996</v>
      </c>
      <c r="C1108" s="8">
        <f t="shared" si="9"/>
        <v>96.268666373379986</v>
      </c>
      <c r="D1108" s="9">
        <f t="shared" si="8"/>
        <v>64.768910484913988</v>
      </c>
      <c r="E1108" s="9"/>
      <c r="F1108" s="9">
        <f ca="1">IFERROR(__xludf.DUMMYFUNCTION("""COMPUTED_VALUE"""),44199)</f>
        <v>44199</v>
      </c>
      <c r="G1108" s="9" t="str">
        <f ca="1">IFERROR(__xludf.DUMMYFUNCTION("""COMPUTED_VALUE"""),"1 USD = 160.9763 PKR")</f>
        <v>1 USD = 160.9763 PKR</v>
      </c>
      <c r="H1108" s="9" t="str">
        <f ca="1">IFERROR(__xludf.DUMMYFUNCTION("""COMPUTED_VALUE"""),"USD PKR rate for 03/01/2021")</f>
        <v>USD PKR rate for 03/01/2021</v>
      </c>
      <c r="I1108" s="9"/>
    </row>
    <row r="1109" spans="1:9" ht="14.25" customHeight="1" x14ac:dyDescent="0.3">
      <c r="A1109" s="6">
        <v>40826</v>
      </c>
      <c r="B1109" s="7">
        <v>87.337100000000007</v>
      </c>
      <c r="C1109" s="8">
        <f t="shared" si="9"/>
        <v>96.285884002061039</v>
      </c>
      <c r="D1109" s="9">
        <f t="shared" si="8"/>
        <v>64.771648317711254</v>
      </c>
      <c r="E1109" s="9"/>
      <c r="F1109" s="9">
        <f ca="1">IFERROR(__xludf.DUMMYFUNCTION("""COMPUTED_VALUE"""),44198)</f>
        <v>44198</v>
      </c>
      <c r="G1109" s="9" t="str">
        <f ca="1">IFERROR(__xludf.DUMMYFUNCTION("""COMPUTED_VALUE"""),"1 USD = 160.993 PKR")</f>
        <v>1 USD = 160.993 PKR</v>
      </c>
      <c r="H1109" s="9" t="str">
        <f ca="1">IFERROR(__xludf.DUMMYFUNCTION("""COMPUTED_VALUE"""),"USD PKR rate for 02/01/2021")</f>
        <v>USD PKR rate for 02/01/2021</v>
      </c>
      <c r="I1109" s="9"/>
    </row>
    <row r="1110" spans="1:9" ht="14.25" customHeight="1" x14ac:dyDescent="0.3">
      <c r="A1110" s="6">
        <v>40827</v>
      </c>
      <c r="B1110" s="7">
        <v>87.234899999999996</v>
      </c>
      <c r="C1110" s="8">
        <f t="shared" si="9"/>
        <v>96.303104710110972</v>
      </c>
      <c r="D1110" s="9">
        <f t="shared" si="8"/>
        <v>64.774386150508519</v>
      </c>
      <c r="E1110" s="9"/>
      <c r="F1110" s="9">
        <f ca="1">IFERROR(__xludf.DUMMYFUNCTION("""COMPUTED_VALUE"""),44197)</f>
        <v>44197</v>
      </c>
      <c r="G1110" s="9" t="str">
        <f ca="1">IFERROR(__xludf.DUMMYFUNCTION("""COMPUTED_VALUE"""),"1 USD = 160.9969 PKR")</f>
        <v>1 USD = 160.9969 PKR</v>
      </c>
      <c r="H1110" s="9" t="str">
        <f ca="1">IFERROR(__xludf.DUMMYFUNCTION("""COMPUTED_VALUE"""),"USD PKR rate for 01/01/2021")</f>
        <v>USD PKR rate for 01/01/2021</v>
      </c>
      <c r="I1110" s="9"/>
    </row>
    <row r="1111" spans="1:9" ht="14.25" customHeight="1" x14ac:dyDescent="0.3">
      <c r="A1111" s="6">
        <v>40828</v>
      </c>
      <c r="B1111" s="7">
        <v>87.402799999999999</v>
      </c>
      <c r="C1111" s="8">
        <f t="shared" si="9"/>
        <v>96.320328498080457</v>
      </c>
      <c r="D1111" s="9">
        <f t="shared" si="8"/>
        <v>64.777123983305785</v>
      </c>
      <c r="E1111" s="9"/>
      <c r="F1111" s="9">
        <f ca="1">IFERROR(__xludf.DUMMYFUNCTION("""COMPUTED_VALUE"""),44196)</f>
        <v>44196</v>
      </c>
      <c r="G1111" s="9" t="str">
        <f ca="1">IFERROR(__xludf.DUMMYFUNCTION("""COMPUTED_VALUE"""),"1 USD = 160.1668 PKR")</f>
        <v>1 USD = 160.1668 PKR</v>
      </c>
      <c r="H1111" s="9" t="str">
        <f ca="1">IFERROR(__xludf.DUMMYFUNCTION("""COMPUTED_VALUE"""),"USD PKR rate for 31/12/2020")</f>
        <v>USD PKR rate for 31/12/2020</v>
      </c>
      <c r="I1111" s="9"/>
    </row>
    <row r="1112" spans="1:9" ht="14.25" customHeight="1" x14ac:dyDescent="0.3">
      <c r="A1112" s="6">
        <v>40829</v>
      </c>
      <c r="B1112" s="7">
        <v>87.539699999999996</v>
      </c>
      <c r="C1112" s="8">
        <f t="shared" si="9"/>
        <v>96.337555366520519</v>
      </c>
      <c r="D1112" s="9">
        <f t="shared" si="8"/>
        <v>64.77986181610305</v>
      </c>
      <c r="E1112" s="9"/>
      <c r="F1112" s="9">
        <f ca="1">IFERROR(__xludf.DUMMYFUNCTION("""COMPUTED_VALUE"""),44195)</f>
        <v>44195</v>
      </c>
      <c r="G1112" s="9" t="str">
        <f ca="1">IFERROR(__xludf.DUMMYFUNCTION("""COMPUTED_VALUE"""),"1 USD = 160.4715 PKR")</f>
        <v>1 USD = 160.4715 PKR</v>
      </c>
      <c r="H1112" s="9" t="str">
        <f ca="1">IFERROR(__xludf.DUMMYFUNCTION("""COMPUTED_VALUE"""),"USD PKR rate for 30/12/2020")</f>
        <v>USD PKR rate for 30/12/2020</v>
      </c>
      <c r="I1112" s="9"/>
    </row>
    <row r="1113" spans="1:9" ht="14.25" customHeight="1" x14ac:dyDescent="0.3">
      <c r="A1113" s="6">
        <v>40830</v>
      </c>
      <c r="B1113" s="7">
        <v>86.791799999999995</v>
      </c>
      <c r="C1113" s="8">
        <f t="shared" si="9"/>
        <v>96.354785315982014</v>
      </c>
      <c r="D1113" s="9">
        <f t="shared" si="8"/>
        <v>64.782599648900316</v>
      </c>
      <c r="E1113" s="9"/>
      <c r="F1113" s="9">
        <f ca="1">IFERROR(__xludf.DUMMYFUNCTION("""COMPUTED_VALUE"""),44194)</f>
        <v>44194</v>
      </c>
      <c r="G1113" s="9" t="str">
        <f ca="1">IFERROR(__xludf.DUMMYFUNCTION("""COMPUTED_VALUE"""),"1 USD = 160.6131 PKR")</f>
        <v>1 USD = 160.6131 PKR</v>
      </c>
      <c r="H1113" s="9" t="str">
        <f ca="1">IFERROR(__xludf.DUMMYFUNCTION("""COMPUTED_VALUE"""),"USD PKR rate for 29/12/2020")</f>
        <v>USD PKR rate for 29/12/2020</v>
      </c>
      <c r="I1113" s="9"/>
    </row>
    <row r="1114" spans="1:9" ht="14.25" customHeight="1" x14ac:dyDescent="0.3">
      <c r="A1114" s="6">
        <v>40831</v>
      </c>
      <c r="B1114" s="7">
        <v>86.791799999999995</v>
      </c>
      <c r="C1114" s="8">
        <f t="shared" si="9"/>
        <v>96.372018347015967</v>
      </c>
      <c r="D1114" s="9">
        <f t="shared" si="8"/>
        <v>64.785337481697582</v>
      </c>
      <c r="E1114" s="9"/>
      <c r="F1114" s="9">
        <f ca="1">IFERROR(__xludf.DUMMYFUNCTION("""COMPUTED_VALUE"""),44193)</f>
        <v>44193</v>
      </c>
      <c r="G1114" s="9" t="str">
        <f ca="1">IFERROR(__xludf.DUMMYFUNCTION("""COMPUTED_VALUE"""),"1 USD = 160.4554 PKR")</f>
        <v>1 USD = 160.4554 PKR</v>
      </c>
      <c r="H1114" s="9" t="str">
        <f ca="1">IFERROR(__xludf.DUMMYFUNCTION("""COMPUTED_VALUE"""),"USD PKR rate for 28/12/2020")</f>
        <v>USD PKR rate for 28/12/2020</v>
      </c>
      <c r="I1114" s="9"/>
    </row>
    <row r="1115" spans="1:9" ht="14.25" customHeight="1" x14ac:dyDescent="0.3">
      <c r="A1115" s="6">
        <v>40832</v>
      </c>
      <c r="B1115" s="7">
        <v>86.769900000000007</v>
      </c>
      <c r="C1115" s="8">
        <f t="shared" si="9"/>
        <v>96.389254460173561</v>
      </c>
      <c r="D1115" s="9">
        <f t="shared" si="8"/>
        <v>64.788075314494847</v>
      </c>
      <c r="E1115" s="9"/>
      <c r="F1115" s="9">
        <f ca="1">IFERROR(__xludf.DUMMYFUNCTION("""COMPUTED_VALUE"""),44192)</f>
        <v>44192</v>
      </c>
      <c r="G1115" s="9" t="str">
        <f ca="1">IFERROR(__xludf.DUMMYFUNCTION("""COMPUTED_VALUE"""),"1 USD = 160.3145 PKR")</f>
        <v>1 USD = 160.3145 PKR</v>
      </c>
      <c r="H1115" s="9" t="str">
        <f ca="1">IFERROR(__xludf.DUMMYFUNCTION("""COMPUTED_VALUE"""),"USD PKR rate for 27/12/2020")</f>
        <v>USD PKR rate for 27/12/2020</v>
      </c>
      <c r="I1115" s="9"/>
    </row>
    <row r="1116" spans="1:9" ht="14.25" customHeight="1" x14ac:dyDescent="0.3">
      <c r="A1116" s="6">
        <v>40833</v>
      </c>
      <c r="B1116" s="7">
        <v>86.669499999999999</v>
      </c>
      <c r="C1116" s="8">
        <f t="shared" si="9"/>
        <v>96.406493656005964</v>
      </c>
      <c r="D1116" s="9">
        <f t="shared" si="8"/>
        <v>64.790813147292113</v>
      </c>
      <c r="E1116" s="9"/>
      <c r="F1116" s="9">
        <f ca="1">IFERROR(__xludf.DUMMYFUNCTION("""COMPUTED_VALUE"""),44191)</f>
        <v>44191</v>
      </c>
      <c r="G1116" s="9" t="str">
        <f ca="1">IFERROR(__xludf.DUMMYFUNCTION("""COMPUTED_VALUE"""),"1 USD = 160.3077 PKR")</f>
        <v>1 USD = 160.3077 PKR</v>
      </c>
      <c r="H1116" s="9" t="str">
        <f ca="1">IFERROR(__xludf.DUMMYFUNCTION("""COMPUTED_VALUE"""),"USD PKR rate for 26/12/2020")</f>
        <v>USD PKR rate for 26/12/2020</v>
      </c>
      <c r="I1116" s="9"/>
    </row>
    <row r="1117" spans="1:9" ht="14.25" customHeight="1" x14ac:dyDescent="0.3">
      <c r="A1117" s="6">
        <v>40834</v>
      </c>
      <c r="B1117" s="7">
        <v>86.666899999999998</v>
      </c>
      <c r="C1117" s="8">
        <f t="shared" si="9"/>
        <v>96.42373593506457</v>
      </c>
      <c r="D1117" s="9">
        <f t="shared" si="8"/>
        <v>64.793550980089378</v>
      </c>
      <c r="E1117" s="9"/>
      <c r="F1117" s="9">
        <f ca="1">IFERROR(__xludf.DUMMYFUNCTION("""COMPUTED_VALUE"""),44190)</f>
        <v>44190</v>
      </c>
      <c r="G1117" s="9" t="str">
        <f ca="1">IFERROR(__xludf.DUMMYFUNCTION("""COMPUTED_VALUE"""),"1 USD = 160.3124 PKR")</f>
        <v>1 USD = 160.3124 PKR</v>
      </c>
      <c r="H1117" s="9" t="str">
        <f ca="1">IFERROR(__xludf.DUMMYFUNCTION("""COMPUTED_VALUE"""),"USD PKR rate for 25/12/2020")</f>
        <v>USD PKR rate for 25/12/2020</v>
      </c>
      <c r="I1117" s="9"/>
    </row>
    <row r="1118" spans="1:9" ht="14.25" customHeight="1" x14ac:dyDescent="0.3">
      <c r="A1118" s="6">
        <v>40835</v>
      </c>
      <c r="B1118" s="7">
        <v>86.506699999999995</v>
      </c>
      <c r="C1118" s="8">
        <f t="shared" si="9"/>
        <v>96.440981297900777</v>
      </c>
      <c r="D1118" s="9">
        <f t="shared" si="8"/>
        <v>64.796288812886644</v>
      </c>
      <c r="E1118" s="9"/>
      <c r="F1118" s="9">
        <f ca="1">IFERROR(__xludf.DUMMYFUNCTION("""COMPUTED_VALUE"""),44189)</f>
        <v>44189</v>
      </c>
      <c r="G1118" s="9" t="str">
        <f ca="1">IFERROR(__xludf.DUMMYFUNCTION("""COMPUTED_VALUE"""),"1 USD = 160.3021 PKR")</f>
        <v>1 USD = 160.3021 PKR</v>
      </c>
      <c r="H1118" s="9" t="str">
        <f ca="1">IFERROR(__xludf.DUMMYFUNCTION("""COMPUTED_VALUE"""),"USD PKR rate for 24/12/2020")</f>
        <v>USD PKR rate for 24/12/2020</v>
      </c>
      <c r="I1118" s="9"/>
    </row>
    <row r="1119" spans="1:9" ht="14.25" customHeight="1" x14ac:dyDescent="0.3">
      <c r="A1119" s="6">
        <v>40836</v>
      </c>
      <c r="B1119" s="7">
        <v>86.400599999999997</v>
      </c>
      <c r="C1119" s="8">
        <f t="shared" si="9"/>
        <v>96.458229745066163</v>
      </c>
      <c r="D1119" s="9">
        <f t="shared" si="8"/>
        <v>64.799026645683909</v>
      </c>
      <c r="E1119" s="9"/>
      <c r="F1119" s="9">
        <f ca="1">IFERROR(__xludf.DUMMYFUNCTION("""COMPUTED_VALUE"""),44188)</f>
        <v>44188</v>
      </c>
      <c r="G1119" s="9" t="str">
        <f ca="1">IFERROR(__xludf.DUMMYFUNCTION("""COMPUTED_VALUE"""),"1 USD = 160.6382 PKR")</f>
        <v>1 USD = 160.6382 PKR</v>
      </c>
      <c r="H1119" s="9" t="str">
        <f ca="1">IFERROR(__xludf.DUMMYFUNCTION("""COMPUTED_VALUE"""),"USD PKR rate for 23/12/2020")</f>
        <v>USD PKR rate for 23/12/2020</v>
      </c>
      <c r="I1119" s="9"/>
    </row>
    <row r="1120" spans="1:9" ht="14.25" customHeight="1" x14ac:dyDescent="0.3">
      <c r="A1120" s="6">
        <v>40837</v>
      </c>
      <c r="B1120" s="7">
        <v>86.715599999999995</v>
      </c>
      <c r="C1120" s="8">
        <f t="shared" si="9"/>
        <v>96.475481277112294</v>
      </c>
      <c r="D1120" s="9">
        <f t="shared" si="8"/>
        <v>64.801764478481175</v>
      </c>
      <c r="E1120" s="9"/>
      <c r="F1120" s="9">
        <f ca="1">IFERROR(__xludf.DUMMYFUNCTION("""COMPUTED_VALUE"""),44187)</f>
        <v>44187</v>
      </c>
      <c r="G1120" s="9" t="str">
        <f ca="1">IFERROR(__xludf.DUMMYFUNCTION("""COMPUTED_VALUE"""),"1 USD = 160.5344 PKR")</f>
        <v>1 USD = 160.5344 PKR</v>
      </c>
      <c r="H1120" s="9" t="str">
        <f ca="1">IFERROR(__xludf.DUMMYFUNCTION("""COMPUTED_VALUE"""),"USD PKR rate for 22/12/2020")</f>
        <v>USD PKR rate for 22/12/2020</v>
      </c>
      <c r="I1120" s="9"/>
    </row>
    <row r="1121" spans="1:9" ht="14.25" customHeight="1" x14ac:dyDescent="0.3">
      <c r="A1121" s="6">
        <v>40838</v>
      </c>
      <c r="B1121" s="7">
        <v>86.715599999999995</v>
      </c>
      <c r="C1121" s="8">
        <f t="shared" si="9"/>
        <v>96.492735894590865</v>
      </c>
      <c r="D1121" s="9">
        <f t="shared" si="8"/>
        <v>64.804502311278441</v>
      </c>
      <c r="E1121" s="9"/>
      <c r="F1121" s="9">
        <f ca="1">IFERROR(__xludf.DUMMYFUNCTION("""COMPUTED_VALUE"""),44186)</f>
        <v>44186</v>
      </c>
      <c r="G1121" s="9" t="str">
        <f ca="1">IFERROR(__xludf.DUMMYFUNCTION("""COMPUTED_VALUE"""),"1 USD = 160.4417 PKR")</f>
        <v>1 USD = 160.4417 PKR</v>
      </c>
      <c r="H1121" s="9" t="str">
        <f ca="1">IFERROR(__xludf.DUMMYFUNCTION("""COMPUTED_VALUE"""),"USD PKR rate for 21/12/2020")</f>
        <v>USD PKR rate for 21/12/2020</v>
      </c>
      <c r="I1121" s="9"/>
    </row>
    <row r="1122" spans="1:9" ht="14.25" customHeight="1" x14ac:dyDescent="0.3">
      <c r="A1122" s="6">
        <v>40839</v>
      </c>
      <c r="B1122" s="7">
        <v>86.780900000000017</v>
      </c>
      <c r="C1122" s="8">
        <f t="shared" si="9"/>
        <v>96.509993598053853</v>
      </c>
      <c r="D1122" s="9">
        <f t="shared" si="8"/>
        <v>64.807240144075706</v>
      </c>
      <c r="E1122" s="9"/>
      <c r="F1122" s="9">
        <f ca="1">IFERROR(__xludf.DUMMYFUNCTION("""COMPUTED_VALUE"""),44185)</f>
        <v>44185</v>
      </c>
      <c r="G1122" s="9" t="str">
        <f ca="1">IFERROR(__xludf.DUMMYFUNCTION("""COMPUTED_VALUE"""),"1 USD = 160.1502 PKR")</f>
        <v>1 USD = 160.1502 PKR</v>
      </c>
      <c r="H1122" s="9" t="str">
        <f ca="1">IFERROR(__xludf.DUMMYFUNCTION("""COMPUTED_VALUE"""),"USD PKR rate for 20/12/2020")</f>
        <v>USD PKR rate for 20/12/2020</v>
      </c>
      <c r="I1122" s="9"/>
    </row>
    <row r="1123" spans="1:9" ht="14.25" customHeight="1" x14ac:dyDescent="0.3">
      <c r="A1123" s="6">
        <v>40840</v>
      </c>
      <c r="B1123" s="7">
        <v>86.472800000000007</v>
      </c>
      <c r="C1123" s="8">
        <f t="shared" si="9"/>
        <v>96.527254388053109</v>
      </c>
      <c r="D1123" s="9">
        <f t="shared" si="8"/>
        <v>64.809977976872972</v>
      </c>
      <c r="E1123" s="9"/>
      <c r="F1123" s="9">
        <f ca="1">IFERROR(__xludf.DUMMYFUNCTION("""COMPUTED_VALUE"""),44184)</f>
        <v>44184</v>
      </c>
      <c r="G1123" s="9" t="str">
        <f ca="1">IFERROR(__xludf.DUMMYFUNCTION("""COMPUTED_VALUE"""),"1 USD = 160.0941 PKR")</f>
        <v>1 USD = 160.0941 PKR</v>
      </c>
      <c r="H1123" s="9" t="str">
        <f ca="1">IFERROR(__xludf.DUMMYFUNCTION("""COMPUTED_VALUE"""),"USD PKR rate for 19/12/2020")</f>
        <v>USD PKR rate for 19/12/2020</v>
      </c>
      <c r="I1123" s="9"/>
    </row>
    <row r="1124" spans="1:9" ht="14.25" customHeight="1" x14ac:dyDescent="0.3">
      <c r="A1124" s="6">
        <v>40841</v>
      </c>
      <c r="B1124" s="7">
        <v>86.657799999999995</v>
      </c>
      <c r="C1124" s="8">
        <f t="shared" si="9"/>
        <v>96.544518265140667</v>
      </c>
      <c r="D1124" s="9">
        <f t="shared" si="8"/>
        <v>64.812715809670237</v>
      </c>
      <c r="E1124" s="9"/>
      <c r="F1124" s="9">
        <f ca="1">IFERROR(__xludf.DUMMYFUNCTION("""COMPUTED_VALUE"""),44183)</f>
        <v>44183</v>
      </c>
      <c r="G1124" s="9" t="str">
        <f ca="1">IFERROR(__xludf.DUMMYFUNCTION("""COMPUTED_VALUE"""),"1 USD = 160.1096 PKR")</f>
        <v>1 USD = 160.1096 PKR</v>
      </c>
      <c r="H1124" s="9" t="str">
        <f ca="1">IFERROR(__xludf.DUMMYFUNCTION("""COMPUTED_VALUE"""),"USD PKR rate for 18/12/2020")</f>
        <v>USD PKR rate for 18/12/2020</v>
      </c>
      <c r="I1124" s="9"/>
    </row>
    <row r="1125" spans="1:9" ht="14.25" customHeight="1" x14ac:dyDescent="0.3">
      <c r="A1125" s="6">
        <v>40842</v>
      </c>
      <c r="B1125" s="7">
        <v>86.739099999999993</v>
      </c>
      <c r="C1125" s="8">
        <f t="shared" si="9"/>
        <v>96.561785229868647</v>
      </c>
      <c r="D1125" s="9">
        <f t="shared" si="8"/>
        <v>64.815453642467503</v>
      </c>
      <c r="E1125" s="9"/>
      <c r="F1125" s="9">
        <f ca="1">IFERROR(__xludf.DUMMYFUNCTION("""COMPUTED_VALUE"""),44182)</f>
        <v>44182</v>
      </c>
      <c r="G1125" s="9" t="str">
        <f ca="1">IFERROR(__xludf.DUMMYFUNCTION("""COMPUTED_VALUE"""),"1 USD = 160.1817 PKR")</f>
        <v>1 USD = 160.1817 PKR</v>
      </c>
      <c r="H1125" s="9" t="str">
        <f ca="1">IFERROR(__xludf.DUMMYFUNCTION("""COMPUTED_VALUE"""),"USD PKR rate for 17/12/2020")</f>
        <v>USD PKR rate for 17/12/2020</v>
      </c>
      <c r="I1125" s="9"/>
    </row>
    <row r="1126" spans="1:9" ht="14.25" customHeight="1" x14ac:dyDescent="0.3">
      <c r="A1126" s="6">
        <v>40843</v>
      </c>
      <c r="B1126" s="7">
        <v>87.144999999999996</v>
      </c>
      <c r="C1126" s="8">
        <f t="shared" si="9"/>
        <v>96.579055282789255</v>
      </c>
      <c r="D1126" s="9">
        <f t="shared" si="8"/>
        <v>64.818191475264769</v>
      </c>
      <c r="E1126" s="9"/>
      <c r="F1126" s="9">
        <f ca="1">IFERROR(__xludf.DUMMYFUNCTION("""COMPUTED_VALUE"""),44181)</f>
        <v>44181</v>
      </c>
      <c r="G1126" s="9" t="str">
        <f ca="1">IFERROR(__xludf.DUMMYFUNCTION("""COMPUTED_VALUE"""),"1 USD = 160.4145 PKR")</f>
        <v>1 USD = 160.4145 PKR</v>
      </c>
      <c r="H1126" s="9" t="str">
        <f ca="1">IFERROR(__xludf.DUMMYFUNCTION("""COMPUTED_VALUE"""),"USD PKR rate for 16/12/2020")</f>
        <v>USD PKR rate for 16/12/2020</v>
      </c>
      <c r="I1126" s="9"/>
    </row>
    <row r="1127" spans="1:9" ht="14.25" customHeight="1" x14ac:dyDescent="0.3">
      <c r="A1127" s="6">
        <v>40844</v>
      </c>
      <c r="B1127" s="7">
        <v>86.183700000000002</v>
      </c>
      <c r="C1127" s="8">
        <f t="shared" si="9"/>
        <v>96.596328424454853</v>
      </c>
      <c r="D1127" s="9">
        <f t="shared" si="8"/>
        <v>64.820929308062034</v>
      </c>
      <c r="E1127" s="9"/>
      <c r="F1127" s="9">
        <f ca="1">IFERROR(__xludf.DUMMYFUNCTION("""COMPUTED_VALUE"""),44180)</f>
        <v>44180</v>
      </c>
      <c r="G1127" s="9" t="str">
        <f ca="1">IFERROR(__xludf.DUMMYFUNCTION("""COMPUTED_VALUE"""),"1 USD = 160.5442 PKR")</f>
        <v>1 USD = 160.5442 PKR</v>
      </c>
      <c r="H1127" s="9" t="str">
        <f ca="1">IFERROR(__xludf.DUMMYFUNCTION("""COMPUTED_VALUE"""),"USD PKR rate for 15/12/2020")</f>
        <v>USD PKR rate for 15/12/2020</v>
      </c>
      <c r="I1127" s="9"/>
    </row>
    <row r="1128" spans="1:9" ht="14.25" customHeight="1" x14ac:dyDescent="0.3">
      <c r="A1128" s="6">
        <v>40845</v>
      </c>
      <c r="B1128" s="7">
        <v>86.183700000000002</v>
      </c>
      <c r="C1128" s="8">
        <f t="shared" si="9"/>
        <v>96.613604655417802</v>
      </c>
      <c r="D1128" s="9">
        <f t="shared" si="8"/>
        <v>64.8236671408593</v>
      </c>
      <c r="E1128" s="9"/>
      <c r="F1128" s="9">
        <f ca="1">IFERROR(__xludf.DUMMYFUNCTION("""COMPUTED_VALUE"""),44179)</f>
        <v>44179</v>
      </c>
      <c r="G1128" s="9" t="str">
        <f ca="1">IFERROR(__xludf.DUMMYFUNCTION("""COMPUTED_VALUE"""),"1 USD = 160.3428 PKR")</f>
        <v>1 USD = 160.3428 PKR</v>
      </c>
      <c r="H1128" s="9" t="str">
        <f ca="1">IFERROR(__xludf.DUMMYFUNCTION("""COMPUTED_VALUE"""),"USD PKR rate for 14/12/2020")</f>
        <v>USD PKR rate for 14/12/2020</v>
      </c>
      <c r="I1128" s="9"/>
    </row>
    <row r="1129" spans="1:9" ht="14.25" customHeight="1" x14ac:dyDescent="0.3">
      <c r="A1129" s="6">
        <v>40846</v>
      </c>
      <c r="B1129" s="7">
        <v>86.312100000000001</v>
      </c>
      <c r="C1129" s="8">
        <f t="shared" si="9"/>
        <v>96.630883976230677</v>
      </c>
      <c r="D1129" s="9">
        <f t="shared" si="8"/>
        <v>64.826404973656565</v>
      </c>
      <c r="E1129" s="9"/>
      <c r="F1129" s="9">
        <f ca="1">IFERROR(__xludf.DUMMYFUNCTION("""COMPUTED_VALUE"""),44178)</f>
        <v>44178</v>
      </c>
      <c r="G1129" s="9" t="str">
        <f ca="1">IFERROR(__xludf.DUMMYFUNCTION("""COMPUTED_VALUE"""),"1 USD = 160.1948 PKR")</f>
        <v>1 USD = 160.1948 PKR</v>
      </c>
      <c r="H1129" s="9" t="str">
        <f ca="1">IFERROR(__xludf.DUMMYFUNCTION("""COMPUTED_VALUE"""),"USD PKR rate for 13/12/2020")</f>
        <v>USD PKR rate for 13/12/2020</v>
      </c>
      <c r="I1129" s="9"/>
    </row>
    <row r="1130" spans="1:9" ht="14.25" customHeight="1" x14ac:dyDescent="0.3">
      <c r="A1130" s="6">
        <v>40847</v>
      </c>
      <c r="B1130" s="7">
        <v>86.970600000000005</v>
      </c>
      <c r="C1130" s="8">
        <f t="shared" si="9"/>
        <v>96.648166387445983</v>
      </c>
      <c r="D1130" s="9">
        <f t="shared" si="8"/>
        <v>64.829142806453831</v>
      </c>
      <c r="E1130" s="9"/>
      <c r="F1130" s="9">
        <f ca="1">IFERROR(__xludf.DUMMYFUNCTION("""COMPUTED_VALUE"""),44177)</f>
        <v>44177</v>
      </c>
      <c r="G1130" s="9" t="str">
        <f ca="1">IFERROR(__xludf.DUMMYFUNCTION("""COMPUTED_VALUE"""),"1 USD = 160.144 PKR")</f>
        <v>1 USD = 160.144 PKR</v>
      </c>
      <c r="H1130" s="9" t="str">
        <f ca="1">IFERROR(__xludf.DUMMYFUNCTION("""COMPUTED_VALUE"""),"USD PKR rate for 12/12/2020")</f>
        <v>USD PKR rate for 12/12/2020</v>
      </c>
      <c r="I1130" s="9"/>
    </row>
    <row r="1131" spans="1:9" ht="14.25" customHeight="1" x14ac:dyDescent="0.3">
      <c r="A1131" s="6">
        <v>40848</v>
      </c>
      <c r="B1131" s="7">
        <v>86.000399999999999</v>
      </c>
      <c r="C1131" s="8">
        <f t="shared" si="9"/>
        <v>96.665451889616619</v>
      </c>
      <c r="D1131" s="9">
        <f t="shared" si="8"/>
        <v>64.831880639251096</v>
      </c>
      <c r="E1131" s="9"/>
      <c r="F1131" s="9">
        <f ca="1">IFERROR(__xludf.DUMMYFUNCTION("""COMPUTED_VALUE"""),44176)</f>
        <v>44176</v>
      </c>
      <c r="G1131" s="9" t="str">
        <f ca="1">IFERROR(__xludf.DUMMYFUNCTION("""COMPUTED_VALUE"""),"1 USD = 160.1501 PKR")</f>
        <v>1 USD = 160.1501 PKR</v>
      </c>
      <c r="H1131" s="9" t="str">
        <f ca="1">IFERROR(__xludf.DUMMYFUNCTION("""COMPUTED_VALUE"""),"USD PKR rate for 11/12/2020")</f>
        <v>USD PKR rate for 11/12/2020</v>
      </c>
      <c r="I1131" s="9"/>
    </row>
    <row r="1132" spans="1:9" ht="14.25" customHeight="1" x14ac:dyDescent="0.3">
      <c r="A1132" s="6">
        <v>40849</v>
      </c>
      <c r="B1132" s="7">
        <v>85.858000000000004</v>
      </c>
      <c r="C1132" s="8">
        <f t="shared" si="9"/>
        <v>96.682740483295319</v>
      </c>
      <c r="D1132" s="9">
        <f t="shared" si="8"/>
        <v>64.834618472048362</v>
      </c>
      <c r="E1132" s="9"/>
      <c r="F1132" s="9">
        <f ca="1">IFERROR(__xludf.DUMMYFUNCTION("""COMPUTED_VALUE"""),44175)</f>
        <v>44175</v>
      </c>
      <c r="G1132" s="9" t="str">
        <f ca="1">IFERROR(__xludf.DUMMYFUNCTION("""COMPUTED_VALUE"""),"1 USD = 160.4818 PKR")</f>
        <v>1 USD = 160.4818 PKR</v>
      </c>
      <c r="H1132" s="9" t="str">
        <f ca="1">IFERROR(__xludf.DUMMYFUNCTION("""COMPUTED_VALUE"""),"USD PKR rate for 10/12/2020")</f>
        <v>USD PKR rate for 10/12/2020</v>
      </c>
      <c r="I1132" s="9"/>
    </row>
    <row r="1133" spans="1:9" ht="14.25" customHeight="1" x14ac:dyDescent="0.3">
      <c r="A1133" s="6">
        <v>40850</v>
      </c>
      <c r="B1133" s="7">
        <v>86.147500000000008</v>
      </c>
      <c r="C1133" s="8">
        <f t="shared" si="9"/>
        <v>96.700032169034984</v>
      </c>
      <c r="D1133" s="9">
        <f t="shared" si="8"/>
        <v>64.837356304845628</v>
      </c>
      <c r="E1133" s="9"/>
      <c r="F1133" s="9">
        <f ca="1">IFERROR(__xludf.DUMMYFUNCTION("""COMPUTED_VALUE"""),44174)</f>
        <v>44174</v>
      </c>
      <c r="G1133" s="9" t="str">
        <f ca="1">IFERROR(__xludf.DUMMYFUNCTION("""COMPUTED_VALUE"""),"1 USD = 160.4129 PKR")</f>
        <v>1 USD = 160.4129 PKR</v>
      </c>
      <c r="H1133" s="9" t="str">
        <f ca="1">IFERROR(__xludf.DUMMYFUNCTION("""COMPUTED_VALUE"""),"USD PKR rate for 09/12/2020")</f>
        <v>USD PKR rate for 09/12/2020</v>
      </c>
      <c r="I1133" s="9"/>
    </row>
    <row r="1134" spans="1:9" ht="14.25" customHeight="1" x14ac:dyDescent="0.3">
      <c r="A1134" s="6">
        <v>40851</v>
      </c>
      <c r="B1134" s="7">
        <v>86.349299999999999</v>
      </c>
      <c r="C1134" s="8">
        <f t="shared" si="9"/>
        <v>96.717326947388656</v>
      </c>
      <c r="D1134" s="9">
        <f t="shared" si="8"/>
        <v>64.840094137642893</v>
      </c>
      <c r="E1134" s="9"/>
      <c r="F1134" s="9">
        <f ca="1">IFERROR(__xludf.DUMMYFUNCTION("""COMPUTED_VALUE"""),44173)</f>
        <v>44173</v>
      </c>
      <c r="G1134" s="9" t="str">
        <f ca="1">IFERROR(__xludf.DUMMYFUNCTION("""COMPUTED_VALUE"""),"1 USD = 160.3184 PKR")</f>
        <v>1 USD = 160.3184 PKR</v>
      </c>
      <c r="H1134" s="9" t="str">
        <f ca="1">IFERROR(__xludf.DUMMYFUNCTION("""COMPUTED_VALUE"""),"USD PKR rate for 08/12/2020")</f>
        <v>USD PKR rate for 08/12/2020</v>
      </c>
      <c r="I1134" s="9"/>
    </row>
    <row r="1135" spans="1:9" ht="14.25" customHeight="1" x14ac:dyDescent="0.3">
      <c r="A1135" s="6">
        <v>40852</v>
      </c>
      <c r="B1135" s="7">
        <v>86.297300000000007</v>
      </c>
      <c r="C1135" s="8">
        <f t="shared" si="9"/>
        <v>96.734624818909424</v>
      </c>
      <c r="D1135" s="9">
        <f t="shared" si="8"/>
        <v>64.842831970440159</v>
      </c>
      <c r="E1135" s="9"/>
      <c r="F1135" s="9">
        <f ca="1">IFERROR(__xludf.DUMMYFUNCTION("""COMPUTED_VALUE"""),44172)</f>
        <v>44172</v>
      </c>
      <c r="G1135" s="9" t="str">
        <f ca="1">IFERROR(__xludf.DUMMYFUNCTION("""COMPUTED_VALUE"""),"1 USD = 160.253 PKR")</f>
        <v>1 USD = 160.253 PKR</v>
      </c>
      <c r="H1135" s="9" t="str">
        <f ca="1">IFERROR(__xludf.DUMMYFUNCTION("""COMPUTED_VALUE"""),"USD PKR rate for 07/12/2020")</f>
        <v>USD PKR rate for 07/12/2020</v>
      </c>
      <c r="I1135" s="9"/>
    </row>
    <row r="1136" spans="1:9" ht="14.25" customHeight="1" x14ac:dyDescent="0.3">
      <c r="A1136" s="6">
        <v>40853</v>
      </c>
      <c r="B1136" s="7">
        <v>86.342299999999994</v>
      </c>
      <c r="C1136" s="8">
        <f t="shared" si="9"/>
        <v>96.751925784150487</v>
      </c>
      <c r="D1136" s="9">
        <f t="shared" si="8"/>
        <v>64.845569803237424</v>
      </c>
      <c r="E1136" s="9"/>
      <c r="F1136" s="9">
        <f ca="1">IFERROR(__xludf.DUMMYFUNCTION("""COMPUTED_VALUE"""),44171)</f>
        <v>44171</v>
      </c>
      <c r="G1136" s="9" t="str">
        <f ca="1">IFERROR(__xludf.DUMMYFUNCTION("""COMPUTED_VALUE"""),"1 USD = 160.0339 PKR")</f>
        <v>1 USD = 160.0339 PKR</v>
      </c>
      <c r="H1136" s="9" t="str">
        <f ca="1">IFERROR(__xludf.DUMMYFUNCTION("""COMPUTED_VALUE"""),"USD PKR rate for 06/12/2020")</f>
        <v>USD PKR rate for 06/12/2020</v>
      </c>
      <c r="I1136" s="9"/>
    </row>
    <row r="1137" spans="1:9" ht="14.25" customHeight="1" x14ac:dyDescent="0.3">
      <c r="A1137" s="6">
        <v>40854</v>
      </c>
      <c r="B1137" s="7">
        <v>86.381900000000016</v>
      </c>
      <c r="C1137" s="8">
        <f t="shared" si="9"/>
        <v>96.769229843665201</v>
      </c>
      <c r="D1137" s="9">
        <f t="shared" si="8"/>
        <v>64.84830763603469</v>
      </c>
      <c r="E1137" s="9"/>
      <c r="F1137" s="9">
        <f ca="1">IFERROR(__xludf.DUMMYFUNCTION("""COMPUTED_VALUE"""),44170)</f>
        <v>44170</v>
      </c>
      <c r="G1137" s="9" t="str">
        <f ca="1">IFERROR(__xludf.DUMMYFUNCTION("""COMPUTED_VALUE"""),"1 USD = 160.0441 PKR")</f>
        <v>1 USD = 160.0441 PKR</v>
      </c>
      <c r="H1137" s="9" t="str">
        <f ca="1">IFERROR(__xludf.DUMMYFUNCTION("""COMPUTED_VALUE"""),"USD PKR rate for 05/12/2020")</f>
        <v>USD PKR rate for 05/12/2020</v>
      </c>
      <c r="I1137" s="9"/>
    </row>
    <row r="1138" spans="1:9" ht="14.25" customHeight="1" x14ac:dyDescent="0.3">
      <c r="A1138" s="6">
        <v>40855</v>
      </c>
      <c r="B1138" s="7">
        <v>86.365099999999998</v>
      </c>
      <c r="C1138" s="8">
        <f t="shared" si="9"/>
        <v>96.786536998006937</v>
      </c>
      <c r="D1138" s="9">
        <f t="shared" si="8"/>
        <v>64.851045468831956</v>
      </c>
      <c r="E1138" s="9"/>
      <c r="F1138" s="9">
        <f ca="1">IFERROR(__xludf.DUMMYFUNCTION("""COMPUTED_VALUE"""),44169)</f>
        <v>44169</v>
      </c>
      <c r="G1138" s="9" t="str">
        <f ca="1">IFERROR(__xludf.DUMMYFUNCTION("""COMPUTED_VALUE"""),"1 USD = 160.0499 PKR")</f>
        <v>1 USD = 160.0499 PKR</v>
      </c>
      <c r="H1138" s="9" t="str">
        <f ca="1">IFERROR(__xludf.DUMMYFUNCTION("""COMPUTED_VALUE"""),"USD PKR rate for 04/12/2020")</f>
        <v>USD PKR rate for 04/12/2020</v>
      </c>
      <c r="I1138" s="9"/>
    </row>
    <row r="1139" spans="1:9" ht="14.25" customHeight="1" x14ac:dyDescent="0.3">
      <c r="A1139" s="6">
        <v>40856</v>
      </c>
      <c r="B1139" s="7">
        <v>86.330500000000001</v>
      </c>
      <c r="C1139" s="8">
        <f t="shared" si="9"/>
        <v>96.803847247729138</v>
      </c>
      <c r="D1139" s="9">
        <f t="shared" si="8"/>
        <v>64.853783301629221</v>
      </c>
      <c r="E1139" s="9"/>
      <c r="F1139" s="9">
        <f ca="1">IFERROR(__xludf.DUMMYFUNCTION("""COMPUTED_VALUE"""),44168)</f>
        <v>44168</v>
      </c>
      <c r="G1139" s="9" t="str">
        <f ca="1">IFERROR(__xludf.DUMMYFUNCTION("""COMPUTED_VALUE"""),"1 USD = 160.3368 PKR")</f>
        <v>1 USD = 160.3368 PKR</v>
      </c>
      <c r="H1139" s="9" t="str">
        <f ca="1">IFERROR(__xludf.DUMMYFUNCTION("""COMPUTED_VALUE"""),"USD PKR rate for 03/12/2020")</f>
        <v>USD PKR rate for 03/12/2020</v>
      </c>
      <c r="I1139" s="9"/>
    </row>
    <row r="1140" spans="1:9" ht="14.25" customHeight="1" x14ac:dyDescent="0.3">
      <c r="A1140" s="6">
        <v>40857</v>
      </c>
      <c r="B1140" s="7">
        <v>86.667500000000004</v>
      </c>
      <c r="C1140" s="8">
        <f t="shared" si="9"/>
        <v>96.821160593385571</v>
      </c>
      <c r="D1140" s="9">
        <f t="shared" si="8"/>
        <v>64.856521134426487</v>
      </c>
      <c r="E1140" s="9"/>
      <c r="F1140" s="9">
        <f ca="1">IFERROR(__xludf.DUMMYFUNCTION("""COMPUTED_VALUE"""),44167)</f>
        <v>44167</v>
      </c>
      <c r="G1140" s="9" t="str">
        <f ca="1">IFERROR(__xludf.DUMMYFUNCTION("""COMPUTED_VALUE"""),"1 USD = 160.1853 PKR")</f>
        <v>1 USD = 160.1853 PKR</v>
      </c>
      <c r="H1140" s="9" t="str">
        <f ca="1">IFERROR(__xludf.DUMMYFUNCTION("""COMPUTED_VALUE"""),"USD PKR rate for 02/12/2020")</f>
        <v>USD PKR rate for 02/12/2020</v>
      </c>
      <c r="I1140" s="9"/>
    </row>
    <row r="1141" spans="1:9" ht="14.25" customHeight="1" x14ac:dyDescent="0.3">
      <c r="A1141" s="6">
        <v>40858</v>
      </c>
      <c r="B1141" s="7">
        <v>86.733199999999997</v>
      </c>
      <c r="C1141" s="8">
        <f t="shared" si="9"/>
        <v>96.838477035529877</v>
      </c>
      <c r="D1141" s="9">
        <f t="shared" si="8"/>
        <v>64.859258967223752</v>
      </c>
      <c r="E1141" s="9"/>
      <c r="F1141" s="9">
        <f ca="1">IFERROR(__xludf.DUMMYFUNCTION("""COMPUTED_VALUE"""),44166)</f>
        <v>44166</v>
      </c>
      <c r="G1141" s="9" t="str">
        <f ca="1">IFERROR(__xludf.DUMMYFUNCTION("""COMPUTED_VALUE"""),"1 USD = 159.627 PKR")</f>
        <v>1 USD = 159.627 PKR</v>
      </c>
      <c r="H1141" s="9" t="str">
        <f ca="1">IFERROR(__xludf.DUMMYFUNCTION("""COMPUTED_VALUE"""),"USD PKR rate for 01/12/2020")</f>
        <v>USD PKR rate for 01/12/2020</v>
      </c>
      <c r="I1141" s="9"/>
    </row>
    <row r="1142" spans="1:9" ht="14.25" customHeight="1" x14ac:dyDescent="0.3">
      <c r="A1142" s="6">
        <v>40859</v>
      </c>
      <c r="B1142" s="7">
        <v>86.733199999999997</v>
      </c>
      <c r="C1142" s="8">
        <f t="shared" si="9"/>
        <v>96.855796574715839</v>
      </c>
      <c r="D1142" s="9">
        <f t="shared" si="8"/>
        <v>64.861996800021018</v>
      </c>
      <c r="E1142" s="9"/>
      <c r="F1142" s="9">
        <f ca="1">IFERROR(__xludf.DUMMYFUNCTION("""COMPUTED_VALUE"""),44165)</f>
        <v>44165</v>
      </c>
      <c r="G1142" s="9" t="str">
        <f ca="1">IFERROR(__xludf.DUMMYFUNCTION("""COMPUTED_VALUE"""),"1 USD = 159.4631 PKR")</f>
        <v>1 USD = 159.4631 PKR</v>
      </c>
      <c r="H1142" s="9" t="str">
        <f ca="1">IFERROR(__xludf.DUMMYFUNCTION("""COMPUTED_VALUE"""),"USD PKR rate for 30/11/2020")</f>
        <v>USD PKR rate for 30/11/2020</v>
      </c>
      <c r="I1142" s="9"/>
    </row>
    <row r="1143" spans="1:9" ht="14.25" customHeight="1" x14ac:dyDescent="0.3">
      <c r="A1143" s="6">
        <v>40860</v>
      </c>
      <c r="B1143" s="7">
        <v>86.684600000000003</v>
      </c>
      <c r="C1143" s="8">
        <f t="shared" si="9"/>
        <v>96.873119211497368</v>
      </c>
      <c r="D1143" s="9">
        <f t="shared" si="8"/>
        <v>64.864734632818283</v>
      </c>
      <c r="E1143" s="9"/>
      <c r="F1143" s="9">
        <f ca="1">IFERROR(__xludf.DUMMYFUNCTION("""COMPUTED_VALUE"""),44164)</f>
        <v>44164</v>
      </c>
      <c r="G1143" s="9" t="str">
        <f ca="1">IFERROR(__xludf.DUMMYFUNCTION("""COMPUTED_VALUE"""),"1 USD = 159.3912 PKR")</f>
        <v>1 USD = 159.3912 PKR</v>
      </c>
      <c r="H1143" s="9" t="str">
        <f ca="1">IFERROR(__xludf.DUMMYFUNCTION("""COMPUTED_VALUE"""),"USD PKR rate for 29/11/2020")</f>
        <v>USD PKR rate for 29/11/2020</v>
      </c>
      <c r="I1143" s="9"/>
    </row>
    <row r="1144" spans="1:9" ht="14.25" customHeight="1" x14ac:dyDescent="0.3">
      <c r="A1144" s="6">
        <v>40861</v>
      </c>
      <c r="B1144" s="7">
        <v>86.713499999999996</v>
      </c>
      <c r="C1144" s="8">
        <f t="shared" si="9"/>
        <v>96.890444946428474</v>
      </c>
      <c r="D1144" s="9">
        <f t="shared" si="8"/>
        <v>64.867472465615549</v>
      </c>
      <c r="E1144" s="9"/>
      <c r="F1144" s="9">
        <f ca="1">IFERROR(__xludf.DUMMYFUNCTION("""COMPUTED_VALUE"""),44163)</f>
        <v>44163</v>
      </c>
      <c r="G1144" s="9" t="str">
        <f ca="1">IFERROR(__xludf.DUMMYFUNCTION("""COMPUTED_VALUE"""),"1 USD = 159.4441 PKR")</f>
        <v>1 USD = 159.4441 PKR</v>
      </c>
      <c r="H1144" s="9" t="str">
        <f ca="1">IFERROR(__xludf.DUMMYFUNCTION("""COMPUTED_VALUE"""),"USD PKR rate for 28/11/2020")</f>
        <v>USD PKR rate for 28/11/2020</v>
      </c>
      <c r="I1144" s="9"/>
    </row>
    <row r="1145" spans="1:9" ht="14.25" customHeight="1" x14ac:dyDescent="0.3">
      <c r="A1145" s="6">
        <v>40862</v>
      </c>
      <c r="B1145" s="7">
        <v>86.958699999999993</v>
      </c>
      <c r="C1145" s="8">
        <f t="shared" si="9"/>
        <v>96.907773780063266</v>
      </c>
      <c r="D1145" s="9">
        <f t="shared" si="8"/>
        <v>64.870210298412815</v>
      </c>
      <c r="E1145" s="9"/>
      <c r="F1145" s="9">
        <f ca="1">IFERROR(__xludf.DUMMYFUNCTION("""COMPUTED_VALUE"""),44162)</f>
        <v>44162</v>
      </c>
      <c r="G1145" s="9" t="str">
        <f ca="1">IFERROR(__xludf.DUMMYFUNCTION("""COMPUTED_VALUE"""),"1 USD = 159.3445 PKR")</f>
        <v>1 USD = 159.3445 PKR</v>
      </c>
      <c r="H1145" s="9" t="str">
        <f ca="1">IFERROR(__xludf.DUMMYFUNCTION("""COMPUTED_VALUE"""),"USD PKR rate for 27/11/2020")</f>
        <v>USD PKR rate for 27/11/2020</v>
      </c>
      <c r="I1145" s="9"/>
    </row>
    <row r="1146" spans="1:9" ht="14.25" customHeight="1" x14ac:dyDescent="0.3">
      <c r="A1146" s="6">
        <v>40863</v>
      </c>
      <c r="B1146" s="7">
        <v>87.168500000000009</v>
      </c>
      <c r="C1146" s="8">
        <f t="shared" si="9"/>
        <v>96.925105712955926</v>
      </c>
      <c r="D1146" s="9">
        <f t="shared" si="8"/>
        <v>64.87294813121008</v>
      </c>
      <c r="E1146" s="9"/>
      <c r="F1146" s="9">
        <f ca="1">IFERROR(__xludf.DUMMYFUNCTION("""COMPUTED_VALUE"""),44161)</f>
        <v>44161</v>
      </c>
      <c r="G1146" s="9" t="str">
        <f ca="1">IFERROR(__xludf.DUMMYFUNCTION("""COMPUTED_VALUE"""),"1 USD = 159.1829 PKR")</f>
        <v>1 USD = 159.1829 PKR</v>
      </c>
      <c r="H1146" s="9" t="str">
        <f ca="1">IFERROR(__xludf.DUMMYFUNCTION("""COMPUTED_VALUE"""),"USD PKR rate for 26/11/2020")</f>
        <v>USD PKR rate for 26/11/2020</v>
      </c>
      <c r="I1146" s="9"/>
    </row>
    <row r="1147" spans="1:9" ht="14.25" customHeight="1" x14ac:dyDescent="0.3">
      <c r="A1147" s="6">
        <v>40864</v>
      </c>
      <c r="B1147" s="7">
        <v>87.044300000000007</v>
      </c>
      <c r="C1147" s="8">
        <f t="shared" si="9"/>
        <v>96.94244074566079</v>
      </c>
      <c r="D1147" s="9">
        <f t="shared" si="8"/>
        <v>64.875685964007346</v>
      </c>
      <c r="E1147" s="9"/>
      <c r="F1147" s="9">
        <f ca="1">IFERROR(__xludf.DUMMYFUNCTION("""COMPUTED_VALUE"""),44160)</f>
        <v>44160</v>
      </c>
      <c r="G1147" s="9" t="str">
        <f ca="1">IFERROR(__xludf.DUMMYFUNCTION("""COMPUTED_VALUE"""),"1 USD = 159.3209 PKR")</f>
        <v>1 USD = 159.3209 PKR</v>
      </c>
      <c r="H1147" s="9" t="str">
        <f ca="1">IFERROR(__xludf.DUMMYFUNCTION("""COMPUTED_VALUE"""),"USD PKR rate for 25/11/2020")</f>
        <v>USD PKR rate for 25/11/2020</v>
      </c>
      <c r="I1147" s="9"/>
    </row>
    <row r="1148" spans="1:9" ht="14.25" customHeight="1" x14ac:dyDescent="0.3">
      <c r="A1148" s="6">
        <v>40865</v>
      </c>
      <c r="B1148" s="7">
        <v>87.219899999999996</v>
      </c>
      <c r="C1148" s="8">
        <f t="shared" si="9"/>
        <v>96.959778878732152</v>
      </c>
      <c r="D1148" s="9">
        <f t="shared" si="8"/>
        <v>64.878423796804611</v>
      </c>
      <c r="E1148" s="9"/>
      <c r="F1148" s="9">
        <f ca="1">IFERROR(__xludf.DUMMYFUNCTION("""COMPUTED_VALUE"""),44159)</f>
        <v>44159</v>
      </c>
      <c r="G1148" s="9" t="str">
        <f ca="1">IFERROR(__xludf.DUMMYFUNCTION("""COMPUTED_VALUE"""),"1 USD = 160.0372 PKR")</f>
        <v>1 USD = 160.0372 PKR</v>
      </c>
      <c r="H1148" s="9" t="str">
        <f ca="1">IFERROR(__xludf.DUMMYFUNCTION("""COMPUTED_VALUE"""),"USD PKR rate for 24/11/2020")</f>
        <v>USD PKR rate for 24/11/2020</v>
      </c>
      <c r="I1148" s="9"/>
    </row>
    <row r="1149" spans="1:9" ht="14.25" customHeight="1" x14ac:dyDescent="0.3">
      <c r="A1149" s="6">
        <v>40866</v>
      </c>
      <c r="B1149" s="7">
        <v>87.200599999999994</v>
      </c>
      <c r="C1149" s="8">
        <f t="shared" si="9"/>
        <v>96.977120112724648</v>
      </c>
      <c r="D1149" s="9">
        <f t="shared" si="8"/>
        <v>64.881161629601877</v>
      </c>
      <c r="E1149" s="9"/>
      <c r="F1149" s="9">
        <f ca="1">IFERROR(__xludf.DUMMYFUNCTION("""COMPUTED_VALUE"""),44158)</f>
        <v>44158</v>
      </c>
      <c r="G1149" s="9" t="str">
        <f ca="1">IFERROR(__xludf.DUMMYFUNCTION("""COMPUTED_VALUE"""),"1 USD = 160.9881 PKR")</f>
        <v>1 USD = 160.9881 PKR</v>
      </c>
      <c r="H1149" s="9" t="str">
        <f ca="1">IFERROR(__xludf.DUMMYFUNCTION("""COMPUTED_VALUE"""),"USD PKR rate for 23/11/2020")</f>
        <v>USD PKR rate for 23/11/2020</v>
      </c>
      <c r="I1149" s="9"/>
    </row>
    <row r="1150" spans="1:9" ht="14.25" customHeight="1" x14ac:dyDescent="0.3">
      <c r="A1150" s="6">
        <v>40867</v>
      </c>
      <c r="B1150" s="7">
        <v>87.405199999999994</v>
      </c>
      <c r="C1150" s="8">
        <f t="shared" si="9"/>
        <v>96.994464448192858</v>
      </c>
      <c r="D1150" s="9">
        <f t="shared" si="8"/>
        <v>64.883899462399143</v>
      </c>
      <c r="E1150" s="9"/>
      <c r="F1150" s="9">
        <f ca="1">IFERROR(__xludf.DUMMYFUNCTION("""COMPUTED_VALUE"""),44157)</f>
        <v>44157</v>
      </c>
      <c r="G1150" s="9" t="str">
        <f ca="1">IFERROR(__xludf.DUMMYFUNCTION("""COMPUTED_VALUE"""),"1 USD = 160.5773 PKR")</f>
        <v>1 USD = 160.5773 PKR</v>
      </c>
      <c r="H1150" s="9" t="str">
        <f ca="1">IFERROR(__xludf.DUMMYFUNCTION("""COMPUTED_VALUE"""),"USD PKR rate for 22/11/2020")</f>
        <v>USD PKR rate for 22/11/2020</v>
      </c>
      <c r="I1150" s="9"/>
    </row>
    <row r="1151" spans="1:9" ht="14.25" customHeight="1" x14ac:dyDescent="0.3">
      <c r="A1151" s="6">
        <v>40868</v>
      </c>
      <c r="B1151" s="7">
        <v>87.333600000000004</v>
      </c>
      <c r="C1151" s="8">
        <f t="shared" si="9"/>
        <v>97.011811885691444</v>
      </c>
      <c r="D1151" s="9">
        <f t="shared" si="8"/>
        <v>64.886637295196408</v>
      </c>
      <c r="E1151" s="9"/>
      <c r="F1151" s="9">
        <f ca="1">IFERROR(__xludf.DUMMYFUNCTION("""COMPUTED_VALUE"""),44156)</f>
        <v>44156</v>
      </c>
      <c r="G1151" s="9" t="str">
        <f ca="1">IFERROR(__xludf.DUMMYFUNCTION("""COMPUTED_VALUE"""),"1 USD = 160.7481 PKR")</f>
        <v>1 USD = 160.7481 PKR</v>
      </c>
      <c r="H1151" s="9" t="str">
        <f ca="1">IFERROR(__xludf.DUMMYFUNCTION("""COMPUTED_VALUE"""),"USD PKR rate for 21/11/2020")</f>
        <v>USD PKR rate for 21/11/2020</v>
      </c>
      <c r="I1151" s="9"/>
    </row>
    <row r="1152" spans="1:9" ht="14.25" customHeight="1" x14ac:dyDescent="0.3">
      <c r="A1152" s="6">
        <v>40869</v>
      </c>
      <c r="B1152" s="7">
        <v>87.430899999999994</v>
      </c>
      <c r="C1152" s="8">
        <f t="shared" si="9"/>
        <v>97.029162425775198</v>
      </c>
      <c r="D1152" s="9">
        <f t="shared" si="8"/>
        <v>64.889375127993674</v>
      </c>
      <c r="E1152" s="9"/>
      <c r="F1152" s="9">
        <f ca="1">IFERROR(__xludf.DUMMYFUNCTION("""COMPUTED_VALUE"""),44155)</f>
        <v>44155</v>
      </c>
      <c r="G1152" s="9" t="str">
        <f ca="1">IFERROR(__xludf.DUMMYFUNCTION("""COMPUTED_VALUE"""),"1 USD = 160.756 PKR")</f>
        <v>1 USD = 160.756 PKR</v>
      </c>
      <c r="H1152" s="9" t="str">
        <f ca="1">IFERROR(__xludf.DUMMYFUNCTION("""COMPUTED_VALUE"""),"USD PKR rate for 20/11/2020")</f>
        <v>USD PKR rate for 20/11/2020</v>
      </c>
      <c r="I1152" s="9"/>
    </row>
    <row r="1153" spans="1:9" ht="14.25" customHeight="1" x14ac:dyDescent="0.3">
      <c r="A1153" s="6">
        <v>40870</v>
      </c>
      <c r="B1153" s="7">
        <v>87.529899999999998</v>
      </c>
      <c r="C1153" s="8">
        <f t="shared" si="9"/>
        <v>97.04651606899904</v>
      </c>
      <c r="D1153" s="9">
        <f t="shared" si="8"/>
        <v>64.892112960790939</v>
      </c>
      <c r="E1153" s="9"/>
      <c r="F1153" s="9">
        <f ca="1">IFERROR(__xludf.DUMMYFUNCTION("""COMPUTED_VALUE"""),44154)</f>
        <v>44154</v>
      </c>
      <c r="G1153" s="9" t="str">
        <f ca="1">IFERROR(__xludf.DUMMYFUNCTION("""COMPUTED_VALUE"""),"1 USD = 158.8639 PKR")</f>
        <v>1 USD = 158.8639 PKR</v>
      </c>
      <c r="H1153" s="9" t="str">
        <f ca="1">IFERROR(__xludf.DUMMYFUNCTION("""COMPUTED_VALUE"""),"USD PKR rate for 19/11/2020")</f>
        <v>USD PKR rate for 19/11/2020</v>
      </c>
      <c r="I1153" s="9"/>
    </row>
    <row r="1154" spans="1:9" ht="14.25" customHeight="1" x14ac:dyDescent="0.3">
      <c r="A1154" s="6">
        <v>40871</v>
      </c>
      <c r="B1154" s="7">
        <v>87.775999999999996</v>
      </c>
      <c r="C1154" s="8">
        <f t="shared" si="9"/>
        <v>97.063872815917961</v>
      </c>
      <c r="D1154" s="9">
        <f t="shared" si="8"/>
        <v>64.894850793588205</v>
      </c>
      <c r="E1154" s="9"/>
      <c r="F1154" s="9">
        <f ca="1">IFERROR(__xludf.DUMMYFUNCTION("""COMPUTED_VALUE"""),44153)</f>
        <v>44153</v>
      </c>
      <c r="G1154" s="9" t="str">
        <f ca="1">IFERROR(__xludf.DUMMYFUNCTION("""COMPUTED_VALUE"""),"1 USD = 158.8812 PKR")</f>
        <v>1 USD = 158.8812 PKR</v>
      </c>
      <c r="H1154" s="9" t="str">
        <f ca="1">IFERROR(__xludf.DUMMYFUNCTION("""COMPUTED_VALUE"""),"USD PKR rate for 18/11/2020")</f>
        <v>USD PKR rate for 18/11/2020</v>
      </c>
      <c r="I1154" s="9"/>
    </row>
    <row r="1155" spans="1:9" ht="14.25" customHeight="1" x14ac:dyDescent="0.3">
      <c r="A1155" s="6">
        <v>40872</v>
      </c>
      <c r="B1155" s="7">
        <v>87.920100000000005</v>
      </c>
      <c r="C1155" s="8">
        <f t="shared" si="9"/>
        <v>97.081232667087022</v>
      </c>
      <c r="D1155" s="9">
        <f t="shared" si="8"/>
        <v>64.89758862638547</v>
      </c>
      <c r="E1155" s="9"/>
      <c r="F1155" s="9">
        <f ca="1">IFERROR(__xludf.DUMMYFUNCTION("""COMPUTED_VALUE"""),44152)</f>
        <v>44152</v>
      </c>
      <c r="G1155" s="9" t="str">
        <f ca="1">IFERROR(__xludf.DUMMYFUNCTION("""COMPUTED_VALUE"""),"1 USD = 158.1964 PKR")</f>
        <v>1 USD = 158.1964 PKR</v>
      </c>
      <c r="H1155" s="9" t="str">
        <f ca="1">IFERROR(__xludf.DUMMYFUNCTION("""COMPUTED_VALUE"""),"USD PKR rate for 17/11/2020")</f>
        <v>USD PKR rate for 17/11/2020</v>
      </c>
      <c r="I1155" s="9"/>
    </row>
    <row r="1156" spans="1:9" ht="14.25" customHeight="1" x14ac:dyDescent="0.3">
      <c r="A1156" s="6">
        <v>40873</v>
      </c>
      <c r="B1156" s="7">
        <v>87.920100000000005</v>
      </c>
      <c r="C1156" s="8">
        <f t="shared" si="9"/>
        <v>97.098595623061456</v>
      </c>
      <c r="D1156" s="9">
        <f t="shared" si="8"/>
        <v>64.900326459182736</v>
      </c>
      <c r="E1156" s="9"/>
      <c r="F1156" s="9">
        <f ca="1">IFERROR(__xludf.DUMMYFUNCTION("""COMPUTED_VALUE"""),44151)</f>
        <v>44151</v>
      </c>
      <c r="G1156" s="9" t="str">
        <f ca="1">IFERROR(__xludf.DUMMYFUNCTION("""COMPUTED_VALUE"""),"1 USD = 158.1465 PKR")</f>
        <v>1 USD = 158.1465 PKR</v>
      </c>
      <c r="H1156" s="9" t="str">
        <f ca="1">IFERROR(__xludf.DUMMYFUNCTION("""COMPUTED_VALUE"""),"USD PKR rate for 16/11/2020")</f>
        <v>USD PKR rate for 16/11/2020</v>
      </c>
      <c r="I1156" s="9"/>
    </row>
    <row r="1157" spans="1:9" ht="14.25" customHeight="1" x14ac:dyDescent="0.3">
      <c r="A1157" s="6">
        <v>40874</v>
      </c>
      <c r="B1157" s="7">
        <v>87.664599999999993</v>
      </c>
      <c r="C1157" s="8">
        <f t="shared" si="9"/>
        <v>97.115961684396467</v>
      </c>
      <c r="D1157" s="9">
        <f t="shared" si="8"/>
        <v>64.903064291980002</v>
      </c>
      <c r="E1157" s="9"/>
      <c r="F1157" s="9">
        <f ca="1">IFERROR(__xludf.DUMMYFUNCTION("""COMPUTED_VALUE"""),44150)</f>
        <v>44150</v>
      </c>
      <c r="G1157" s="9" t="str">
        <f ca="1">IFERROR(__xludf.DUMMYFUNCTION("""COMPUTED_VALUE"""),"1 USD = 158.2999 PKR")</f>
        <v>1 USD = 158.2999 PKR</v>
      </c>
      <c r="H1157" s="9" t="str">
        <f ca="1">IFERROR(__xludf.DUMMYFUNCTION("""COMPUTED_VALUE"""),"USD PKR rate for 15/11/2020")</f>
        <v>USD PKR rate for 15/11/2020</v>
      </c>
      <c r="I1157" s="9"/>
    </row>
    <row r="1158" spans="1:9" ht="14.25" customHeight="1" x14ac:dyDescent="0.3">
      <c r="A1158" s="6">
        <v>40875</v>
      </c>
      <c r="B1158" s="7">
        <v>88.045000000000002</v>
      </c>
      <c r="C1158" s="8">
        <f t="shared" si="9"/>
        <v>97.1333308516476</v>
      </c>
      <c r="D1158" s="9">
        <f t="shared" si="8"/>
        <v>64.905802124777267</v>
      </c>
      <c r="E1158" s="9"/>
      <c r="F1158" s="9">
        <f ca="1">IFERROR(__xludf.DUMMYFUNCTION("""COMPUTED_VALUE"""),44149)</f>
        <v>44149</v>
      </c>
      <c r="G1158" s="9" t="str">
        <f ca="1">IFERROR(__xludf.DUMMYFUNCTION("""COMPUTED_VALUE"""),"1 USD = 158.3375 PKR")</f>
        <v>1 USD = 158.3375 PKR</v>
      </c>
      <c r="H1158" s="9" t="str">
        <f ca="1">IFERROR(__xludf.DUMMYFUNCTION("""COMPUTED_VALUE"""),"USD PKR rate for 14/11/2020")</f>
        <v>USD PKR rate for 14/11/2020</v>
      </c>
      <c r="I1158" s="9"/>
    </row>
    <row r="1159" spans="1:9" ht="14.25" customHeight="1" x14ac:dyDescent="0.3">
      <c r="A1159" s="6">
        <v>40876</v>
      </c>
      <c r="B1159" s="7">
        <v>88.324100000000001</v>
      </c>
      <c r="C1159" s="8">
        <f t="shared" si="9"/>
        <v>97.150703125370285</v>
      </c>
      <c r="D1159" s="9">
        <f t="shared" si="8"/>
        <v>64.908539957574533</v>
      </c>
      <c r="E1159" s="9"/>
      <c r="F1159" s="9">
        <f ca="1">IFERROR(__xludf.DUMMYFUNCTION("""COMPUTED_VALUE"""),44148)</f>
        <v>44148</v>
      </c>
      <c r="G1159" s="9" t="str">
        <f ca="1">IFERROR(__xludf.DUMMYFUNCTION("""COMPUTED_VALUE"""),"1 USD = 158.375 PKR")</f>
        <v>1 USD = 158.375 PKR</v>
      </c>
      <c r="H1159" s="9" t="str">
        <f ca="1">IFERROR(__xludf.DUMMYFUNCTION("""COMPUTED_VALUE"""),"USD PKR rate for 13/11/2020")</f>
        <v>USD PKR rate for 13/11/2020</v>
      </c>
      <c r="I1159" s="9"/>
    </row>
    <row r="1160" spans="1:9" ht="14.25" customHeight="1" x14ac:dyDescent="0.3">
      <c r="A1160" s="6">
        <v>40877</v>
      </c>
      <c r="B1160" s="7">
        <v>88.615300000000005</v>
      </c>
      <c r="C1160" s="8">
        <f t="shared" si="9"/>
        <v>97.168078506120096</v>
      </c>
      <c r="D1160" s="9">
        <f t="shared" si="8"/>
        <v>64.911277790371798</v>
      </c>
      <c r="E1160" s="9"/>
      <c r="F1160" s="9">
        <f ca="1">IFERROR(__xludf.DUMMYFUNCTION("""COMPUTED_VALUE"""),44147)</f>
        <v>44147</v>
      </c>
      <c r="G1160" s="9" t="str">
        <f ca="1">IFERROR(__xludf.DUMMYFUNCTION("""COMPUTED_VALUE"""),"1 USD = 158.3292 PKR")</f>
        <v>1 USD = 158.3292 PKR</v>
      </c>
      <c r="H1160" s="9" t="str">
        <f ca="1">IFERROR(__xludf.DUMMYFUNCTION("""COMPUTED_VALUE"""),"USD PKR rate for 12/11/2020")</f>
        <v>USD PKR rate for 12/11/2020</v>
      </c>
      <c r="I1160" s="9"/>
    </row>
    <row r="1161" spans="1:9" ht="14.25" customHeight="1" x14ac:dyDescent="0.3">
      <c r="A1161" s="6">
        <v>40878</v>
      </c>
      <c r="B1161" s="7">
        <v>88.859600000000015</v>
      </c>
      <c r="C1161" s="8">
        <f t="shared" si="9"/>
        <v>97.185456994452721</v>
      </c>
      <c r="D1161" s="9">
        <f t="shared" si="8"/>
        <v>64.914015623169064</v>
      </c>
      <c r="E1161" s="9"/>
      <c r="F1161" s="9">
        <f ca="1">IFERROR(__xludf.DUMMYFUNCTION("""COMPUTED_VALUE"""),44146)</f>
        <v>44146</v>
      </c>
      <c r="G1161" s="9" t="str">
        <f ca="1">IFERROR(__xludf.DUMMYFUNCTION("""COMPUTED_VALUE"""),"1 USD = 158.526 PKR")</f>
        <v>1 USD = 158.526 PKR</v>
      </c>
      <c r="H1161" s="9" t="str">
        <f ca="1">IFERROR(__xludf.DUMMYFUNCTION("""COMPUTED_VALUE"""),"USD PKR rate for 11/11/2020")</f>
        <v>USD PKR rate for 11/11/2020</v>
      </c>
      <c r="I1161" s="9"/>
    </row>
    <row r="1162" spans="1:9" ht="14.25" customHeight="1" x14ac:dyDescent="0.3">
      <c r="A1162" s="6">
        <v>40879</v>
      </c>
      <c r="B1162" s="7">
        <v>89.473600000000005</v>
      </c>
      <c r="C1162" s="8">
        <f t="shared" si="9"/>
        <v>97.20283859092396</v>
      </c>
      <c r="D1162" s="9">
        <f t="shared" si="8"/>
        <v>64.91675345596633</v>
      </c>
      <c r="E1162" s="9"/>
      <c r="F1162" s="9">
        <f ca="1">IFERROR(__xludf.DUMMYFUNCTION("""COMPUTED_VALUE"""),44145)</f>
        <v>44145</v>
      </c>
      <c r="G1162" s="9" t="str">
        <f ca="1">IFERROR(__xludf.DUMMYFUNCTION("""COMPUTED_VALUE"""),"1 USD = 158.9759 PKR")</f>
        <v>1 USD = 158.9759 PKR</v>
      </c>
      <c r="H1162" s="9" t="str">
        <f ca="1">IFERROR(__xludf.DUMMYFUNCTION("""COMPUTED_VALUE"""),"USD PKR rate for 10/11/2020")</f>
        <v>USD PKR rate for 10/11/2020</v>
      </c>
      <c r="I1162" s="9"/>
    </row>
    <row r="1163" spans="1:9" ht="14.25" customHeight="1" x14ac:dyDescent="0.3">
      <c r="A1163" s="6">
        <v>40880</v>
      </c>
      <c r="B1163" s="7">
        <v>89.473600000000005</v>
      </c>
      <c r="C1163" s="8">
        <f t="shared" si="9"/>
        <v>97.220223296089699</v>
      </c>
      <c r="D1163" s="9">
        <f t="shared" si="8"/>
        <v>64.919491288763595</v>
      </c>
      <c r="E1163" s="9"/>
      <c r="F1163" s="9">
        <f ca="1">IFERROR(__xludf.DUMMYFUNCTION("""COMPUTED_VALUE"""),44144)</f>
        <v>44144</v>
      </c>
      <c r="G1163" s="9" t="str">
        <f ca="1">IFERROR(__xludf.DUMMYFUNCTION("""COMPUTED_VALUE"""),"1 USD = 159.093 PKR")</f>
        <v>1 USD = 159.093 PKR</v>
      </c>
      <c r="H1163" s="9" t="str">
        <f ca="1">IFERROR(__xludf.DUMMYFUNCTION("""COMPUTED_VALUE"""),"USD PKR rate for 09/11/2020")</f>
        <v>USD PKR rate for 09/11/2020</v>
      </c>
      <c r="I1163" s="9"/>
    </row>
    <row r="1164" spans="1:9" ht="14.25" customHeight="1" x14ac:dyDescent="0.3">
      <c r="A1164" s="6">
        <v>40881</v>
      </c>
      <c r="B1164" s="7">
        <v>89.399100000000004</v>
      </c>
      <c r="C1164" s="8">
        <f t="shared" si="9"/>
        <v>97.237611110505938</v>
      </c>
      <c r="D1164" s="9">
        <f t="shared" si="8"/>
        <v>64.922229121560861</v>
      </c>
      <c r="E1164" s="9"/>
      <c r="F1164" s="9">
        <f ca="1">IFERROR(__xludf.DUMMYFUNCTION("""COMPUTED_VALUE"""),44143)</f>
        <v>44143</v>
      </c>
      <c r="G1164" s="9" t="str">
        <f ca="1">IFERROR(__xludf.DUMMYFUNCTION("""COMPUTED_VALUE"""),"1 USD = 159.106 PKR")</f>
        <v>1 USD = 159.106 PKR</v>
      </c>
      <c r="H1164" s="9" t="str">
        <f ca="1">IFERROR(__xludf.DUMMYFUNCTION("""COMPUTED_VALUE"""),"USD PKR rate for 08/11/2020")</f>
        <v>USD PKR rate for 08/11/2020</v>
      </c>
      <c r="I1164" s="9"/>
    </row>
    <row r="1165" spans="1:9" ht="14.25" customHeight="1" x14ac:dyDescent="0.3">
      <c r="A1165" s="6">
        <v>40882</v>
      </c>
      <c r="B1165" s="7">
        <v>89.466399999999993</v>
      </c>
      <c r="C1165" s="8">
        <f t="shared" si="9"/>
        <v>97.255002034728761</v>
      </c>
      <c r="D1165" s="9">
        <f t="shared" si="8"/>
        <v>64.924966954358126</v>
      </c>
      <c r="E1165" s="9"/>
      <c r="F1165" s="9">
        <f ca="1">IFERROR(__xludf.DUMMYFUNCTION("""COMPUTED_VALUE"""),44142)</f>
        <v>44142</v>
      </c>
      <c r="G1165" s="9" t="str">
        <f ca="1">IFERROR(__xludf.DUMMYFUNCTION("""COMPUTED_VALUE"""),"1 USD = 159.156 PKR")</f>
        <v>1 USD = 159.156 PKR</v>
      </c>
      <c r="H1165" s="9" t="str">
        <f ca="1">IFERROR(__xludf.DUMMYFUNCTION("""COMPUTED_VALUE"""),"USD PKR rate for 07/11/2020")</f>
        <v>USD PKR rate for 07/11/2020</v>
      </c>
      <c r="I1165" s="9"/>
    </row>
    <row r="1166" spans="1:9" ht="14.25" customHeight="1" x14ac:dyDescent="0.3">
      <c r="A1166" s="6">
        <v>40883</v>
      </c>
      <c r="B1166" s="7">
        <v>89.485699999999994</v>
      </c>
      <c r="C1166" s="8">
        <f t="shared" si="9"/>
        <v>97.272396069314254</v>
      </c>
      <c r="D1166" s="9">
        <f t="shared" si="8"/>
        <v>64.927704787155392</v>
      </c>
      <c r="E1166" s="9"/>
      <c r="F1166" s="9">
        <f ca="1">IFERROR(__xludf.DUMMYFUNCTION("""COMPUTED_VALUE"""),44141)</f>
        <v>44141</v>
      </c>
      <c r="G1166" s="9" t="str">
        <f ca="1">IFERROR(__xludf.DUMMYFUNCTION("""COMPUTED_VALUE"""),"1 USD = 159.1504 PKR")</f>
        <v>1 USD = 159.1504 PKR</v>
      </c>
      <c r="H1166" s="9" t="str">
        <f ca="1">IFERROR(__xludf.DUMMYFUNCTION("""COMPUTED_VALUE"""),"USD PKR rate for 06/11/2020")</f>
        <v>USD PKR rate for 06/11/2020</v>
      </c>
      <c r="I1166" s="9"/>
    </row>
    <row r="1167" spans="1:9" ht="14.25" customHeight="1" x14ac:dyDescent="0.3">
      <c r="A1167" s="6">
        <v>40884</v>
      </c>
      <c r="B1167" s="7">
        <v>89.418000000000006</v>
      </c>
      <c r="C1167" s="8">
        <f t="shared" si="9"/>
        <v>97.2897932148189</v>
      </c>
      <c r="D1167" s="9">
        <f t="shared" si="8"/>
        <v>64.930442619952657</v>
      </c>
      <c r="E1167" s="9"/>
      <c r="F1167" s="9">
        <f ca="1">IFERROR(__xludf.DUMMYFUNCTION("""COMPUTED_VALUE"""),44140)</f>
        <v>44140</v>
      </c>
      <c r="G1167" s="9" t="str">
        <f ca="1">IFERROR(__xludf.DUMMYFUNCTION("""COMPUTED_VALUE"""),"1 USD = 159.5875 PKR")</f>
        <v>1 USD = 159.5875 PKR</v>
      </c>
      <c r="H1167" s="9" t="str">
        <f ca="1">IFERROR(__xludf.DUMMYFUNCTION("""COMPUTED_VALUE"""),"USD PKR rate for 05/11/2020")</f>
        <v>USD PKR rate for 05/11/2020</v>
      </c>
      <c r="I1167" s="9"/>
    </row>
    <row r="1168" spans="1:9" ht="14.25" customHeight="1" x14ac:dyDescent="0.3">
      <c r="A1168" s="6">
        <v>40885</v>
      </c>
      <c r="B1168" s="7">
        <v>88.941199999999995</v>
      </c>
      <c r="C1168" s="8">
        <f t="shared" si="9"/>
        <v>97.307193471798982</v>
      </c>
      <c r="D1168" s="9">
        <f t="shared" si="8"/>
        <v>64.933180452749923</v>
      </c>
      <c r="E1168" s="9"/>
      <c r="F1168" s="9">
        <f ca="1">IFERROR(__xludf.DUMMYFUNCTION("""COMPUTED_VALUE"""),44139)</f>
        <v>44139</v>
      </c>
      <c r="G1168" s="9" t="str">
        <f ca="1">IFERROR(__xludf.DUMMYFUNCTION("""COMPUTED_VALUE"""),"1 USD = 159.5994 PKR")</f>
        <v>1 USD = 159.5994 PKR</v>
      </c>
      <c r="H1168" s="9" t="str">
        <f ca="1">IFERROR(__xludf.DUMMYFUNCTION("""COMPUTED_VALUE"""),"USD PKR rate for 04/11/2020")</f>
        <v>USD PKR rate for 04/11/2020</v>
      </c>
      <c r="I1168" s="9"/>
    </row>
    <row r="1169" spans="1:9" ht="14.25" customHeight="1" x14ac:dyDescent="0.3">
      <c r="A1169" s="6">
        <v>40886</v>
      </c>
      <c r="B1169" s="7">
        <v>89.015699999999995</v>
      </c>
      <c r="C1169" s="8">
        <f t="shared" si="9"/>
        <v>97.324596840810983</v>
      </c>
      <c r="D1169" s="9">
        <f t="shared" si="8"/>
        <v>64.935918285547189</v>
      </c>
      <c r="E1169" s="9"/>
      <c r="F1169" s="9">
        <f ca="1">IFERROR(__xludf.DUMMYFUNCTION("""COMPUTED_VALUE"""),44138)</f>
        <v>44138</v>
      </c>
      <c r="G1169" s="9" t="str">
        <f ca="1">IFERROR(__xludf.DUMMYFUNCTION("""COMPUTED_VALUE"""),"1 USD = 159.848 PKR")</f>
        <v>1 USD = 159.848 PKR</v>
      </c>
      <c r="H1169" s="9" t="str">
        <f ca="1">IFERROR(__xludf.DUMMYFUNCTION("""COMPUTED_VALUE"""),"USD PKR rate for 03/11/2020")</f>
        <v>USD PKR rate for 03/11/2020</v>
      </c>
      <c r="I1169" s="9"/>
    </row>
    <row r="1170" spans="1:9" ht="14.25" customHeight="1" x14ac:dyDescent="0.3">
      <c r="A1170" s="6">
        <v>40887</v>
      </c>
      <c r="B1170" s="7">
        <v>89.015699999999995</v>
      </c>
      <c r="C1170" s="8">
        <f t="shared" si="9"/>
        <v>97.342003322411628</v>
      </c>
      <c r="D1170" s="9">
        <f t="shared" si="8"/>
        <v>64.938656118344468</v>
      </c>
      <c r="E1170" s="9"/>
      <c r="F1170" s="9">
        <f ca="1">IFERROR(__xludf.DUMMYFUNCTION("""COMPUTED_VALUE"""),44137)</f>
        <v>44137</v>
      </c>
      <c r="G1170" s="9" t="str">
        <f ca="1">IFERROR(__xludf.DUMMYFUNCTION("""COMPUTED_VALUE"""),"1 USD = 160.1143 PKR")</f>
        <v>1 USD = 160.1143 PKR</v>
      </c>
      <c r="H1170" s="9" t="str">
        <f ca="1">IFERROR(__xludf.DUMMYFUNCTION("""COMPUTED_VALUE"""),"USD PKR rate for 02/11/2020")</f>
        <v>USD PKR rate for 02/11/2020</v>
      </c>
      <c r="I1170" s="9"/>
    </row>
    <row r="1171" spans="1:9" ht="14.25" customHeight="1" x14ac:dyDescent="0.3">
      <c r="A1171" s="6">
        <v>40888</v>
      </c>
      <c r="B1171" s="7">
        <v>89.123800000000003</v>
      </c>
      <c r="C1171" s="8">
        <f t="shared" si="9"/>
        <v>97.359412917157357</v>
      </c>
      <c r="D1171" s="9">
        <f t="shared" si="8"/>
        <v>64.941393951141734</v>
      </c>
      <c r="E1171" s="9"/>
      <c r="F1171" s="9">
        <f ca="1">IFERROR(__xludf.DUMMYFUNCTION("""COMPUTED_VALUE"""),44136)</f>
        <v>44136</v>
      </c>
      <c r="G1171" s="9" t="str">
        <f ca="1">IFERROR(__xludf.DUMMYFUNCTION("""COMPUTED_VALUE"""),"1 USD = 160.4736 PKR")</f>
        <v>1 USD = 160.4736 PKR</v>
      </c>
      <c r="H1171" s="9" t="str">
        <f ca="1">IFERROR(__xludf.DUMMYFUNCTION("""COMPUTED_VALUE"""),"USD PKR rate for 01/11/2020")</f>
        <v>USD PKR rate for 01/11/2020</v>
      </c>
      <c r="I1171" s="9"/>
    </row>
    <row r="1172" spans="1:9" ht="14.25" customHeight="1" x14ac:dyDescent="0.3">
      <c r="A1172" s="6">
        <v>40889</v>
      </c>
      <c r="B1172" s="7">
        <v>89.197500000000005</v>
      </c>
      <c r="C1172" s="8">
        <f t="shared" si="9"/>
        <v>97.376825625605065</v>
      </c>
      <c r="D1172" s="9">
        <f t="shared" si="8"/>
        <v>64.944131783939</v>
      </c>
      <c r="E1172" s="9"/>
      <c r="F1172" s="9">
        <f ca="1">IFERROR(__xludf.DUMMYFUNCTION("""COMPUTED_VALUE"""),44135)</f>
        <v>44135</v>
      </c>
      <c r="G1172" s="9" t="str">
        <f ca="1">IFERROR(__xludf.DUMMYFUNCTION("""COMPUTED_VALUE"""),"1 USD = 160.45 PKR")</f>
        <v>1 USD = 160.45 PKR</v>
      </c>
      <c r="H1172" s="9" t="str">
        <f ca="1">IFERROR(__xludf.DUMMYFUNCTION("""COMPUTED_VALUE"""),"USD PKR rate for 31/10/2020")</f>
        <v>USD PKR rate for 31/10/2020</v>
      </c>
      <c r="I1172" s="9"/>
    </row>
    <row r="1173" spans="1:9" ht="14.25" customHeight="1" x14ac:dyDescent="0.3">
      <c r="A1173" s="6">
        <v>40890</v>
      </c>
      <c r="B1173" s="7">
        <v>89.216200000000001</v>
      </c>
      <c r="C1173" s="8">
        <f t="shared" si="9"/>
        <v>97.394241448311661</v>
      </c>
      <c r="D1173" s="9">
        <f t="shared" si="8"/>
        <v>64.946869616736265</v>
      </c>
      <c r="E1173" s="9"/>
      <c r="F1173" s="9">
        <f ca="1">IFERROR(__xludf.DUMMYFUNCTION("""COMPUTED_VALUE"""),44134)</f>
        <v>44134</v>
      </c>
      <c r="G1173" s="9" t="str">
        <f ca="1">IFERROR(__xludf.DUMMYFUNCTION("""COMPUTED_VALUE"""),"1 USD = 160.4504 PKR")</f>
        <v>1 USD = 160.4504 PKR</v>
      </c>
      <c r="H1173" s="9" t="str">
        <f ca="1">IFERROR(__xludf.DUMMYFUNCTION("""COMPUTED_VALUE"""),"USD PKR rate for 30/10/2020")</f>
        <v>USD PKR rate for 30/10/2020</v>
      </c>
      <c r="I1173" s="9"/>
    </row>
    <row r="1174" spans="1:9" ht="14.25" customHeight="1" x14ac:dyDescent="0.3">
      <c r="A1174" s="6">
        <v>40891</v>
      </c>
      <c r="B1174" s="7">
        <v>89.594300000000004</v>
      </c>
      <c r="C1174" s="8">
        <f t="shared" si="9"/>
        <v>97.411660385834111</v>
      </c>
      <c r="D1174" s="9">
        <f t="shared" si="8"/>
        <v>64.949607449533531</v>
      </c>
      <c r="E1174" s="9"/>
      <c r="F1174" s="9">
        <f ca="1">IFERROR(__xludf.DUMMYFUNCTION("""COMPUTED_VALUE"""),44133)</f>
        <v>44133</v>
      </c>
      <c r="G1174" s="9" t="str">
        <f ca="1">IFERROR(__xludf.DUMMYFUNCTION("""COMPUTED_VALUE"""),"1 USD = 160.6505 PKR")</f>
        <v>1 USD = 160.6505 PKR</v>
      </c>
      <c r="H1174" s="9" t="str">
        <f ca="1">IFERROR(__xludf.DUMMYFUNCTION("""COMPUTED_VALUE"""),"USD PKR rate for 29/10/2020")</f>
        <v>USD PKR rate for 29/10/2020</v>
      </c>
      <c r="I1174" s="9"/>
    </row>
    <row r="1175" spans="1:9" ht="14.25" customHeight="1" x14ac:dyDescent="0.3">
      <c r="A1175" s="6">
        <v>40892</v>
      </c>
      <c r="B1175" s="7">
        <v>89.564899999999994</v>
      </c>
      <c r="C1175" s="8">
        <f t="shared" si="9"/>
        <v>97.429082438729424</v>
      </c>
      <c r="D1175" s="9">
        <f t="shared" si="8"/>
        <v>64.952345282330796</v>
      </c>
      <c r="E1175" s="9"/>
      <c r="F1175" s="9">
        <f ca="1">IFERROR(__xludf.DUMMYFUNCTION("""COMPUTED_VALUE"""),44132)</f>
        <v>44132</v>
      </c>
      <c r="G1175" s="9" t="str">
        <f ca="1">IFERROR(__xludf.DUMMYFUNCTION("""COMPUTED_VALUE"""),"1 USD = 160.5711 PKR")</f>
        <v>1 USD = 160.5711 PKR</v>
      </c>
      <c r="H1175" s="9" t="str">
        <f ca="1">IFERROR(__xludf.DUMMYFUNCTION("""COMPUTED_VALUE"""),"USD PKR rate for 28/10/2020")</f>
        <v>USD PKR rate for 28/10/2020</v>
      </c>
      <c r="I1175" s="9"/>
    </row>
    <row r="1176" spans="1:9" ht="14.25" customHeight="1" x14ac:dyDescent="0.3">
      <c r="A1176" s="6">
        <v>40893</v>
      </c>
      <c r="B1176" s="7">
        <v>89.728200000000001</v>
      </c>
      <c r="C1176" s="8">
        <f t="shared" si="9"/>
        <v>97.446507607554949</v>
      </c>
      <c r="D1176" s="9">
        <f t="shared" si="8"/>
        <v>64.955083115128062</v>
      </c>
      <c r="E1176" s="9"/>
      <c r="F1176" s="9">
        <f ca="1">IFERROR(__xludf.DUMMYFUNCTION("""COMPUTED_VALUE"""),44131)</f>
        <v>44131</v>
      </c>
      <c r="G1176" s="9" t="str">
        <f ca="1">IFERROR(__xludf.DUMMYFUNCTION("""COMPUTED_VALUE"""),"1 USD = 160.7512 PKR")</f>
        <v>1 USD = 160.7512 PKR</v>
      </c>
      <c r="H1176" s="9" t="str">
        <f ca="1">IFERROR(__xludf.DUMMYFUNCTION("""COMPUTED_VALUE"""),"USD PKR rate for 27/10/2020")</f>
        <v>USD PKR rate for 27/10/2020</v>
      </c>
      <c r="I1176" s="9"/>
    </row>
    <row r="1177" spans="1:9" ht="14.25" customHeight="1" x14ac:dyDescent="0.3">
      <c r="A1177" s="6">
        <v>40894</v>
      </c>
      <c r="B1177" s="7">
        <v>89.728200000000001</v>
      </c>
      <c r="C1177" s="8">
        <f t="shared" si="9"/>
        <v>97.463935892867866</v>
      </c>
      <c r="D1177" s="9">
        <f t="shared" si="8"/>
        <v>64.957820947925327</v>
      </c>
      <c r="E1177" s="9"/>
      <c r="F1177" s="9">
        <f ca="1">IFERROR(__xludf.DUMMYFUNCTION("""COMPUTED_VALUE"""),44130)</f>
        <v>44130</v>
      </c>
      <c r="G1177" s="9" t="str">
        <f ca="1">IFERROR(__xludf.DUMMYFUNCTION("""COMPUTED_VALUE"""),"1 USD = 161.1199 PKR")</f>
        <v>1 USD = 161.1199 PKR</v>
      </c>
      <c r="H1177" s="9" t="str">
        <f ca="1">IFERROR(__xludf.DUMMYFUNCTION("""COMPUTED_VALUE"""),"USD PKR rate for 26/10/2020")</f>
        <v>USD PKR rate for 26/10/2020</v>
      </c>
      <c r="I1177" s="9"/>
    </row>
    <row r="1178" spans="1:9" ht="14.25" customHeight="1" x14ac:dyDescent="0.3">
      <c r="A1178" s="6">
        <v>40895</v>
      </c>
      <c r="B1178" s="7">
        <v>89.878500000000003</v>
      </c>
      <c r="C1178" s="8">
        <f t="shared" si="9"/>
        <v>97.481367295225567</v>
      </c>
      <c r="D1178" s="9">
        <f t="shared" si="8"/>
        <v>64.960558780722593</v>
      </c>
      <c r="E1178" s="9"/>
      <c r="F1178" s="9">
        <f ca="1">IFERROR(__xludf.DUMMYFUNCTION("""COMPUTED_VALUE"""),44129)</f>
        <v>44129</v>
      </c>
      <c r="G1178" s="9" t="str">
        <f ca="1">IFERROR(__xludf.DUMMYFUNCTION("""COMPUTED_VALUE"""),"1 USD = 161.4319 PKR")</f>
        <v>1 USD = 161.4319 PKR</v>
      </c>
      <c r="H1178" s="9" t="str">
        <f ca="1">IFERROR(__xludf.DUMMYFUNCTION("""COMPUTED_VALUE"""),"USD PKR rate for 25/10/2020")</f>
        <v>USD PKR rate for 25/10/2020</v>
      </c>
      <c r="I1178" s="9"/>
    </row>
    <row r="1179" spans="1:9" ht="14.25" customHeight="1" x14ac:dyDescent="0.3">
      <c r="A1179" s="6">
        <v>40896</v>
      </c>
      <c r="B1179" s="7">
        <v>89.760900000000007</v>
      </c>
      <c r="C1179" s="8">
        <f t="shared" si="9"/>
        <v>97.498801815185558</v>
      </c>
      <c r="D1179" s="9">
        <f t="shared" si="8"/>
        <v>64.963296613519859</v>
      </c>
      <c r="E1179" s="9"/>
      <c r="F1179" s="9">
        <f ca="1">IFERROR(__xludf.DUMMYFUNCTION("""COMPUTED_VALUE"""),44128)</f>
        <v>44128</v>
      </c>
      <c r="G1179" s="9" t="str">
        <f ca="1">IFERROR(__xludf.DUMMYFUNCTION("""COMPUTED_VALUE"""),"1 USD = 161.7811 PKR")</f>
        <v>1 USD = 161.7811 PKR</v>
      </c>
      <c r="H1179" s="9" t="str">
        <f ca="1">IFERROR(__xludf.DUMMYFUNCTION("""COMPUTED_VALUE"""),"USD PKR rate for 24/10/2020")</f>
        <v>USD PKR rate for 24/10/2020</v>
      </c>
      <c r="I1179" s="9"/>
    </row>
    <row r="1180" spans="1:9" ht="14.25" customHeight="1" x14ac:dyDescent="0.3">
      <c r="A1180" s="6">
        <v>40897</v>
      </c>
      <c r="B1180" s="7">
        <v>89.970100000000002</v>
      </c>
      <c r="C1180" s="8">
        <f t="shared" si="9"/>
        <v>97.516239453305417</v>
      </c>
      <c r="D1180" s="9">
        <f t="shared" si="8"/>
        <v>64.966034446317124</v>
      </c>
      <c r="E1180" s="9"/>
      <c r="F1180" s="9">
        <f ca="1">IFERROR(__xludf.DUMMYFUNCTION("""COMPUTED_VALUE"""),44127)</f>
        <v>44127</v>
      </c>
      <c r="G1180" s="9" t="str">
        <f ca="1">IFERROR(__xludf.DUMMYFUNCTION("""COMPUTED_VALUE"""),"1 USD = 161.7811 PKR")</f>
        <v>1 USD = 161.7811 PKR</v>
      </c>
      <c r="H1180" s="9" t="str">
        <f ca="1">IFERROR(__xludf.DUMMYFUNCTION("""COMPUTED_VALUE"""),"USD PKR rate for 23/10/2020")</f>
        <v>USD PKR rate for 23/10/2020</v>
      </c>
      <c r="I1180" s="9"/>
    </row>
    <row r="1181" spans="1:9" ht="14.25" customHeight="1" x14ac:dyDescent="0.3">
      <c r="A1181" s="6">
        <v>40898</v>
      </c>
      <c r="B1181" s="7">
        <v>90.051299999999998</v>
      </c>
      <c r="C1181" s="8">
        <f t="shared" si="9"/>
        <v>97.533680210142791</v>
      </c>
      <c r="D1181" s="9">
        <f t="shared" si="8"/>
        <v>64.96877227911439</v>
      </c>
      <c r="E1181" s="9"/>
      <c r="F1181" s="9">
        <f ca="1">IFERROR(__xludf.DUMMYFUNCTION("""COMPUTED_VALUE"""),44126)</f>
        <v>44126</v>
      </c>
      <c r="G1181" s="9" t="str">
        <f ca="1">IFERROR(__xludf.DUMMYFUNCTION("""COMPUTED_VALUE"""),"1 USD = 161.8002 PKR")</f>
        <v>1 USD = 161.8002 PKR</v>
      </c>
      <c r="H1181" s="9" t="str">
        <f ca="1">IFERROR(__xludf.DUMMYFUNCTION("""COMPUTED_VALUE"""),"USD PKR rate for 22/10/2020")</f>
        <v>USD PKR rate for 22/10/2020</v>
      </c>
      <c r="I1181" s="9"/>
    </row>
    <row r="1182" spans="1:9" ht="14.25" customHeight="1" x14ac:dyDescent="0.3">
      <c r="A1182" s="6">
        <v>40899</v>
      </c>
      <c r="B1182" s="7">
        <v>89.657300000000006</v>
      </c>
      <c r="C1182" s="8">
        <f t="shared" si="9"/>
        <v>97.551124086255498</v>
      </c>
      <c r="D1182" s="9">
        <f t="shared" si="8"/>
        <v>64.971510111911655</v>
      </c>
      <c r="E1182" s="9"/>
      <c r="F1182" s="9">
        <f ca="1">IFERROR(__xludf.DUMMYFUNCTION("""COMPUTED_VALUE"""),44125)</f>
        <v>44125</v>
      </c>
      <c r="G1182" s="9" t="str">
        <f ca="1">IFERROR(__xludf.DUMMYFUNCTION("""COMPUTED_VALUE"""),"1 USD = 162.3018 PKR")</f>
        <v>1 USD = 162.3018 PKR</v>
      </c>
      <c r="H1182" s="9" t="str">
        <f ca="1">IFERROR(__xludf.DUMMYFUNCTION("""COMPUTED_VALUE"""),"USD PKR rate for 21/10/2020")</f>
        <v>USD PKR rate for 21/10/2020</v>
      </c>
      <c r="I1182" s="9"/>
    </row>
    <row r="1183" spans="1:9" ht="14.25" customHeight="1" x14ac:dyDescent="0.3">
      <c r="A1183" s="6">
        <v>40900</v>
      </c>
      <c r="B1183" s="7">
        <v>89.325000000000003</v>
      </c>
      <c r="C1183" s="8">
        <f t="shared" si="9"/>
        <v>97.568571082201402</v>
      </c>
      <c r="D1183" s="9">
        <f t="shared" si="8"/>
        <v>64.974247944708921</v>
      </c>
      <c r="E1183" s="9"/>
      <c r="F1183" s="9">
        <f ca="1">IFERROR(__xludf.DUMMYFUNCTION("""COMPUTED_VALUE"""),44124)</f>
        <v>44124</v>
      </c>
      <c r="G1183" s="9" t="str">
        <f ca="1">IFERROR(__xludf.DUMMYFUNCTION("""COMPUTED_VALUE"""),"1 USD = 162.3106 PKR")</f>
        <v>1 USD = 162.3106 PKR</v>
      </c>
      <c r="H1183" s="9" t="str">
        <f ca="1">IFERROR(__xludf.DUMMYFUNCTION("""COMPUTED_VALUE"""),"USD PKR rate for 20/10/2020")</f>
        <v>USD PKR rate for 20/10/2020</v>
      </c>
      <c r="I1183" s="9"/>
    </row>
    <row r="1184" spans="1:9" ht="14.25" customHeight="1" x14ac:dyDescent="0.3">
      <c r="A1184" s="6">
        <v>40901</v>
      </c>
      <c r="B1184" s="7">
        <v>89.319199999999995</v>
      </c>
      <c r="C1184" s="8">
        <f t="shared" si="9"/>
        <v>97.586021198538404</v>
      </c>
      <c r="D1184" s="9">
        <f t="shared" si="8"/>
        <v>64.976985777506187</v>
      </c>
      <c r="E1184" s="9"/>
      <c r="F1184" s="9">
        <f ca="1">IFERROR(__xludf.DUMMYFUNCTION("""COMPUTED_VALUE"""),44123)</f>
        <v>44123</v>
      </c>
      <c r="G1184" s="9" t="str">
        <f ca="1">IFERROR(__xludf.DUMMYFUNCTION("""COMPUTED_VALUE"""),"1 USD = 162.4717 PKR")</f>
        <v>1 USD = 162.4717 PKR</v>
      </c>
      <c r="H1184" s="9" t="str">
        <f ca="1">IFERROR(__xludf.DUMMYFUNCTION("""COMPUTED_VALUE"""),"USD PKR rate for 19/10/2020")</f>
        <v>USD PKR rate for 19/10/2020</v>
      </c>
      <c r="I1184" s="9"/>
    </row>
    <row r="1185" spans="1:9" ht="14.25" customHeight="1" x14ac:dyDescent="0.3">
      <c r="A1185" s="6">
        <v>40902</v>
      </c>
      <c r="B1185" s="7">
        <v>89.284899999999993</v>
      </c>
      <c r="C1185" s="8">
        <f t="shared" si="9"/>
        <v>97.603474435824765</v>
      </c>
      <c r="D1185" s="9">
        <f t="shared" si="8"/>
        <v>64.979723610303452</v>
      </c>
      <c r="E1185" s="9"/>
      <c r="F1185" s="9">
        <f ca="1">IFERROR(__xludf.DUMMYFUNCTION("""COMPUTED_VALUE"""),44122)</f>
        <v>44122</v>
      </c>
      <c r="G1185" s="9" t="str">
        <f ca="1">IFERROR(__xludf.DUMMYFUNCTION("""COMPUTED_VALUE"""),"1 USD = 162.5815 PKR")</f>
        <v>1 USD = 162.5815 PKR</v>
      </c>
      <c r="H1185" s="9" t="str">
        <f ca="1">IFERROR(__xludf.DUMMYFUNCTION("""COMPUTED_VALUE"""),"USD PKR rate for 18/10/2020")</f>
        <v>USD PKR rate for 18/10/2020</v>
      </c>
      <c r="I1185" s="9"/>
    </row>
    <row r="1186" spans="1:9" ht="14.25" customHeight="1" x14ac:dyDescent="0.3">
      <c r="A1186" s="6">
        <v>40903</v>
      </c>
      <c r="B1186" s="7">
        <v>89.1477</v>
      </c>
      <c r="C1186" s="8">
        <f t="shared" si="9"/>
        <v>97.620930794618573</v>
      </c>
      <c r="D1186" s="9">
        <f t="shared" si="8"/>
        <v>64.982461443100718</v>
      </c>
      <c r="E1186" s="9"/>
      <c r="F1186" s="9">
        <f ca="1">IFERROR(__xludf.DUMMYFUNCTION("""COMPUTED_VALUE"""),44121)</f>
        <v>44121</v>
      </c>
      <c r="G1186" s="9" t="str">
        <f ca="1">IFERROR(__xludf.DUMMYFUNCTION("""COMPUTED_VALUE"""),"1 USD = 162.7499 PKR")</f>
        <v>1 USD = 162.7499 PKR</v>
      </c>
      <c r="H1186" s="9" t="str">
        <f ca="1">IFERROR(__xludf.DUMMYFUNCTION("""COMPUTED_VALUE"""),"USD PKR rate for 17/10/2020")</f>
        <v>USD PKR rate for 17/10/2020</v>
      </c>
      <c r="I1186" s="9"/>
    </row>
    <row r="1187" spans="1:9" ht="14.25" customHeight="1" x14ac:dyDescent="0.3">
      <c r="A1187" s="6">
        <v>40904</v>
      </c>
      <c r="B1187" s="7">
        <v>89.909300000000002</v>
      </c>
      <c r="C1187" s="8">
        <f t="shared" si="9"/>
        <v>97.638390275478088</v>
      </c>
      <c r="D1187" s="9">
        <f t="shared" si="8"/>
        <v>64.985199275897983</v>
      </c>
      <c r="E1187" s="9"/>
      <c r="F1187" s="9">
        <f ca="1">IFERROR(__xludf.DUMMYFUNCTION("""COMPUTED_VALUE"""),44120)</f>
        <v>44120</v>
      </c>
      <c r="G1187" s="9" t="str">
        <f ca="1">IFERROR(__xludf.DUMMYFUNCTION("""COMPUTED_VALUE"""),"1 USD = 162.7503 PKR")</f>
        <v>1 USD = 162.7503 PKR</v>
      </c>
      <c r="H1187" s="9" t="str">
        <f ca="1">IFERROR(__xludf.DUMMYFUNCTION("""COMPUTED_VALUE"""),"USD PKR rate for 16/10/2020")</f>
        <v>USD PKR rate for 16/10/2020</v>
      </c>
      <c r="I1187" s="9"/>
    </row>
    <row r="1188" spans="1:9" ht="14.25" customHeight="1" x14ac:dyDescent="0.3">
      <c r="A1188" s="6">
        <v>40905</v>
      </c>
      <c r="B1188" s="7">
        <v>90.064400000000006</v>
      </c>
      <c r="C1188" s="8">
        <f t="shared" si="9"/>
        <v>97.655852878961724</v>
      </c>
      <c r="D1188" s="9">
        <f t="shared" si="8"/>
        <v>64.987937108695249</v>
      </c>
      <c r="E1188" s="9"/>
      <c r="F1188" s="9">
        <f ca="1">IFERROR(__xludf.DUMMYFUNCTION("""COMPUTED_VALUE"""),44119)</f>
        <v>44119</v>
      </c>
      <c r="G1188" s="9" t="str">
        <f ca="1">IFERROR(__xludf.DUMMYFUNCTION("""COMPUTED_VALUE"""),"1 USD = 162.9466 PKR")</f>
        <v>1 USD = 162.9466 PKR</v>
      </c>
      <c r="H1188" s="9" t="str">
        <f ca="1">IFERROR(__xludf.DUMMYFUNCTION("""COMPUTED_VALUE"""),"USD PKR rate for 15/10/2020")</f>
        <v>USD PKR rate for 15/10/2020</v>
      </c>
      <c r="I1188" s="9"/>
    </row>
    <row r="1189" spans="1:9" ht="14.25" customHeight="1" x14ac:dyDescent="0.3">
      <c r="A1189" s="6">
        <v>40906</v>
      </c>
      <c r="B1189" s="7">
        <v>89.901700000000019</v>
      </c>
      <c r="C1189" s="8">
        <f t="shared" si="9"/>
        <v>97.673318605627955</v>
      </c>
      <c r="D1189" s="9">
        <f t="shared" si="8"/>
        <v>64.990674941492514</v>
      </c>
      <c r="E1189" s="9"/>
      <c r="F1189" s="9">
        <f ca="1">IFERROR(__xludf.DUMMYFUNCTION("""COMPUTED_VALUE"""),44118)</f>
        <v>44118</v>
      </c>
      <c r="G1189" s="9" t="str">
        <f ca="1">IFERROR(__xludf.DUMMYFUNCTION("""COMPUTED_VALUE"""),"1 USD = 163.8052 PKR")</f>
        <v>1 USD = 163.8052 PKR</v>
      </c>
      <c r="H1189" s="9" t="str">
        <f ca="1">IFERROR(__xludf.DUMMYFUNCTION("""COMPUTED_VALUE"""),"USD PKR rate for 14/10/2020")</f>
        <v>USD PKR rate for 14/10/2020</v>
      </c>
      <c r="I1189" s="9"/>
    </row>
    <row r="1190" spans="1:9" ht="14.25" customHeight="1" x14ac:dyDescent="0.3">
      <c r="A1190" s="6">
        <v>40907</v>
      </c>
      <c r="B1190" s="7">
        <v>89.883200000000002</v>
      </c>
      <c r="C1190" s="8">
        <f t="shared" si="9"/>
        <v>97.690787456035352</v>
      </c>
      <c r="D1190" s="9">
        <f t="shared" si="8"/>
        <v>64.99341277428978</v>
      </c>
      <c r="E1190" s="9"/>
      <c r="F1190" s="9">
        <f ca="1">IFERROR(__xludf.DUMMYFUNCTION("""COMPUTED_VALUE"""),44117)</f>
        <v>44117</v>
      </c>
      <c r="G1190" s="9" t="str">
        <f ca="1">IFERROR(__xludf.DUMMYFUNCTION("""COMPUTED_VALUE"""),"1 USD = 163.8891 PKR")</f>
        <v>1 USD = 163.8891 PKR</v>
      </c>
      <c r="H1190" s="9" t="str">
        <f ca="1">IFERROR(__xludf.DUMMYFUNCTION("""COMPUTED_VALUE"""),"USD PKR rate for 13/10/2020")</f>
        <v>USD PKR rate for 13/10/2020</v>
      </c>
      <c r="I1190" s="9"/>
    </row>
    <row r="1191" spans="1:9" ht="14.25" customHeight="1" x14ac:dyDescent="0.3">
      <c r="A1191" s="6">
        <v>40908</v>
      </c>
      <c r="B1191" s="7">
        <v>89.959900000000005</v>
      </c>
      <c r="C1191" s="8">
        <f t="shared" si="9"/>
        <v>97.708259430742572</v>
      </c>
      <c r="D1191" s="9">
        <f t="shared" si="8"/>
        <v>64.996150607087046</v>
      </c>
      <c r="E1191" s="9"/>
      <c r="F1191" s="9">
        <f ca="1">IFERROR(__xludf.DUMMYFUNCTION("""COMPUTED_VALUE"""),44116)</f>
        <v>44116</v>
      </c>
      <c r="G1191" s="9" t="str">
        <f ca="1">IFERROR(__xludf.DUMMYFUNCTION("""COMPUTED_VALUE"""),"1 USD = 163.8436 PKR")</f>
        <v>1 USD = 163.8436 PKR</v>
      </c>
      <c r="H1191" s="9" t="str">
        <f ca="1">IFERROR(__xludf.DUMMYFUNCTION("""COMPUTED_VALUE"""),"USD PKR rate for 12/10/2020")</f>
        <v>USD PKR rate for 12/10/2020</v>
      </c>
      <c r="I1191" s="9"/>
    </row>
    <row r="1192" spans="1:9" ht="14.25" customHeight="1" x14ac:dyDescent="0.3">
      <c r="A1192" s="6">
        <v>40909</v>
      </c>
      <c r="B1192" s="7">
        <v>90.191900000000004</v>
      </c>
      <c r="C1192" s="8">
        <f t="shared" si="9"/>
        <v>97.725734530308443</v>
      </c>
      <c r="D1192" s="9">
        <f t="shared" si="8"/>
        <v>64.998888439884311</v>
      </c>
      <c r="E1192" s="9"/>
      <c r="F1192" s="9">
        <f ca="1">IFERROR(__xludf.DUMMYFUNCTION("""COMPUTED_VALUE"""),44115)</f>
        <v>44115</v>
      </c>
      <c r="G1192" s="9" t="str">
        <f ca="1">IFERROR(__xludf.DUMMYFUNCTION("""COMPUTED_VALUE"""),"1 USD = 163.8041 PKR")</f>
        <v>1 USD = 163.8041 PKR</v>
      </c>
      <c r="H1192" s="9" t="str">
        <f ca="1">IFERROR(__xludf.DUMMYFUNCTION("""COMPUTED_VALUE"""),"USD PKR rate for 11/10/2020")</f>
        <v>USD PKR rate for 11/10/2020</v>
      </c>
      <c r="I1192" s="9"/>
    </row>
    <row r="1193" spans="1:9" ht="14.25" customHeight="1" x14ac:dyDescent="0.3">
      <c r="A1193" s="6">
        <v>40910</v>
      </c>
      <c r="B1193" s="7">
        <v>90.039599999999993</v>
      </c>
      <c r="C1193" s="8">
        <f t="shared" si="9"/>
        <v>97.743212755291836</v>
      </c>
      <c r="D1193" s="9">
        <f t="shared" si="8"/>
        <v>65.001626272681577</v>
      </c>
      <c r="E1193" s="9"/>
      <c r="F1193" s="9">
        <f ca="1">IFERROR(__xludf.DUMMYFUNCTION("""COMPUTED_VALUE"""),44114)</f>
        <v>44114</v>
      </c>
      <c r="G1193" s="9" t="str">
        <f ca="1">IFERROR(__xludf.DUMMYFUNCTION("""COMPUTED_VALUE"""),"1 USD = 163.8062 PKR")</f>
        <v>1 USD = 163.8062 PKR</v>
      </c>
      <c r="H1193" s="9" t="str">
        <f ca="1">IFERROR(__xludf.DUMMYFUNCTION("""COMPUTED_VALUE"""),"USD PKR rate for 10/10/2020")</f>
        <v>USD PKR rate for 10/10/2020</v>
      </c>
      <c r="I1193" s="9"/>
    </row>
    <row r="1194" spans="1:9" ht="14.25" customHeight="1" x14ac:dyDescent="0.3">
      <c r="A1194" s="6">
        <v>40911</v>
      </c>
      <c r="B1194" s="7">
        <v>90.171999999999997</v>
      </c>
      <c r="C1194" s="8">
        <f t="shared" si="9"/>
        <v>97.760694106251606</v>
      </c>
      <c r="D1194" s="9">
        <f t="shared" si="8"/>
        <v>65.004364105478842</v>
      </c>
      <c r="E1194" s="9"/>
      <c r="F1194" s="9">
        <f ca="1">IFERROR(__xludf.DUMMYFUNCTION("""COMPUTED_VALUE"""),44113)</f>
        <v>44113</v>
      </c>
      <c r="G1194" s="9" t="str">
        <f ca="1">IFERROR(__xludf.DUMMYFUNCTION("""COMPUTED_VALUE"""),"1 USD = 163.7566 PKR")</f>
        <v>1 USD = 163.7566 PKR</v>
      </c>
      <c r="H1194" s="9" t="str">
        <f ca="1">IFERROR(__xludf.DUMMYFUNCTION("""COMPUTED_VALUE"""),"USD PKR rate for 09/10/2020")</f>
        <v>USD PKR rate for 09/10/2020</v>
      </c>
      <c r="I1194" s="9"/>
    </row>
    <row r="1195" spans="1:9" ht="14.25" customHeight="1" x14ac:dyDescent="0.3">
      <c r="A1195" s="6">
        <v>40912</v>
      </c>
      <c r="B1195" s="7">
        <v>90.316299999999998</v>
      </c>
      <c r="C1195" s="8">
        <f t="shared" si="9"/>
        <v>97.778178583747049</v>
      </c>
      <c r="D1195" s="9">
        <f t="shared" si="8"/>
        <v>65.007101938276108</v>
      </c>
      <c r="E1195" s="9"/>
      <c r="F1195" s="9">
        <f ca="1">IFERROR(__xludf.DUMMYFUNCTION("""COMPUTED_VALUE"""),44112)</f>
        <v>44112</v>
      </c>
      <c r="G1195" s="9" t="str">
        <f ca="1">IFERROR(__xludf.DUMMYFUNCTION("""COMPUTED_VALUE"""),"1 USD = 163.9938 PKR")</f>
        <v>1 USD = 163.9938 PKR</v>
      </c>
      <c r="H1195" s="9" t="str">
        <f ca="1">IFERROR(__xludf.DUMMYFUNCTION("""COMPUTED_VALUE"""),"USD PKR rate for 08/10/2020")</f>
        <v>USD PKR rate for 08/10/2020</v>
      </c>
      <c r="I1195" s="9"/>
    </row>
    <row r="1196" spans="1:9" ht="14.25" customHeight="1" x14ac:dyDescent="0.3">
      <c r="A1196" s="6">
        <v>40913</v>
      </c>
      <c r="B1196" s="7">
        <v>90.380600000000001</v>
      </c>
      <c r="C1196" s="8">
        <f t="shared" si="9"/>
        <v>97.795666188337236</v>
      </c>
      <c r="D1196" s="9">
        <f t="shared" si="8"/>
        <v>65.009839771073374</v>
      </c>
      <c r="E1196" s="9"/>
      <c r="F1196" s="9">
        <f ca="1">IFERROR(__xludf.DUMMYFUNCTION("""COMPUTED_VALUE"""),44111)</f>
        <v>44111</v>
      </c>
      <c r="G1196" s="9" t="str">
        <f ca="1">IFERROR(__xludf.DUMMYFUNCTION("""COMPUTED_VALUE"""),"1 USD = 164.2189 PKR")</f>
        <v>1 USD = 164.2189 PKR</v>
      </c>
      <c r="H1196" s="9" t="str">
        <f ca="1">IFERROR(__xludf.DUMMYFUNCTION("""COMPUTED_VALUE"""),"USD PKR rate for 07/10/2020")</f>
        <v>USD PKR rate for 07/10/2020</v>
      </c>
      <c r="I1196" s="9"/>
    </row>
    <row r="1197" spans="1:9" ht="14.25" customHeight="1" x14ac:dyDescent="0.3">
      <c r="A1197" s="6">
        <v>40914</v>
      </c>
      <c r="B1197" s="7">
        <v>90.682400000000001</v>
      </c>
      <c r="C1197" s="8">
        <f t="shared" si="9"/>
        <v>97.813156920581463</v>
      </c>
      <c r="D1197" s="9">
        <f t="shared" si="8"/>
        <v>65.012577603870639</v>
      </c>
      <c r="E1197" s="9"/>
      <c r="F1197" s="9">
        <f ca="1">IFERROR(__xludf.DUMMYFUNCTION("""COMPUTED_VALUE"""),44110)</f>
        <v>44110</v>
      </c>
      <c r="G1197" s="9" t="str">
        <f ca="1">IFERROR(__xludf.DUMMYFUNCTION("""COMPUTED_VALUE"""),"1 USD = 164.3022 PKR")</f>
        <v>1 USD = 164.3022 PKR</v>
      </c>
      <c r="H1197" s="9" t="str">
        <f ca="1">IFERROR(__xludf.DUMMYFUNCTION("""COMPUTED_VALUE"""),"USD PKR rate for 06/10/2020")</f>
        <v>USD PKR rate for 06/10/2020</v>
      </c>
      <c r="I1197" s="9"/>
    </row>
    <row r="1198" spans="1:9" ht="14.25" customHeight="1" x14ac:dyDescent="0.3">
      <c r="A1198" s="6">
        <v>40915</v>
      </c>
      <c r="B1198" s="7">
        <v>90.692499999999995</v>
      </c>
      <c r="C1198" s="8">
        <f t="shared" si="9"/>
        <v>97.830650781039083</v>
      </c>
      <c r="D1198" s="9">
        <f t="shared" si="8"/>
        <v>65.015315436667905</v>
      </c>
      <c r="E1198" s="9"/>
      <c r="F1198" s="9">
        <f ca="1">IFERROR(__xludf.DUMMYFUNCTION("""COMPUTED_VALUE"""),44109)</f>
        <v>44109</v>
      </c>
      <c r="G1198" s="9" t="str">
        <f ca="1">IFERROR(__xludf.DUMMYFUNCTION("""COMPUTED_VALUE"""),"1 USD = 164.6628 PKR")</f>
        <v>1 USD = 164.6628 PKR</v>
      </c>
      <c r="H1198" s="9" t="str">
        <f ca="1">IFERROR(__xludf.DUMMYFUNCTION("""COMPUTED_VALUE"""),"USD PKR rate for 05/10/2020")</f>
        <v>USD PKR rate for 05/10/2020</v>
      </c>
      <c r="I1198" s="9"/>
    </row>
    <row r="1199" spans="1:9" ht="14.25" customHeight="1" x14ac:dyDescent="0.3">
      <c r="A1199" s="6">
        <v>40916</v>
      </c>
      <c r="B1199" s="7">
        <v>90.745400000000004</v>
      </c>
      <c r="C1199" s="8">
        <f t="shared" si="9"/>
        <v>97.848147770269605</v>
      </c>
      <c r="D1199" s="9">
        <f t="shared" si="8"/>
        <v>65.01805326946517</v>
      </c>
      <c r="E1199" s="9"/>
      <c r="F1199" s="9">
        <f ca="1">IFERROR(__xludf.DUMMYFUNCTION("""COMPUTED_VALUE"""),44108)</f>
        <v>44108</v>
      </c>
      <c r="G1199" s="9" t="str">
        <f ca="1">IFERROR(__xludf.DUMMYFUNCTION("""COMPUTED_VALUE"""),"1 USD = 164.5266 PKR")</f>
        <v>1 USD = 164.5266 PKR</v>
      </c>
      <c r="H1199" s="9" t="str">
        <f ca="1">IFERROR(__xludf.DUMMYFUNCTION("""COMPUTED_VALUE"""),"USD PKR rate for 04/10/2020")</f>
        <v>USD PKR rate for 04/10/2020</v>
      </c>
      <c r="I1199" s="9"/>
    </row>
    <row r="1200" spans="1:9" ht="14.25" customHeight="1" x14ac:dyDescent="0.3">
      <c r="A1200" s="6">
        <v>40917</v>
      </c>
      <c r="B1200" s="7">
        <v>90.516400000000004</v>
      </c>
      <c r="C1200" s="8">
        <f t="shared" si="9"/>
        <v>97.865647888832584</v>
      </c>
      <c r="D1200" s="9">
        <f t="shared" si="8"/>
        <v>65.020791102262436</v>
      </c>
      <c r="E1200" s="9"/>
      <c r="F1200" s="9">
        <f ca="1">IFERROR(__xludf.DUMMYFUNCTION("""COMPUTED_VALUE"""),44107)</f>
        <v>44107</v>
      </c>
      <c r="G1200" s="9" t="str">
        <f ca="1">IFERROR(__xludf.DUMMYFUNCTION("""COMPUTED_VALUE"""),"1 USD = 164.9564 PKR")</f>
        <v>1 USD = 164.9564 PKR</v>
      </c>
      <c r="H1200" s="9" t="str">
        <f ca="1">IFERROR(__xludf.DUMMYFUNCTION("""COMPUTED_VALUE"""),"USD PKR rate for 03/10/2020")</f>
        <v>USD PKR rate for 03/10/2020</v>
      </c>
      <c r="I1200" s="9"/>
    </row>
    <row r="1201" spans="1:9" ht="14.25" customHeight="1" x14ac:dyDescent="0.3">
      <c r="A1201" s="6">
        <v>40918</v>
      </c>
      <c r="B1201" s="7">
        <v>90.422799999999995</v>
      </c>
      <c r="C1201" s="8">
        <f t="shared" si="9"/>
        <v>97.883151137287726</v>
      </c>
      <c r="D1201" s="9">
        <f t="shared" si="8"/>
        <v>65.023528935059701</v>
      </c>
      <c r="E1201" s="9"/>
      <c r="F1201" s="9">
        <f ca="1">IFERROR(__xludf.DUMMYFUNCTION("""COMPUTED_VALUE"""),44106)</f>
        <v>44106</v>
      </c>
      <c r="G1201" s="9" t="str">
        <f ca="1">IFERROR(__xludf.DUMMYFUNCTION("""COMPUTED_VALUE"""),"1 USD = 164.9437 PKR")</f>
        <v>1 USD = 164.9437 PKR</v>
      </c>
      <c r="H1201" s="9" t="str">
        <f ca="1">IFERROR(__xludf.DUMMYFUNCTION("""COMPUTED_VALUE"""),"USD PKR rate for 02/10/2020")</f>
        <v>USD PKR rate for 02/10/2020</v>
      </c>
      <c r="I1201" s="9"/>
    </row>
    <row r="1202" spans="1:9" ht="14.25" customHeight="1" x14ac:dyDescent="0.3">
      <c r="A1202" s="6">
        <v>40919</v>
      </c>
      <c r="B1202" s="7">
        <v>89.967500000000001</v>
      </c>
      <c r="C1202" s="8">
        <f t="shared" si="9"/>
        <v>97.900657516194798</v>
      </c>
      <c r="D1202" s="9">
        <f t="shared" si="8"/>
        <v>65.026266767856967</v>
      </c>
      <c r="E1202" s="9"/>
      <c r="F1202" s="9">
        <f ca="1">IFERROR(__xludf.DUMMYFUNCTION("""COMPUTED_VALUE"""),44105)</f>
        <v>44105</v>
      </c>
      <c r="G1202" s="9" t="str">
        <f ca="1">IFERROR(__xludf.DUMMYFUNCTION("""COMPUTED_VALUE"""),"1 USD = 165.0653 PKR")</f>
        <v>1 USD = 165.0653 PKR</v>
      </c>
      <c r="H1202" s="9" t="str">
        <f ca="1">IFERROR(__xludf.DUMMYFUNCTION("""COMPUTED_VALUE"""),"USD PKR rate for 01/10/2020")</f>
        <v>USD PKR rate for 01/10/2020</v>
      </c>
      <c r="I1202" s="9"/>
    </row>
    <row r="1203" spans="1:9" ht="14.25" customHeight="1" x14ac:dyDescent="0.3">
      <c r="A1203" s="6">
        <v>40920</v>
      </c>
      <c r="B1203" s="7">
        <v>90.064099999999996</v>
      </c>
      <c r="C1203" s="8">
        <f t="shared" si="9"/>
        <v>97.918167026113608</v>
      </c>
      <c r="D1203" s="9">
        <f t="shared" si="8"/>
        <v>65.029004600654233</v>
      </c>
      <c r="E1203" s="9"/>
      <c r="F1203" s="9">
        <f ca="1">IFERROR(__xludf.DUMMYFUNCTION("""COMPUTED_VALUE"""),44104)</f>
        <v>44104</v>
      </c>
      <c r="G1203" s="9" t="str">
        <f ca="1">IFERROR(__xludf.DUMMYFUNCTION("""COMPUTED_VALUE"""),"1 USD = 165.6486 PKR")</f>
        <v>1 USD = 165.6486 PKR</v>
      </c>
      <c r="H1203" s="9" t="str">
        <f ca="1">IFERROR(__xludf.DUMMYFUNCTION("""COMPUTED_VALUE"""),"USD PKR rate for 30/09/2020")</f>
        <v>USD PKR rate for 30/09/2020</v>
      </c>
      <c r="I1203" s="9"/>
    </row>
    <row r="1204" spans="1:9" ht="14.25" customHeight="1" x14ac:dyDescent="0.3">
      <c r="A1204" s="6">
        <v>40921</v>
      </c>
      <c r="B1204" s="7">
        <v>90.354900000000001</v>
      </c>
      <c r="C1204" s="8">
        <f t="shared" si="9"/>
        <v>97.935679667604276</v>
      </c>
      <c r="D1204" s="9">
        <f t="shared" si="8"/>
        <v>65.031742433451498</v>
      </c>
      <c r="E1204" s="9"/>
      <c r="F1204" s="9">
        <f ca="1">IFERROR(__xludf.DUMMYFUNCTION("""COMPUTED_VALUE"""),44103)</f>
        <v>44103</v>
      </c>
      <c r="G1204" s="9" t="str">
        <f ca="1">IFERROR(__xludf.DUMMYFUNCTION("""COMPUTED_VALUE"""),"1 USD = 165.9486 PKR")</f>
        <v>1 USD = 165.9486 PKR</v>
      </c>
      <c r="H1204" s="9" t="str">
        <f ca="1">IFERROR(__xludf.DUMMYFUNCTION("""COMPUTED_VALUE"""),"USD PKR rate for 29/09/2020")</f>
        <v>USD PKR rate for 29/09/2020</v>
      </c>
      <c r="I1204" s="9"/>
    </row>
    <row r="1205" spans="1:9" ht="14.25" customHeight="1" x14ac:dyDescent="0.3">
      <c r="A1205" s="6">
        <v>40922</v>
      </c>
      <c r="B1205" s="7">
        <v>90.354900000000001</v>
      </c>
      <c r="C1205" s="8">
        <f t="shared" si="9"/>
        <v>97.953195441226825</v>
      </c>
      <c r="D1205" s="9">
        <f t="shared" si="8"/>
        <v>65.034480266248764</v>
      </c>
      <c r="E1205" s="9"/>
      <c r="F1205" s="9">
        <f ca="1">IFERROR(__xludf.DUMMYFUNCTION("""COMPUTED_VALUE"""),44102)</f>
        <v>44102</v>
      </c>
      <c r="G1205" s="9" t="str">
        <f ca="1">IFERROR(__xludf.DUMMYFUNCTION("""COMPUTED_VALUE"""),"1 USD = 166.028 PKR")</f>
        <v>1 USD = 166.028 PKR</v>
      </c>
      <c r="H1205" s="9" t="str">
        <f ca="1">IFERROR(__xludf.DUMMYFUNCTION("""COMPUTED_VALUE"""),"USD PKR rate for 28/09/2020")</f>
        <v>USD PKR rate for 28/09/2020</v>
      </c>
      <c r="I1205" s="9"/>
    </row>
    <row r="1206" spans="1:9" ht="14.25" customHeight="1" x14ac:dyDescent="0.3">
      <c r="A1206" s="6">
        <v>40923</v>
      </c>
      <c r="B1206" s="7">
        <v>90.455200000000019</v>
      </c>
      <c r="C1206" s="8">
        <f t="shared" si="9"/>
        <v>97.970714347541431</v>
      </c>
      <c r="D1206" s="9">
        <f t="shared" si="8"/>
        <v>65.037218099046029</v>
      </c>
      <c r="E1206" s="9"/>
      <c r="F1206" s="9">
        <f ca="1">IFERROR(__xludf.DUMMYFUNCTION("""COMPUTED_VALUE"""),44101)</f>
        <v>44101</v>
      </c>
      <c r="G1206" s="9" t="str">
        <f ca="1">IFERROR(__xludf.DUMMYFUNCTION("""COMPUTED_VALUE"""),"1 USD = 165.7008 PKR")</f>
        <v>1 USD = 165.7008 PKR</v>
      </c>
      <c r="H1206" s="9" t="str">
        <f ca="1">IFERROR(__xludf.DUMMYFUNCTION("""COMPUTED_VALUE"""),"USD PKR rate for 27/09/2020")</f>
        <v>USD PKR rate for 27/09/2020</v>
      </c>
      <c r="I1206" s="9"/>
    </row>
    <row r="1207" spans="1:9" ht="14.25" customHeight="1" x14ac:dyDescent="0.3">
      <c r="A1207" s="6">
        <v>40924</v>
      </c>
      <c r="B1207" s="7">
        <v>90.278599999999997</v>
      </c>
      <c r="C1207" s="8">
        <f t="shared" si="9"/>
        <v>97.988236387108373</v>
      </c>
      <c r="D1207" s="9">
        <f t="shared" si="8"/>
        <v>65.039955931843295</v>
      </c>
      <c r="E1207" s="9"/>
      <c r="F1207" s="9">
        <f ca="1">IFERROR(__xludf.DUMMYFUNCTION("""COMPUTED_VALUE"""),44100)</f>
        <v>44100</v>
      </c>
      <c r="G1207" s="9" t="str">
        <f ca="1">IFERROR(__xludf.DUMMYFUNCTION("""COMPUTED_VALUE"""),"1 USD = 165.6499 PKR")</f>
        <v>1 USD = 165.6499 PKR</v>
      </c>
      <c r="H1207" s="9" t="str">
        <f ca="1">IFERROR(__xludf.DUMMYFUNCTION("""COMPUTED_VALUE"""),"USD PKR rate for 26/09/2020")</f>
        <v>USD PKR rate for 26/09/2020</v>
      </c>
      <c r="I1207" s="9"/>
    </row>
    <row r="1208" spans="1:9" ht="14.25" customHeight="1" x14ac:dyDescent="0.3">
      <c r="A1208" s="6">
        <v>40925</v>
      </c>
      <c r="B1208" s="7">
        <v>90.392200000000003</v>
      </c>
      <c r="C1208" s="8">
        <f t="shared" si="9"/>
        <v>98.005761560488054</v>
      </c>
      <c r="D1208" s="9">
        <f t="shared" si="8"/>
        <v>65.042693764640561</v>
      </c>
      <c r="E1208" s="9"/>
      <c r="F1208" s="9">
        <f ca="1">IFERROR(__xludf.DUMMYFUNCTION("""COMPUTED_VALUE"""),44099)</f>
        <v>44099</v>
      </c>
      <c r="G1208" s="9" t="str">
        <f ca="1">IFERROR(__xludf.DUMMYFUNCTION("""COMPUTED_VALUE"""),"1 USD = 165.6499 PKR")</f>
        <v>1 USD = 165.6499 PKR</v>
      </c>
      <c r="H1208" s="9" t="str">
        <f ca="1">IFERROR(__xludf.DUMMYFUNCTION("""COMPUTED_VALUE"""),"USD PKR rate for 25/09/2020")</f>
        <v>USD PKR rate for 25/09/2020</v>
      </c>
      <c r="I1208" s="9"/>
    </row>
    <row r="1209" spans="1:9" ht="14.25" customHeight="1" x14ac:dyDescent="0.3">
      <c r="A1209" s="6">
        <v>40926</v>
      </c>
      <c r="B1209" s="7">
        <v>90.254400000000004</v>
      </c>
      <c r="C1209" s="8">
        <f t="shared" si="9"/>
        <v>98.023289868240909</v>
      </c>
      <c r="D1209" s="9">
        <f t="shared" si="8"/>
        <v>65.045431597437826</v>
      </c>
      <c r="E1209" s="9"/>
      <c r="F1209" s="9">
        <f ca="1">IFERROR(__xludf.DUMMYFUNCTION("""COMPUTED_VALUE"""),44098)</f>
        <v>44098</v>
      </c>
      <c r="G1209" s="9" t="str">
        <f ca="1">IFERROR(__xludf.DUMMYFUNCTION("""COMPUTED_VALUE"""),"1 USD = 165.9216 PKR")</f>
        <v>1 USD = 165.9216 PKR</v>
      </c>
      <c r="H1209" s="9" t="str">
        <f ca="1">IFERROR(__xludf.DUMMYFUNCTION("""COMPUTED_VALUE"""),"USD PKR rate for 24/09/2020")</f>
        <v>USD PKR rate for 24/09/2020</v>
      </c>
      <c r="I1209" s="9"/>
    </row>
    <row r="1210" spans="1:9" ht="14.25" customHeight="1" x14ac:dyDescent="0.3">
      <c r="A1210" s="6">
        <v>40927</v>
      </c>
      <c r="B1210" s="7">
        <v>90.0839</v>
      </c>
      <c r="C1210" s="8">
        <f t="shared" si="9"/>
        <v>98.040821310927541</v>
      </c>
      <c r="D1210" s="9">
        <f t="shared" si="8"/>
        <v>65.048169430235092</v>
      </c>
      <c r="E1210" s="9"/>
      <c r="F1210" s="9">
        <f ca="1">IFERROR(__xludf.DUMMYFUNCTION("""COMPUTED_VALUE"""),44097)</f>
        <v>44097</v>
      </c>
      <c r="G1210" s="9" t="str">
        <f ca="1">IFERROR(__xludf.DUMMYFUNCTION("""COMPUTED_VALUE"""),"1 USD = 166.1944 PKR")</f>
        <v>1 USD = 166.1944 PKR</v>
      </c>
      <c r="H1210" s="9" t="str">
        <f ca="1">IFERROR(__xludf.DUMMYFUNCTION("""COMPUTED_VALUE"""),"USD PKR rate for 23/09/2020")</f>
        <v>USD PKR rate for 23/09/2020</v>
      </c>
      <c r="I1210" s="9"/>
    </row>
    <row r="1211" spans="1:9" ht="14.25" customHeight="1" x14ac:dyDescent="0.3">
      <c r="A1211" s="6">
        <v>40928</v>
      </c>
      <c r="B1211" s="7">
        <v>90.256</v>
      </c>
      <c r="C1211" s="8">
        <f t="shared" si="9"/>
        <v>98.058355889108654</v>
      </c>
      <c r="D1211" s="9">
        <f t="shared" si="8"/>
        <v>65.050907263032357</v>
      </c>
      <c r="E1211" s="9"/>
      <c r="F1211" s="9">
        <f ca="1">IFERROR(__xludf.DUMMYFUNCTION("""COMPUTED_VALUE"""),44096)</f>
        <v>44096</v>
      </c>
      <c r="G1211" s="9" t="str">
        <f ca="1">IFERROR(__xludf.DUMMYFUNCTION("""COMPUTED_VALUE"""),"1 USD = 166.1952 PKR")</f>
        <v>1 USD = 166.1952 PKR</v>
      </c>
      <c r="H1211" s="9" t="str">
        <f ca="1">IFERROR(__xludf.DUMMYFUNCTION("""COMPUTED_VALUE"""),"USD PKR rate for 22/09/2020")</f>
        <v>USD PKR rate for 22/09/2020</v>
      </c>
      <c r="I1211" s="9"/>
    </row>
    <row r="1212" spans="1:9" ht="14.25" customHeight="1" x14ac:dyDescent="0.3">
      <c r="A1212" s="6">
        <v>40929</v>
      </c>
      <c r="B1212" s="7">
        <v>90.256</v>
      </c>
      <c r="C1212" s="8">
        <f t="shared" si="9"/>
        <v>98.075893603344895</v>
      </c>
      <c r="D1212" s="9">
        <f t="shared" si="8"/>
        <v>65.053645095829623</v>
      </c>
      <c r="E1212" s="9"/>
      <c r="F1212" s="9">
        <f ca="1">IFERROR(__xludf.DUMMYFUNCTION("""COMPUTED_VALUE"""),44095)</f>
        <v>44095</v>
      </c>
      <c r="G1212" s="9" t="str">
        <f ca="1">IFERROR(__xludf.DUMMYFUNCTION("""COMPUTED_VALUE"""),"1 USD = 166.0921 PKR")</f>
        <v>1 USD = 166.0921 PKR</v>
      </c>
      <c r="H1212" s="9" t="str">
        <f ca="1">IFERROR(__xludf.DUMMYFUNCTION("""COMPUTED_VALUE"""),"USD PKR rate for 21/09/2020")</f>
        <v>USD PKR rate for 21/09/2020</v>
      </c>
      <c r="I1212" s="9"/>
    </row>
    <row r="1213" spans="1:9" ht="14.25" customHeight="1" x14ac:dyDescent="0.3">
      <c r="A1213" s="6">
        <v>40930</v>
      </c>
      <c r="B1213" s="7">
        <v>90.447699999999998</v>
      </c>
      <c r="C1213" s="8">
        <f t="shared" si="9"/>
        <v>98.093434454197393</v>
      </c>
      <c r="D1213" s="9">
        <f t="shared" si="8"/>
        <v>65.056382928626888</v>
      </c>
      <c r="E1213" s="9"/>
      <c r="F1213" s="9">
        <f ca="1">IFERROR(__xludf.DUMMYFUNCTION("""COMPUTED_VALUE"""),44094)</f>
        <v>44094</v>
      </c>
      <c r="G1213" s="9" t="str">
        <f ca="1">IFERROR(__xludf.DUMMYFUNCTION("""COMPUTED_VALUE"""),"1 USD = 166.0559 PKR")</f>
        <v>1 USD = 166.0559 PKR</v>
      </c>
      <c r="H1213" s="9" t="str">
        <f ca="1">IFERROR(__xludf.DUMMYFUNCTION("""COMPUTED_VALUE"""),"USD PKR rate for 20/09/2020")</f>
        <v>USD PKR rate for 20/09/2020</v>
      </c>
      <c r="I1213" s="9"/>
    </row>
    <row r="1214" spans="1:9" ht="14.25" customHeight="1" x14ac:dyDescent="0.3">
      <c r="A1214" s="6">
        <v>40931</v>
      </c>
      <c r="B1214" s="7">
        <v>90.245099999999994</v>
      </c>
      <c r="C1214" s="8">
        <f t="shared" si="9"/>
        <v>98.11097844222698</v>
      </c>
      <c r="D1214" s="9">
        <f t="shared" si="8"/>
        <v>65.059120761424154</v>
      </c>
      <c r="E1214" s="9"/>
      <c r="F1214" s="9">
        <f ca="1">IFERROR(__xludf.DUMMYFUNCTION("""COMPUTED_VALUE"""),44093)</f>
        <v>44093</v>
      </c>
      <c r="G1214" s="9" t="str">
        <f ca="1">IFERROR(__xludf.DUMMYFUNCTION("""COMPUTED_VALUE"""),"1 USD = 166.5063 PKR")</f>
        <v>1 USD = 166.5063 PKR</v>
      </c>
      <c r="H1214" s="9" t="str">
        <f ca="1">IFERROR(__xludf.DUMMYFUNCTION("""COMPUTED_VALUE"""),"USD PKR rate for 19/09/2020")</f>
        <v>USD PKR rate for 19/09/2020</v>
      </c>
      <c r="I1214" s="9"/>
    </row>
    <row r="1215" spans="1:9" ht="14.25" customHeight="1" x14ac:dyDescent="0.3">
      <c r="A1215" s="6">
        <v>40932</v>
      </c>
      <c r="B1215" s="7">
        <v>89.944800000000001</v>
      </c>
      <c r="C1215" s="8">
        <f t="shared" si="9"/>
        <v>98.128525567994771</v>
      </c>
      <c r="D1215" s="9">
        <f t="shared" si="8"/>
        <v>65.06185859422142</v>
      </c>
      <c r="E1215" s="9"/>
      <c r="F1215" s="9">
        <f ca="1">IFERROR(__xludf.DUMMYFUNCTION("""COMPUTED_VALUE"""),44092)</f>
        <v>44092</v>
      </c>
      <c r="G1215" s="9" t="str">
        <f ca="1">IFERROR(__xludf.DUMMYFUNCTION("""COMPUTED_VALUE"""),"1 USD = 166.5063 PKR")</f>
        <v>1 USD = 166.5063 PKR</v>
      </c>
      <c r="H1215" s="9" t="str">
        <f ca="1">IFERROR(__xludf.DUMMYFUNCTION("""COMPUTED_VALUE"""),"USD PKR rate for 18/09/2020")</f>
        <v>USD PKR rate for 18/09/2020</v>
      </c>
      <c r="I1215" s="9"/>
    </row>
    <row r="1216" spans="1:9" ht="14.25" customHeight="1" x14ac:dyDescent="0.3">
      <c r="A1216" s="6">
        <v>40933</v>
      </c>
      <c r="B1216" s="7">
        <v>89.760999999999996</v>
      </c>
      <c r="C1216" s="8">
        <f t="shared" si="9"/>
        <v>98.146075832061925</v>
      </c>
      <c r="D1216" s="9">
        <f t="shared" si="8"/>
        <v>65.064596427018685</v>
      </c>
      <c r="E1216" s="9"/>
      <c r="F1216" s="9">
        <f ca="1">IFERROR(__xludf.DUMMYFUNCTION("""COMPUTED_VALUE"""),44091)</f>
        <v>44091</v>
      </c>
      <c r="G1216" s="9" t="str">
        <f ca="1">IFERROR(__xludf.DUMMYFUNCTION("""COMPUTED_VALUE"""),"1 USD = 166.2651 PKR")</f>
        <v>1 USD = 166.2651 PKR</v>
      </c>
      <c r="H1216" s="9" t="str">
        <f ca="1">IFERROR(__xludf.DUMMYFUNCTION("""COMPUTED_VALUE"""),"USD PKR rate for 17/09/2020")</f>
        <v>USD PKR rate for 17/09/2020</v>
      </c>
      <c r="I1216" s="9"/>
    </row>
    <row r="1217" spans="1:9" ht="14.25" customHeight="1" x14ac:dyDescent="0.3">
      <c r="A1217" s="6">
        <v>40934</v>
      </c>
      <c r="B1217" s="7">
        <v>89.623599999999996</v>
      </c>
      <c r="C1217" s="8">
        <f t="shared" si="9"/>
        <v>98.163629234989756</v>
      </c>
      <c r="D1217" s="9">
        <f t="shared" si="8"/>
        <v>65.067334259815951</v>
      </c>
      <c r="E1217" s="9"/>
      <c r="F1217" s="9">
        <f ca="1">IFERROR(__xludf.DUMMYFUNCTION("""COMPUTED_VALUE"""),44090)</f>
        <v>44090</v>
      </c>
      <c r="G1217" s="9" t="str">
        <f ca="1">IFERROR(__xludf.DUMMYFUNCTION("""COMPUTED_VALUE"""),"1 USD = 166.2093 PKR")</f>
        <v>1 USD = 166.2093 PKR</v>
      </c>
      <c r="H1217" s="9" t="str">
        <f ca="1">IFERROR(__xludf.DUMMYFUNCTION("""COMPUTED_VALUE"""),"USD PKR rate for 16/09/2020")</f>
        <v>USD PKR rate for 16/09/2020</v>
      </c>
      <c r="I1217" s="9"/>
    </row>
    <row r="1218" spans="1:9" ht="14.25" customHeight="1" x14ac:dyDescent="0.3">
      <c r="A1218" s="6">
        <v>40935</v>
      </c>
      <c r="B1218" s="7">
        <v>89.367099999999994</v>
      </c>
      <c r="C1218" s="8">
        <f t="shared" si="9"/>
        <v>98.181185777339635</v>
      </c>
      <c r="D1218" s="9">
        <f t="shared" si="8"/>
        <v>65.070072092613216</v>
      </c>
      <c r="E1218" s="9"/>
      <c r="F1218" s="9">
        <f ca="1">IFERROR(__xludf.DUMMYFUNCTION("""COMPUTED_VALUE"""),44089)</f>
        <v>44089</v>
      </c>
      <c r="G1218" s="9" t="str">
        <f ca="1">IFERROR(__xludf.DUMMYFUNCTION("""COMPUTED_VALUE"""),"1 USD = 166.3767 PKR")</f>
        <v>1 USD = 166.3767 PKR</v>
      </c>
      <c r="H1218" s="9" t="str">
        <f ca="1">IFERROR(__xludf.DUMMYFUNCTION("""COMPUTED_VALUE"""),"USD PKR rate for 15/09/2020")</f>
        <v>USD PKR rate for 15/09/2020</v>
      </c>
      <c r="I1218" s="9"/>
    </row>
    <row r="1219" spans="1:9" ht="14.25" customHeight="1" x14ac:dyDescent="0.3">
      <c r="A1219" s="6">
        <v>40936</v>
      </c>
      <c r="B1219" s="7">
        <v>89.367099999999994</v>
      </c>
      <c r="C1219" s="8">
        <f t="shared" si="9"/>
        <v>98.198745459673049</v>
      </c>
      <c r="D1219" s="9">
        <f t="shared" si="8"/>
        <v>65.072809925410482</v>
      </c>
      <c r="E1219" s="9"/>
      <c r="F1219" s="9">
        <f ca="1">IFERROR(__xludf.DUMMYFUNCTION("""COMPUTED_VALUE"""),44088)</f>
        <v>44088</v>
      </c>
      <c r="G1219" s="9" t="str">
        <f ca="1">IFERROR(__xludf.DUMMYFUNCTION("""COMPUTED_VALUE"""),"1 USD = 166.1271 PKR")</f>
        <v>1 USD = 166.1271 PKR</v>
      </c>
      <c r="H1219" s="9" t="str">
        <f ca="1">IFERROR(__xludf.DUMMYFUNCTION("""COMPUTED_VALUE"""),"USD PKR rate for 14/09/2020")</f>
        <v>USD PKR rate for 14/09/2020</v>
      </c>
      <c r="I1219" s="9"/>
    </row>
    <row r="1220" spans="1:9" ht="14.25" customHeight="1" x14ac:dyDescent="0.3">
      <c r="A1220" s="6">
        <v>40937</v>
      </c>
      <c r="B1220" s="7">
        <v>90.209699999999998</v>
      </c>
      <c r="C1220" s="8">
        <f t="shared" si="9"/>
        <v>98.216308282551566</v>
      </c>
      <c r="D1220" s="9">
        <f t="shared" si="8"/>
        <v>65.075547758207748</v>
      </c>
      <c r="E1220" s="9"/>
      <c r="F1220" s="9">
        <f ca="1">IFERROR(__xludf.DUMMYFUNCTION("""COMPUTED_VALUE"""),44087)</f>
        <v>44087</v>
      </c>
      <c r="G1220" s="9" t="str">
        <f ca="1">IFERROR(__xludf.DUMMYFUNCTION("""COMPUTED_VALUE"""),"1 USD = 166.114 PKR")</f>
        <v>1 USD = 166.114 PKR</v>
      </c>
      <c r="H1220" s="9" t="str">
        <f ca="1">IFERROR(__xludf.DUMMYFUNCTION("""COMPUTED_VALUE"""),"USD PKR rate for 13/09/2020")</f>
        <v>USD PKR rate for 13/09/2020</v>
      </c>
      <c r="I1220" s="9"/>
    </row>
    <row r="1221" spans="1:9" ht="14.25" customHeight="1" x14ac:dyDescent="0.3">
      <c r="A1221" s="6">
        <v>40938</v>
      </c>
      <c r="B1221" s="7">
        <v>90.301599999999993</v>
      </c>
      <c r="C1221" s="8">
        <f t="shared" si="9"/>
        <v>98.233874246536828</v>
      </c>
      <c r="D1221" s="9">
        <f t="shared" si="8"/>
        <v>65.078285591005013</v>
      </c>
      <c r="E1221" s="9"/>
      <c r="F1221" s="9">
        <f ca="1">IFERROR(__xludf.DUMMYFUNCTION("""COMPUTED_VALUE"""),44086)</f>
        <v>44086</v>
      </c>
      <c r="G1221" s="9" t="str">
        <f ca="1">IFERROR(__xludf.DUMMYFUNCTION("""COMPUTED_VALUE"""),"1 USD = 166.0001 PKR")</f>
        <v>1 USD = 166.0001 PKR</v>
      </c>
      <c r="H1221" s="9" t="str">
        <f ca="1">IFERROR(__xludf.DUMMYFUNCTION("""COMPUTED_VALUE"""),"USD PKR rate for 12/09/2020")</f>
        <v>USD PKR rate for 12/09/2020</v>
      </c>
      <c r="I1221" s="9"/>
    </row>
    <row r="1222" spans="1:9" ht="14.25" customHeight="1" x14ac:dyDescent="0.3">
      <c r="A1222" s="6">
        <v>40939</v>
      </c>
      <c r="B1222" s="7">
        <v>90.527600000000007</v>
      </c>
      <c r="C1222" s="8">
        <f t="shared" si="9"/>
        <v>98.251443352190748</v>
      </c>
      <c r="D1222" s="9">
        <f t="shared" si="8"/>
        <v>65.081023423802279</v>
      </c>
      <c r="E1222" s="9"/>
      <c r="F1222" s="9">
        <f ca="1">IFERROR(__xludf.DUMMYFUNCTION("""COMPUTED_VALUE"""),44085)</f>
        <v>44085</v>
      </c>
      <c r="G1222" s="9" t="str">
        <f ca="1">IFERROR(__xludf.DUMMYFUNCTION("""COMPUTED_VALUE"""),"1 USD = 166.0001 PKR")</f>
        <v>1 USD = 166.0001 PKR</v>
      </c>
      <c r="H1222" s="9" t="str">
        <f ca="1">IFERROR(__xludf.DUMMYFUNCTION("""COMPUTED_VALUE"""),"USD PKR rate for 11/09/2020")</f>
        <v>USD PKR rate for 11/09/2020</v>
      </c>
      <c r="I1222" s="9"/>
    </row>
    <row r="1223" spans="1:9" ht="14.25" customHeight="1" x14ac:dyDescent="0.3">
      <c r="A1223" s="6">
        <v>40940</v>
      </c>
      <c r="B1223" s="7">
        <v>90.485100000000003</v>
      </c>
      <c r="C1223" s="8">
        <f t="shared" si="9"/>
        <v>98.269015600075122</v>
      </c>
      <c r="D1223" s="9">
        <f t="shared" si="8"/>
        <v>65.083761256599544</v>
      </c>
      <c r="E1223" s="9"/>
      <c r="F1223" s="9">
        <f ca="1">IFERROR(__xludf.DUMMYFUNCTION("""COMPUTED_VALUE"""),44084)</f>
        <v>44084</v>
      </c>
      <c r="G1223" s="9" t="str">
        <f ca="1">IFERROR(__xludf.DUMMYFUNCTION("""COMPUTED_VALUE"""),"1 USD = 166.3907 PKR")</f>
        <v>1 USD = 166.3907 PKR</v>
      </c>
      <c r="H1223" s="9" t="str">
        <f ca="1">IFERROR(__xludf.DUMMYFUNCTION("""COMPUTED_VALUE"""),"USD PKR rate for 10/09/2020")</f>
        <v>USD PKR rate for 10/09/2020</v>
      </c>
      <c r="I1223" s="9"/>
    </row>
    <row r="1224" spans="1:9" ht="14.25" customHeight="1" x14ac:dyDescent="0.3">
      <c r="A1224" s="6">
        <v>40941</v>
      </c>
      <c r="B1224" s="7">
        <v>90.469499999999996</v>
      </c>
      <c r="C1224" s="8">
        <f t="shared" si="9"/>
        <v>98.286590990751975</v>
      </c>
      <c r="D1224" s="9">
        <f t="shared" si="8"/>
        <v>65.08649908939681</v>
      </c>
      <c r="E1224" s="9"/>
      <c r="F1224" s="9">
        <f ca="1">IFERROR(__xludf.DUMMYFUNCTION("""COMPUTED_VALUE"""),44083)</f>
        <v>44083</v>
      </c>
      <c r="G1224" s="9" t="str">
        <f ca="1">IFERROR(__xludf.DUMMYFUNCTION("""COMPUTED_VALUE"""),"1 USD = 166.2913 PKR")</f>
        <v>1 USD = 166.2913 PKR</v>
      </c>
      <c r="H1224" s="9" t="str">
        <f ca="1">IFERROR(__xludf.DUMMYFUNCTION("""COMPUTED_VALUE"""),"USD PKR rate for 09/09/2020")</f>
        <v>USD PKR rate for 09/09/2020</v>
      </c>
      <c r="I1224" s="9"/>
    </row>
    <row r="1225" spans="1:9" ht="14.25" customHeight="1" x14ac:dyDescent="0.3">
      <c r="A1225" s="6">
        <v>40942</v>
      </c>
      <c r="B1225" s="7">
        <v>90.461299999999994</v>
      </c>
      <c r="C1225" s="8">
        <f t="shared" si="9"/>
        <v>98.304169524783404</v>
      </c>
      <c r="D1225" s="9">
        <f t="shared" si="8"/>
        <v>65.089236922194075</v>
      </c>
      <c r="E1225" s="9"/>
      <c r="F1225" s="9">
        <f ca="1">IFERROR(__xludf.DUMMYFUNCTION("""COMPUTED_VALUE"""),44082)</f>
        <v>44082</v>
      </c>
      <c r="G1225" s="9" t="str">
        <f ca="1">IFERROR(__xludf.DUMMYFUNCTION("""COMPUTED_VALUE"""),"1 USD = 166.3244 PKR")</f>
        <v>1 USD = 166.3244 PKR</v>
      </c>
      <c r="H1225" s="9" t="str">
        <f ca="1">IFERROR(__xludf.DUMMYFUNCTION("""COMPUTED_VALUE"""),"USD PKR rate for 08/09/2020")</f>
        <v>USD PKR rate for 08/09/2020</v>
      </c>
      <c r="I1225" s="9"/>
    </row>
    <row r="1226" spans="1:9" ht="14.25" customHeight="1" x14ac:dyDescent="0.3">
      <c r="A1226" s="6">
        <v>40943</v>
      </c>
      <c r="B1226" s="7">
        <v>90.447599999999994</v>
      </c>
      <c r="C1226" s="8">
        <f t="shared" si="9"/>
        <v>98.321751202731548</v>
      </c>
      <c r="D1226" s="9">
        <f t="shared" si="8"/>
        <v>65.091974754991341</v>
      </c>
      <c r="E1226" s="9"/>
      <c r="F1226" s="9">
        <f ca="1">IFERROR(__xludf.DUMMYFUNCTION("""COMPUTED_VALUE"""),44081)</f>
        <v>44081</v>
      </c>
      <c r="G1226" s="9" t="str">
        <f ca="1">IFERROR(__xludf.DUMMYFUNCTION("""COMPUTED_VALUE"""),"1 USD = 165.6527 PKR")</f>
        <v>1 USD = 165.6527 PKR</v>
      </c>
      <c r="H1226" s="9" t="str">
        <f ca="1">IFERROR(__xludf.DUMMYFUNCTION("""COMPUTED_VALUE"""),"USD PKR rate for 07/09/2020")</f>
        <v>USD PKR rate for 07/09/2020</v>
      </c>
      <c r="I1226" s="9"/>
    </row>
    <row r="1227" spans="1:9" ht="14.25" customHeight="1" x14ac:dyDescent="0.3">
      <c r="A1227" s="6">
        <v>40944</v>
      </c>
      <c r="B1227" s="7">
        <v>90.55070000000002</v>
      </c>
      <c r="C1227" s="8">
        <f t="shared" si="9"/>
        <v>98.33933602515873</v>
      </c>
      <c r="D1227" s="9">
        <f t="shared" si="8"/>
        <v>65.094712587788607</v>
      </c>
      <c r="E1227" s="9"/>
      <c r="F1227" s="9">
        <f ca="1">IFERROR(__xludf.DUMMYFUNCTION("""COMPUTED_VALUE"""),44080)</f>
        <v>44080</v>
      </c>
      <c r="G1227" s="9" t="str">
        <f ca="1">IFERROR(__xludf.DUMMYFUNCTION("""COMPUTED_VALUE"""),"1 USD = 165.741 PKR")</f>
        <v>1 USD = 165.741 PKR</v>
      </c>
      <c r="H1227" s="9" t="str">
        <f ca="1">IFERROR(__xludf.DUMMYFUNCTION("""COMPUTED_VALUE"""),"USD PKR rate for 06/09/2020")</f>
        <v>USD PKR rate for 06/09/2020</v>
      </c>
      <c r="I1227" s="9"/>
    </row>
    <row r="1228" spans="1:9" ht="14.25" customHeight="1" x14ac:dyDescent="0.3">
      <c r="A1228" s="6">
        <v>40945</v>
      </c>
      <c r="B1228" s="7">
        <v>90.692899999999995</v>
      </c>
      <c r="C1228" s="8">
        <f t="shared" si="9"/>
        <v>98.35692399262733</v>
      </c>
      <c r="D1228" s="9">
        <f t="shared" si="8"/>
        <v>65.097450420585872</v>
      </c>
      <c r="E1228" s="9"/>
      <c r="F1228" s="9">
        <f ca="1">IFERROR(__xludf.DUMMYFUNCTION("""COMPUTED_VALUE"""),44079)</f>
        <v>44079</v>
      </c>
      <c r="G1228" s="9" t="str">
        <f ca="1">IFERROR(__xludf.DUMMYFUNCTION("""COMPUTED_VALUE"""),"1 USD = 165.9499 PKR")</f>
        <v>1 USD = 165.9499 PKR</v>
      </c>
      <c r="H1228" s="9" t="str">
        <f ca="1">IFERROR(__xludf.DUMMYFUNCTION("""COMPUTED_VALUE"""),"USD PKR rate for 05/09/2020")</f>
        <v>USD PKR rate for 05/09/2020</v>
      </c>
      <c r="I1228" s="9"/>
    </row>
    <row r="1229" spans="1:9" ht="14.25" customHeight="1" x14ac:dyDescent="0.3">
      <c r="A1229" s="6">
        <v>40946</v>
      </c>
      <c r="B1229" s="7">
        <v>90.642499999999998</v>
      </c>
      <c r="C1229" s="8">
        <f t="shared" si="9"/>
        <v>98.374515105699814</v>
      </c>
      <c r="D1229" s="9">
        <f t="shared" si="8"/>
        <v>65.100188253383138</v>
      </c>
      <c r="E1229" s="9"/>
      <c r="F1229" s="9">
        <f ca="1">IFERROR(__xludf.DUMMYFUNCTION("""COMPUTED_VALUE"""),44078)</f>
        <v>44078</v>
      </c>
      <c r="G1229" s="9" t="str">
        <f ca="1">IFERROR(__xludf.DUMMYFUNCTION("""COMPUTED_VALUE"""),"1 USD = 165.9503 PKR")</f>
        <v>1 USD = 165.9503 PKR</v>
      </c>
      <c r="H1229" s="9" t="str">
        <f ca="1">IFERROR(__xludf.DUMMYFUNCTION("""COMPUTED_VALUE"""),"USD PKR rate for 04/09/2020")</f>
        <v>USD PKR rate for 04/09/2020</v>
      </c>
      <c r="I1229" s="9"/>
    </row>
    <row r="1230" spans="1:9" ht="14.25" customHeight="1" x14ac:dyDescent="0.3">
      <c r="A1230" s="6">
        <v>40947</v>
      </c>
      <c r="B1230" s="7">
        <v>90.753</v>
      </c>
      <c r="C1230" s="8">
        <f t="shared" si="9"/>
        <v>98.392109364938733</v>
      </c>
      <c r="D1230" s="9">
        <f t="shared" si="8"/>
        <v>65.102926086180403</v>
      </c>
      <c r="E1230" s="9"/>
      <c r="F1230" s="9">
        <f ca="1">IFERROR(__xludf.DUMMYFUNCTION("""COMPUTED_VALUE"""),44077)</f>
        <v>44077</v>
      </c>
      <c r="G1230" s="9" t="str">
        <f ca="1">IFERROR(__xludf.DUMMYFUNCTION("""COMPUTED_VALUE"""),"1 USD = 166.0461 PKR")</f>
        <v>1 USD = 166.0461 PKR</v>
      </c>
      <c r="H1230" s="9" t="str">
        <f ca="1">IFERROR(__xludf.DUMMYFUNCTION("""COMPUTED_VALUE"""),"USD PKR rate for 03/09/2020")</f>
        <v>USD PKR rate for 03/09/2020</v>
      </c>
      <c r="I1230" s="9"/>
    </row>
    <row r="1231" spans="1:9" ht="14.25" customHeight="1" x14ac:dyDescent="0.3">
      <c r="A1231" s="6">
        <v>40948</v>
      </c>
      <c r="B1231" s="7">
        <v>90.761899999999997</v>
      </c>
      <c r="C1231" s="8">
        <f t="shared" si="9"/>
        <v>98.409706770906936</v>
      </c>
      <c r="D1231" s="9">
        <f t="shared" si="8"/>
        <v>65.105663918977669</v>
      </c>
      <c r="E1231" s="9"/>
      <c r="F1231" s="9">
        <f ca="1">IFERROR(__xludf.DUMMYFUNCTION("""COMPUTED_VALUE"""),44076)</f>
        <v>44076</v>
      </c>
      <c r="G1231" s="9" t="str">
        <f ca="1">IFERROR(__xludf.DUMMYFUNCTION("""COMPUTED_VALUE"""),"1 USD = 165.4351 PKR")</f>
        <v>1 USD = 165.4351 PKR</v>
      </c>
      <c r="H1231" s="9" t="str">
        <f ca="1">IFERROR(__xludf.DUMMYFUNCTION("""COMPUTED_VALUE"""),"USD PKR rate for 02/09/2020")</f>
        <v>USD PKR rate for 02/09/2020</v>
      </c>
      <c r="I1231" s="9"/>
    </row>
    <row r="1232" spans="1:9" ht="14.25" customHeight="1" x14ac:dyDescent="0.3">
      <c r="A1232" s="6">
        <v>40949</v>
      </c>
      <c r="B1232" s="7">
        <v>90.583399999999997</v>
      </c>
      <c r="C1232" s="8">
        <f t="shared" si="9"/>
        <v>98.427307324167117</v>
      </c>
      <c r="D1232" s="9">
        <f t="shared" si="8"/>
        <v>65.108401751774934</v>
      </c>
      <c r="E1232" s="9"/>
      <c r="F1232" s="9">
        <f ca="1">IFERROR(__xludf.DUMMYFUNCTION("""COMPUTED_VALUE"""),44075)</f>
        <v>44075</v>
      </c>
      <c r="G1232" s="9" t="str">
        <f ca="1">IFERROR(__xludf.DUMMYFUNCTION("""COMPUTED_VALUE"""),"1 USD = 165.3756 PKR")</f>
        <v>1 USD = 165.3756 PKR</v>
      </c>
      <c r="H1232" s="9" t="str">
        <f ca="1">IFERROR(__xludf.DUMMYFUNCTION("""COMPUTED_VALUE"""),"USD PKR rate for 01/09/2020")</f>
        <v>USD PKR rate for 01/09/2020</v>
      </c>
      <c r="I1232" s="9"/>
    </row>
    <row r="1233" spans="1:9" ht="14.25" customHeight="1" x14ac:dyDescent="0.3">
      <c r="A1233" s="6">
        <v>40950</v>
      </c>
      <c r="B1233" s="7">
        <v>90.780600000000007</v>
      </c>
      <c r="C1233" s="8">
        <f t="shared" si="9"/>
        <v>98.444911025282153</v>
      </c>
      <c r="D1233" s="9">
        <f t="shared" si="8"/>
        <v>65.1111395845722</v>
      </c>
      <c r="E1233" s="9"/>
      <c r="F1233" s="9">
        <f ca="1">IFERROR(__xludf.DUMMYFUNCTION("""COMPUTED_VALUE"""),44074)</f>
        <v>44074</v>
      </c>
      <c r="G1233" s="9" t="str">
        <f ca="1">IFERROR(__xludf.DUMMYFUNCTION("""COMPUTED_VALUE"""),"1 USD = 165.4848 PKR")</f>
        <v>1 USD = 165.4848 PKR</v>
      </c>
      <c r="H1233" s="9" t="str">
        <f ca="1">IFERROR(__xludf.DUMMYFUNCTION("""COMPUTED_VALUE"""),"USD PKR rate for 31/08/2020")</f>
        <v>USD PKR rate for 31/08/2020</v>
      </c>
      <c r="I1233" s="9"/>
    </row>
    <row r="1234" spans="1:9" ht="14.25" customHeight="1" x14ac:dyDescent="0.3">
      <c r="A1234" s="6">
        <v>40951</v>
      </c>
      <c r="B1234" s="7">
        <v>90.631100000000004</v>
      </c>
      <c r="C1234" s="8">
        <f t="shared" si="9"/>
        <v>98.462517874815063</v>
      </c>
      <c r="D1234" s="9">
        <f t="shared" si="8"/>
        <v>65.113877417369466</v>
      </c>
      <c r="E1234" s="9"/>
      <c r="F1234" s="9">
        <f ca="1">IFERROR(__xludf.DUMMYFUNCTION("""COMPUTED_VALUE"""),44073)</f>
        <v>44073</v>
      </c>
      <c r="G1234" s="9" t="str">
        <f ca="1">IFERROR(__xludf.DUMMYFUNCTION("""COMPUTED_VALUE"""),"1 USD = 167.4272 PKR")</f>
        <v>1 USD = 167.4272 PKR</v>
      </c>
      <c r="H1234" s="9" t="str">
        <f ca="1">IFERROR(__xludf.DUMMYFUNCTION("""COMPUTED_VALUE"""),"USD PKR rate for 30/08/2020")</f>
        <v>USD PKR rate for 30/08/2020</v>
      </c>
      <c r="I1234" s="9"/>
    </row>
    <row r="1235" spans="1:9" ht="14.25" customHeight="1" x14ac:dyDescent="0.3">
      <c r="A1235" s="6">
        <v>40952</v>
      </c>
      <c r="B1235" s="7">
        <v>90.982600000000005</v>
      </c>
      <c r="C1235" s="8">
        <f t="shared" si="9"/>
        <v>98.480127873328939</v>
      </c>
      <c r="D1235" s="9">
        <f t="shared" si="8"/>
        <v>65.116615250166731</v>
      </c>
      <c r="E1235" s="9"/>
      <c r="F1235" s="9">
        <f ca="1">IFERROR(__xludf.DUMMYFUNCTION("""COMPUTED_VALUE"""),44072)</f>
        <v>44072</v>
      </c>
      <c r="G1235" s="9" t="str">
        <f ca="1">IFERROR(__xludf.DUMMYFUNCTION("""COMPUTED_VALUE"""),"1 USD = 167.2916 PKR")</f>
        <v>1 USD = 167.2916 PKR</v>
      </c>
      <c r="H1235" s="9" t="str">
        <f ca="1">IFERROR(__xludf.DUMMYFUNCTION("""COMPUTED_VALUE"""),"USD PKR rate for 29/08/2020")</f>
        <v>USD PKR rate for 29/08/2020</v>
      </c>
      <c r="I1235" s="9"/>
    </row>
    <row r="1236" spans="1:9" ht="14.25" customHeight="1" x14ac:dyDescent="0.3">
      <c r="A1236" s="6">
        <v>40953</v>
      </c>
      <c r="B1236" s="7">
        <v>90.665099999999995</v>
      </c>
      <c r="C1236" s="8">
        <f t="shared" si="9"/>
        <v>98.497741021386972</v>
      </c>
      <c r="D1236" s="9">
        <f t="shared" si="8"/>
        <v>65.119353082963997</v>
      </c>
      <c r="E1236" s="9"/>
      <c r="F1236" s="9">
        <f ca="1">IFERROR(__xludf.DUMMYFUNCTION("""COMPUTED_VALUE"""),44071)</f>
        <v>44071</v>
      </c>
      <c r="G1236" s="9" t="str">
        <f ca="1">IFERROR(__xludf.DUMMYFUNCTION("""COMPUTED_VALUE"""),"1 USD = 167.2916 PKR")</f>
        <v>1 USD = 167.2916 PKR</v>
      </c>
      <c r="H1236" s="9" t="str">
        <f ca="1">IFERROR(__xludf.DUMMYFUNCTION("""COMPUTED_VALUE"""),"USD PKR rate for 28/08/2020")</f>
        <v>USD PKR rate for 28/08/2020</v>
      </c>
      <c r="I1236" s="9"/>
    </row>
    <row r="1237" spans="1:9" ht="14.25" customHeight="1" x14ac:dyDescent="0.3">
      <c r="A1237" s="6">
        <v>40954</v>
      </c>
      <c r="B1237" s="7">
        <v>90.760199999999998</v>
      </c>
      <c r="C1237" s="8">
        <f t="shared" si="9"/>
        <v>98.51535731955245</v>
      </c>
      <c r="D1237" s="9">
        <f t="shared" si="8"/>
        <v>65.122090915761262</v>
      </c>
      <c r="E1237" s="9"/>
      <c r="F1237" s="9">
        <f ca="1">IFERROR(__xludf.DUMMYFUNCTION("""COMPUTED_VALUE"""),44070)</f>
        <v>44070</v>
      </c>
      <c r="G1237" s="9" t="str">
        <f ca="1">IFERROR(__xludf.DUMMYFUNCTION("""COMPUTED_VALUE"""),"1 USD = 167.4492 PKR")</f>
        <v>1 USD = 167.4492 PKR</v>
      </c>
      <c r="H1237" s="9" t="str">
        <f ca="1">IFERROR(__xludf.DUMMYFUNCTION("""COMPUTED_VALUE"""),"USD PKR rate for 27/08/2020")</f>
        <v>USD PKR rate for 27/08/2020</v>
      </c>
      <c r="I1237" s="9"/>
    </row>
    <row r="1238" spans="1:9" ht="14.25" customHeight="1" x14ac:dyDescent="0.3">
      <c r="A1238" s="6">
        <v>40955</v>
      </c>
      <c r="B1238" s="7">
        <v>90.739400000000018</v>
      </c>
      <c r="C1238" s="8">
        <f t="shared" si="9"/>
        <v>98.532976768388778</v>
      </c>
      <c r="D1238" s="9">
        <f t="shared" si="8"/>
        <v>65.124828748558528</v>
      </c>
      <c r="E1238" s="9"/>
      <c r="F1238" s="9">
        <f ca="1">IFERROR(__xludf.DUMMYFUNCTION("""COMPUTED_VALUE"""),44069)</f>
        <v>44069</v>
      </c>
      <c r="G1238" s="9" t="str">
        <f ca="1">IFERROR(__xludf.DUMMYFUNCTION("""COMPUTED_VALUE"""),"1 USD = 168.5556 PKR")</f>
        <v>1 USD = 168.5556 PKR</v>
      </c>
      <c r="H1238" s="9" t="str">
        <f ca="1">IFERROR(__xludf.DUMMYFUNCTION("""COMPUTED_VALUE"""),"USD PKR rate for 26/08/2020")</f>
        <v>USD PKR rate for 26/08/2020</v>
      </c>
      <c r="I1238" s="9"/>
    </row>
    <row r="1239" spans="1:9" ht="14.25" customHeight="1" x14ac:dyDescent="0.3">
      <c r="A1239" s="6">
        <v>40956</v>
      </c>
      <c r="B1239" s="7">
        <v>90.842500000000001</v>
      </c>
      <c r="C1239" s="8">
        <f t="shared" si="9"/>
        <v>98.550599368459359</v>
      </c>
      <c r="D1239" s="9">
        <f t="shared" si="8"/>
        <v>65.127566581355794</v>
      </c>
      <c r="E1239" s="9"/>
      <c r="F1239" s="9">
        <f ca="1">IFERROR(__xludf.DUMMYFUNCTION("""COMPUTED_VALUE"""),44068)</f>
        <v>44068</v>
      </c>
      <c r="G1239" s="9" t="str">
        <f ca="1">IFERROR(__xludf.DUMMYFUNCTION("""COMPUTED_VALUE"""),"1 USD = 168.4894 PKR")</f>
        <v>1 USD = 168.4894 PKR</v>
      </c>
      <c r="H1239" s="9" t="str">
        <f ca="1">IFERROR(__xludf.DUMMYFUNCTION("""COMPUTED_VALUE"""),"USD PKR rate for 25/08/2020")</f>
        <v>USD PKR rate for 25/08/2020</v>
      </c>
      <c r="I1239" s="9"/>
    </row>
    <row r="1240" spans="1:9" ht="14.25" customHeight="1" x14ac:dyDescent="0.3">
      <c r="A1240" s="6">
        <v>40957</v>
      </c>
      <c r="B1240" s="7">
        <v>90.842500000000001</v>
      </c>
      <c r="C1240" s="8">
        <f t="shared" si="9"/>
        <v>98.568225120327966</v>
      </c>
      <c r="D1240" s="9">
        <f t="shared" si="8"/>
        <v>65.130304414153059</v>
      </c>
      <c r="E1240" s="9"/>
      <c r="F1240" s="9">
        <f ca="1">IFERROR(__xludf.DUMMYFUNCTION("""COMPUTED_VALUE"""),44067)</f>
        <v>44067</v>
      </c>
      <c r="G1240" s="9" t="str">
        <f ca="1">IFERROR(__xludf.DUMMYFUNCTION("""COMPUTED_VALUE"""),"1 USD = 168.5617 PKR")</f>
        <v>1 USD = 168.5617 PKR</v>
      </c>
      <c r="H1240" s="9" t="str">
        <f ca="1">IFERROR(__xludf.DUMMYFUNCTION("""COMPUTED_VALUE"""),"USD PKR rate for 24/08/2020")</f>
        <v>USD PKR rate for 24/08/2020</v>
      </c>
      <c r="I1240" s="9"/>
    </row>
    <row r="1241" spans="1:9" ht="14.25" customHeight="1" x14ac:dyDescent="0.3">
      <c r="A1241" s="6">
        <v>40958</v>
      </c>
      <c r="B1241" s="7">
        <v>90.613500000000002</v>
      </c>
      <c r="C1241" s="8">
        <f t="shared" si="9"/>
        <v>98.585854024558202</v>
      </c>
      <c r="D1241" s="9">
        <f t="shared" si="8"/>
        <v>65.133042246950325</v>
      </c>
      <c r="E1241" s="9"/>
      <c r="F1241" s="9">
        <f ca="1">IFERROR(__xludf.DUMMYFUNCTION("""COMPUTED_VALUE"""),44066)</f>
        <v>44066</v>
      </c>
      <c r="G1241" s="9" t="str">
        <f ca="1">IFERROR(__xludf.DUMMYFUNCTION("""COMPUTED_VALUE"""),"1 USD = 168.5338 PKR")</f>
        <v>1 USD = 168.5338 PKR</v>
      </c>
      <c r="H1241" s="9" t="str">
        <f ca="1">IFERROR(__xludf.DUMMYFUNCTION("""COMPUTED_VALUE"""),"USD PKR rate for 23/08/2020")</f>
        <v>USD PKR rate for 23/08/2020</v>
      </c>
      <c r="I1241" s="9"/>
    </row>
    <row r="1242" spans="1:9" ht="14.25" customHeight="1" x14ac:dyDescent="0.3">
      <c r="A1242" s="6">
        <v>40959</v>
      </c>
      <c r="B1242" s="7">
        <v>91.084500000000006</v>
      </c>
      <c r="C1242" s="8">
        <f t="shared" si="9"/>
        <v>98.603486081713896</v>
      </c>
      <c r="D1242" s="9">
        <f t="shared" si="8"/>
        <v>65.13578007974759</v>
      </c>
      <c r="E1242" s="9"/>
      <c r="F1242" s="9">
        <f ca="1">IFERROR(__xludf.DUMMYFUNCTION("""COMPUTED_VALUE"""),44065)</f>
        <v>44065</v>
      </c>
      <c r="G1242" s="9" t="str">
        <f ca="1">IFERROR(__xludf.DUMMYFUNCTION("""COMPUTED_VALUE"""),"1 USD = 168.5757 PKR")</f>
        <v>1 USD = 168.5757 PKR</v>
      </c>
      <c r="H1242" s="9" t="str">
        <f ca="1">IFERROR(__xludf.DUMMYFUNCTION("""COMPUTED_VALUE"""),"USD PKR rate for 22/08/2020")</f>
        <v>USD PKR rate for 22/08/2020</v>
      </c>
      <c r="I1242" s="9"/>
    </row>
    <row r="1243" spans="1:9" ht="14.25" customHeight="1" x14ac:dyDescent="0.3">
      <c r="A1243" s="6">
        <v>40960</v>
      </c>
      <c r="B1243" s="7">
        <v>90.792500000000004</v>
      </c>
      <c r="C1243" s="8">
        <f t="shared" si="9"/>
        <v>98.621121292358922</v>
      </c>
      <c r="D1243" s="9">
        <f t="shared" si="8"/>
        <v>65.138517912544856</v>
      </c>
      <c r="E1243" s="9"/>
      <c r="F1243" s="9">
        <f ca="1">IFERROR(__xludf.DUMMYFUNCTION("""COMPUTED_VALUE"""),44064)</f>
        <v>44064</v>
      </c>
      <c r="G1243" s="9" t="str">
        <f ca="1">IFERROR(__xludf.DUMMYFUNCTION("""COMPUTED_VALUE"""),"1 USD = 168.5757 PKR")</f>
        <v>1 USD = 168.5757 PKR</v>
      </c>
      <c r="H1243" s="9" t="str">
        <f ca="1">IFERROR(__xludf.DUMMYFUNCTION("""COMPUTED_VALUE"""),"USD PKR rate for 21/08/2020")</f>
        <v>USD PKR rate for 21/08/2020</v>
      </c>
      <c r="I1243" s="9"/>
    </row>
    <row r="1244" spans="1:9" ht="14.25" customHeight="1" x14ac:dyDescent="0.3">
      <c r="A1244" s="6">
        <v>40961</v>
      </c>
      <c r="B1244" s="7">
        <v>90.795000000000002</v>
      </c>
      <c r="C1244" s="8">
        <f t="shared" si="9"/>
        <v>98.638759657057278</v>
      </c>
      <c r="D1244" s="9">
        <f t="shared" si="8"/>
        <v>65.141255745342121</v>
      </c>
      <c r="E1244" s="9"/>
      <c r="F1244" s="9">
        <f ca="1">IFERROR(__xludf.DUMMYFUNCTION("""COMPUTED_VALUE"""),44063)</f>
        <v>44063</v>
      </c>
      <c r="G1244" s="9" t="str">
        <f ca="1">IFERROR(__xludf.DUMMYFUNCTION("""COMPUTED_VALUE"""),"1 USD = 168.7016 PKR")</f>
        <v>1 USD = 168.7016 PKR</v>
      </c>
      <c r="H1244" s="9" t="str">
        <f ca="1">IFERROR(__xludf.DUMMYFUNCTION("""COMPUTED_VALUE"""),"USD PKR rate for 20/08/2020")</f>
        <v>USD PKR rate for 20/08/2020</v>
      </c>
      <c r="I1244" s="9"/>
    </row>
    <row r="1245" spans="1:9" ht="14.25" customHeight="1" x14ac:dyDescent="0.3">
      <c r="A1245" s="6">
        <v>40962</v>
      </c>
      <c r="B1245" s="7">
        <v>90.849500000000006</v>
      </c>
      <c r="C1245" s="8">
        <f t="shared" si="9"/>
        <v>98.656401176373095</v>
      </c>
      <c r="D1245" s="9">
        <f t="shared" si="8"/>
        <v>65.143993578139387</v>
      </c>
      <c r="E1245" s="9"/>
      <c r="F1245" s="9">
        <f ca="1">IFERROR(__xludf.DUMMYFUNCTION("""COMPUTED_VALUE"""),44062)</f>
        <v>44062</v>
      </c>
      <c r="G1245" s="9" t="str">
        <f ca="1">IFERROR(__xludf.DUMMYFUNCTION("""COMPUTED_VALUE"""),"1 USD = 168.448 PKR")</f>
        <v>1 USD = 168.448 PKR</v>
      </c>
      <c r="H1245" s="9" t="str">
        <f ca="1">IFERROR(__xludf.DUMMYFUNCTION("""COMPUTED_VALUE"""),"USD PKR rate for 19/08/2020")</f>
        <v>USD PKR rate for 19/08/2020</v>
      </c>
      <c r="I1245" s="9"/>
    </row>
    <row r="1246" spans="1:9" ht="14.25" customHeight="1" x14ac:dyDescent="0.3">
      <c r="A1246" s="6">
        <v>40963</v>
      </c>
      <c r="B1246" s="7">
        <v>90.913399999999996</v>
      </c>
      <c r="C1246" s="8">
        <f t="shared" si="9"/>
        <v>98.674045850870527</v>
      </c>
      <c r="D1246" s="9">
        <f t="shared" si="8"/>
        <v>65.146731410936653</v>
      </c>
      <c r="E1246" s="9"/>
      <c r="F1246" s="9">
        <f ca="1">IFERROR(__xludf.DUMMYFUNCTION("""COMPUTED_VALUE"""),44061)</f>
        <v>44061</v>
      </c>
      <c r="G1246" s="9" t="str">
        <f ca="1">IFERROR(__xludf.DUMMYFUNCTION("""COMPUTED_VALUE"""),"1 USD = 168.0462 PKR")</f>
        <v>1 USD = 168.0462 PKR</v>
      </c>
      <c r="H1246" s="9" t="str">
        <f ca="1">IFERROR(__xludf.DUMMYFUNCTION("""COMPUTED_VALUE"""),"USD PKR rate for 18/08/2020")</f>
        <v>USD PKR rate for 18/08/2020</v>
      </c>
      <c r="I1246" s="9"/>
    </row>
    <row r="1247" spans="1:9" ht="14.25" customHeight="1" x14ac:dyDescent="0.3">
      <c r="A1247" s="6">
        <v>40964</v>
      </c>
      <c r="B1247" s="7">
        <v>90.913399999999996</v>
      </c>
      <c r="C1247" s="8">
        <f t="shared" si="9"/>
        <v>98.691693681113918</v>
      </c>
      <c r="D1247" s="9">
        <f t="shared" si="8"/>
        <v>65.149469243733918</v>
      </c>
      <c r="E1247" s="9"/>
      <c r="F1247" s="9">
        <f ca="1">IFERROR(__xludf.DUMMYFUNCTION("""COMPUTED_VALUE"""),44060)</f>
        <v>44060</v>
      </c>
      <c r="G1247" s="9" t="str">
        <f ca="1">IFERROR(__xludf.DUMMYFUNCTION("""COMPUTED_VALUE"""),"1 USD = 167.9197 PKR")</f>
        <v>1 USD = 167.9197 PKR</v>
      </c>
      <c r="H1247" s="9" t="str">
        <f ca="1">IFERROR(__xludf.DUMMYFUNCTION("""COMPUTED_VALUE"""),"USD PKR rate for 17/08/2020")</f>
        <v>USD PKR rate for 17/08/2020</v>
      </c>
      <c r="I1247" s="9"/>
    </row>
    <row r="1248" spans="1:9" ht="14.25" customHeight="1" x14ac:dyDescent="0.3">
      <c r="A1248" s="6">
        <v>40965</v>
      </c>
      <c r="B1248" s="7">
        <v>90.856200000000001</v>
      </c>
      <c r="C1248" s="8">
        <f t="shared" si="9"/>
        <v>98.709344667667565</v>
      </c>
      <c r="D1248" s="9">
        <f t="shared" si="8"/>
        <v>65.152207076531184</v>
      </c>
      <c r="E1248" s="9"/>
      <c r="F1248" s="9">
        <f ca="1">IFERROR(__xludf.DUMMYFUNCTION("""COMPUTED_VALUE"""),44059)</f>
        <v>44059</v>
      </c>
      <c r="G1248" s="9" t="str">
        <f ca="1">IFERROR(__xludf.DUMMYFUNCTION("""COMPUTED_VALUE"""),"1 USD = 168.072 PKR")</f>
        <v>1 USD = 168.072 PKR</v>
      </c>
      <c r="H1248" s="9" t="str">
        <f ca="1">IFERROR(__xludf.DUMMYFUNCTION("""COMPUTED_VALUE"""),"USD PKR rate for 16/08/2020")</f>
        <v>USD PKR rate for 16/08/2020</v>
      </c>
      <c r="I1248" s="9"/>
    </row>
    <row r="1249" spans="1:9" ht="14.25" customHeight="1" x14ac:dyDescent="0.3">
      <c r="A1249" s="6">
        <v>40966</v>
      </c>
      <c r="B1249" s="7">
        <v>90.866399999999999</v>
      </c>
      <c r="C1249" s="8">
        <f t="shared" si="9"/>
        <v>98.726998811096166</v>
      </c>
      <c r="D1249" s="9">
        <f t="shared" si="8"/>
        <v>65.154944909328449</v>
      </c>
      <c r="E1249" s="9"/>
      <c r="F1249" s="9">
        <f ca="1">IFERROR(__xludf.DUMMYFUNCTION("""COMPUTED_VALUE"""),44058)</f>
        <v>44058</v>
      </c>
      <c r="G1249" s="9" t="str">
        <f ca="1">IFERROR(__xludf.DUMMYFUNCTION("""COMPUTED_VALUE"""),"1 USD = 168.8325 PKR")</f>
        <v>1 USD = 168.8325 PKR</v>
      </c>
      <c r="H1249" s="9" t="str">
        <f ca="1">IFERROR(__xludf.DUMMYFUNCTION("""COMPUTED_VALUE"""),"USD PKR rate for 15/08/2020")</f>
        <v>USD PKR rate for 15/08/2020</v>
      </c>
      <c r="I1249" s="9"/>
    </row>
    <row r="1250" spans="1:9" ht="14.25" customHeight="1" x14ac:dyDescent="0.3">
      <c r="A1250" s="6">
        <v>40967</v>
      </c>
      <c r="B1250" s="7">
        <v>90.694400000000016</v>
      </c>
      <c r="C1250" s="8">
        <f t="shared" si="9"/>
        <v>98.744656111964233</v>
      </c>
      <c r="D1250" s="9">
        <f t="shared" si="8"/>
        <v>65.157682742125715</v>
      </c>
      <c r="E1250" s="9"/>
      <c r="F1250" s="9">
        <f ca="1">IFERROR(__xludf.DUMMYFUNCTION("""COMPUTED_VALUE"""),44057)</f>
        <v>44057</v>
      </c>
      <c r="G1250" s="9" t="str">
        <f ca="1">IFERROR(__xludf.DUMMYFUNCTION("""COMPUTED_VALUE"""),"1 USD = 168.0772 PKR")</f>
        <v>1 USD = 168.0772 PKR</v>
      </c>
      <c r="H1250" s="9" t="str">
        <f ca="1">IFERROR(__xludf.DUMMYFUNCTION("""COMPUTED_VALUE"""),"USD PKR rate for 14/08/2020")</f>
        <v>USD PKR rate for 14/08/2020</v>
      </c>
      <c r="I1250" s="9"/>
    </row>
    <row r="1251" spans="1:9" ht="14.25" customHeight="1" x14ac:dyDescent="0.3">
      <c r="A1251" s="6">
        <v>40968</v>
      </c>
      <c r="B1251" s="7">
        <v>91.012</v>
      </c>
      <c r="C1251" s="8">
        <f t="shared" si="9"/>
        <v>98.762316570836475</v>
      </c>
      <c r="D1251" s="9">
        <f t="shared" si="8"/>
        <v>65.160420574922981</v>
      </c>
      <c r="E1251" s="9"/>
      <c r="F1251" s="9">
        <f ca="1">IFERROR(__xludf.DUMMYFUNCTION("""COMPUTED_VALUE"""),44056)</f>
        <v>44056</v>
      </c>
      <c r="G1251" s="9" t="str">
        <f ca="1">IFERROR(__xludf.DUMMYFUNCTION("""COMPUTED_VALUE"""),"1 USD = 168.1744 PKR")</f>
        <v>1 USD = 168.1744 PKR</v>
      </c>
      <c r="H1251" s="9" t="str">
        <f ca="1">IFERROR(__xludf.DUMMYFUNCTION("""COMPUTED_VALUE"""),"USD PKR rate for 13/08/2020")</f>
        <v>USD PKR rate for 13/08/2020</v>
      </c>
      <c r="I1251" s="9"/>
    </row>
    <row r="1252" spans="1:9" ht="14.25" customHeight="1" x14ac:dyDescent="0.3">
      <c r="A1252" s="6">
        <v>40969</v>
      </c>
      <c r="B1252" s="7">
        <v>91.005899999999997</v>
      </c>
      <c r="C1252" s="8">
        <f t="shared" si="9"/>
        <v>98.779980188277676</v>
      </c>
      <c r="D1252" s="9">
        <f t="shared" si="8"/>
        <v>65.163158407720246</v>
      </c>
      <c r="E1252" s="9"/>
      <c r="F1252" s="9">
        <f ca="1">IFERROR(__xludf.DUMMYFUNCTION("""COMPUTED_VALUE"""),44055)</f>
        <v>44055</v>
      </c>
      <c r="G1252" s="9" t="str">
        <f ca="1">IFERROR(__xludf.DUMMYFUNCTION("""COMPUTED_VALUE"""),"1 USD = 168.4204 PKR")</f>
        <v>1 USD = 168.4204 PKR</v>
      </c>
      <c r="H1252" s="9" t="str">
        <f ca="1">IFERROR(__xludf.DUMMYFUNCTION("""COMPUTED_VALUE"""),"USD PKR rate for 12/08/2020")</f>
        <v>USD PKR rate for 12/08/2020</v>
      </c>
      <c r="I1252" s="9"/>
    </row>
    <row r="1253" spans="1:9" ht="14.25" customHeight="1" x14ac:dyDescent="0.3">
      <c r="A1253" s="6">
        <v>40970</v>
      </c>
      <c r="B1253" s="7">
        <v>91.042300000000012</v>
      </c>
      <c r="C1253" s="8">
        <f t="shared" si="9"/>
        <v>98.797646964852788</v>
      </c>
      <c r="D1253" s="9">
        <f t="shared" si="8"/>
        <v>65.165896240517512</v>
      </c>
      <c r="E1253" s="9"/>
      <c r="F1253" s="9">
        <f ca="1">IFERROR(__xludf.DUMMYFUNCTION("""COMPUTED_VALUE"""),44054)</f>
        <v>44054</v>
      </c>
      <c r="G1253" s="9" t="str">
        <f ca="1">IFERROR(__xludf.DUMMYFUNCTION("""COMPUTED_VALUE"""),"1 USD = 168.5479 PKR")</f>
        <v>1 USD = 168.5479 PKR</v>
      </c>
      <c r="H1253" s="9" t="str">
        <f ca="1">IFERROR(__xludf.DUMMYFUNCTION("""COMPUTED_VALUE"""),"USD PKR rate for 11/08/2020")</f>
        <v>USD PKR rate for 11/08/2020</v>
      </c>
      <c r="I1253" s="9"/>
    </row>
    <row r="1254" spans="1:9" ht="14.25" customHeight="1" x14ac:dyDescent="0.3">
      <c r="A1254" s="6">
        <v>40971</v>
      </c>
      <c r="B1254" s="7">
        <v>91.042300000000012</v>
      </c>
      <c r="C1254" s="8">
        <f t="shared" si="9"/>
        <v>98.815316901126792</v>
      </c>
      <c r="D1254" s="9">
        <f t="shared" si="8"/>
        <v>65.168634073314777</v>
      </c>
      <c r="E1254" s="9"/>
      <c r="F1254" s="9">
        <f ca="1">IFERROR(__xludf.DUMMYFUNCTION("""COMPUTED_VALUE"""),44053)</f>
        <v>44053</v>
      </c>
      <c r="G1254" s="9" t="str">
        <f ca="1">IFERROR(__xludf.DUMMYFUNCTION("""COMPUTED_VALUE"""),"1 USD = 168.414 PKR")</f>
        <v>1 USD = 168.414 PKR</v>
      </c>
      <c r="H1254" s="9" t="str">
        <f ca="1">IFERROR(__xludf.DUMMYFUNCTION("""COMPUTED_VALUE"""),"USD PKR rate for 10/08/2020")</f>
        <v>USD PKR rate for 10/08/2020</v>
      </c>
      <c r="I1254" s="9"/>
    </row>
    <row r="1255" spans="1:9" ht="14.25" customHeight="1" x14ac:dyDescent="0.3">
      <c r="A1255" s="6">
        <v>40972</v>
      </c>
      <c r="B1255" s="7">
        <v>91.059600000000003</v>
      </c>
      <c r="C1255" s="8">
        <f t="shared" si="9"/>
        <v>98.832989997664797</v>
      </c>
      <c r="D1255" s="9">
        <f t="shared" si="8"/>
        <v>65.171371906112043</v>
      </c>
      <c r="E1255" s="9"/>
      <c r="F1255" s="9">
        <f ca="1">IFERROR(__xludf.DUMMYFUNCTION("""COMPUTED_VALUE"""),44052)</f>
        <v>44052</v>
      </c>
      <c r="G1255" s="9" t="str">
        <f ca="1">IFERROR(__xludf.DUMMYFUNCTION("""COMPUTED_VALUE"""),"1 USD = 168.7043 PKR")</f>
        <v>1 USD = 168.7043 PKR</v>
      </c>
      <c r="H1255" s="9" t="str">
        <f ca="1">IFERROR(__xludf.DUMMYFUNCTION("""COMPUTED_VALUE"""),"USD PKR rate for 09/08/2020")</f>
        <v>USD PKR rate for 09/08/2020</v>
      </c>
      <c r="I1255" s="9"/>
    </row>
    <row r="1256" spans="1:9" ht="14.25" customHeight="1" x14ac:dyDescent="0.3">
      <c r="A1256" s="6">
        <v>40973</v>
      </c>
      <c r="B1256" s="7">
        <v>90.860399999999998</v>
      </c>
      <c r="C1256" s="8">
        <f t="shared" si="9"/>
        <v>98.85066625503201</v>
      </c>
      <c r="D1256" s="9">
        <f t="shared" si="8"/>
        <v>65.174109738909308</v>
      </c>
      <c r="E1256" s="9"/>
      <c r="F1256" s="9">
        <f ca="1">IFERROR(__xludf.DUMMYFUNCTION("""COMPUTED_VALUE"""),44051)</f>
        <v>44051</v>
      </c>
      <c r="G1256" s="9" t="str">
        <f ca="1">IFERROR(__xludf.DUMMYFUNCTION("""COMPUTED_VALUE"""),"1 USD = 168.8777 PKR")</f>
        <v>1 USD = 168.8777 PKR</v>
      </c>
      <c r="H1256" s="9" t="str">
        <f ca="1">IFERROR(__xludf.DUMMYFUNCTION("""COMPUTED_VALUE"""),"USD PKR rate for 08/08/2020")</f>
        <v>USD PKR rate for 08/08/2020</v>
      </c>
      <c r="I1256" s="9"/>
    </row>
    <row r="1257" spans="1:9" ht="14.25" customHeight="1" x14ac:dyDescent="0.3">
      <c r="A1257" s="6">
        <v>40974</v>
      </c>
      <c r="B1257" s="7">
        <v>90.9345</v>
      </c>
      <c r="C1257" s="8">
        <f t="shared" si="9"/>
        <v>98.868345673793684</v>
      </c>
      <c r="D1257" s="9">
        <f t="shared" si="8"/>
        <v>65.176847571706574</v>
      </c>
      <c r="E1257" s="9"/>
      <c r="F1257" s="9">
        <f ca="1">IFERROR(__xludf.DUMMYFUNCTION("""COMPUTED_VALUE"""),44050)</f>
        <v>44050</v>
      </c>
      <c r="G1257" s="9" t="str">
        <f ca="1">IFERROR(__xludf.DUMMYFUNCTION("""COMPUTED_VALUE"""),"1 USD = 167.8973 PKR")</f>
        <v>1 USD = 167.8973 PKR</v>
      </c>
      <c r="H1257" s="9" t="str">
        <f ca="1">IFERROR(__xludf.DUMMYFUNCTION("""COMPUTED_VALUE"""),"USD PKR rate for 07/08/2020")</f>
        <v>USD PKR rate for 07/08/2020</v>
      </c>
      <c r="I1257" s="9"/>
    </row>
    <row r="1258" spans="1:9" ht="14.25" customHeight="1" x14ac:dyDescent="0.3">
      <c r="A1258" s="6">
        <v>40975</v>
      </c>
      <c r="B1258" s="7">
        <v>90.955600000000004</v>
      </c>
      <c r="C1258" s="8">
        <f t="shared" si="9"/>
        <v>98.886028254515395</v>
      </c>
      <c r="D1258" s="9">
        <f t="shared" si="8"/>
        <v>65.17958540450384</v>
      </c>
      <c r="E1258" s="9"/>
      <c r="F1258" s="9">
        <f ca="1">IFERROR(__xludf.DUMMYFUNCTION("""COMPUTED_VALUE"""),44049)</f>
        <v>44049</v>
      </c>
      <c r="G1258" s="9" t="str">
        <f ca="1">IFERROR(__xludf.DUMMYFUNCTION("""COMPUTED_VALUE"""),"1 USD = 168.6689 PKR")</f>
        <v>1 USD = 168.6689 PKR</v>
      </c>
      <c r="H1258" s="9" t="str">
        <f ca="1">IFERROR(__xludf.DUMMYFUNCTION("""COMPUTED_VALUE"""),"USD PKR rate for 06/08/2020")</f>
        <v>USD PKR rate for 06/08/2020</v>
      </c>
      <c r="I1258" s="9"/>
    </row>
    <row r="1259" spans="1:9" ht="14.25" customHeight="1" x14ac:dyDescent="0.3">
      <c r="A1259" s="6">
        <v>40976</v>
      </c>
      <c r="B1259" s="7">
        <v>90.934100000000001</v>
      </c>
      <c r="C1259" s="8">
        <f t="shared" si="9"/>
        <v>98.90371399776258</v>
      </c>
      <c r="D1259" s="9">
        <f t="shared" si="8"/>
        <v>65.182323237301105</v>
      </c>
      <c r="E1259" s="9"/>
      <c r="F1259" s="9">
        <f ca="1">IFERROR(__xludf.DUMMYFUNCTION("""COMPUTED_VALUE"""),44048)</f>
        <v>44048</v>
      </c>
      <c r="G1259" s="9" t="str">
        <f ca="1">IFERROR(__xludf.DUMMYFUNCTION("""COMPUTED_VALUE"""),"1 USD = 168.1857 PKR")</f>
        <v>1 USD = 168.1857 PKR</v>
      </c>
      <c r="H1259" s="9" t="str">
        <f ca="1">IFERROR(__xludf.DUMMYFUNCTION("""COMPUTED_VALUE"""),"USD PKR rate for 05/08/2020")</f>
        <v>USD PKR rate for 05/08/2020</v>
      </c>
      <c r="I1259" s="9"/>
    </row>
    <row r="1260" spans="1:9" ht="14.25" customHeight="1" x14ac:dyDescent="0.3">
      <c r="A1260" s="6">
        <v>40977</v>
      </c>
      <c r="B1260" s="7">
        <v>90.766599999999997</v>
      </c>
      <c r="C1260" s="8">
        <f t="shared" si="9"/>
        <v>98.921402904100859</v>
      </c>
      <c r="D1260" s="9">
        <f t="shared" si="8"/>
        <v>65.185061070098371</v>
      </c>
      <c r="E1260" s="9"/>
      <c r="F1260" s="9">
        <f ca="1">IFERROR(__xludf.DUMMYFUNCTION("""COMPUTED_VALUE"""),44047)</f>
        <v>44047</v>
      </c>
      <c r="G1260" s="9" t="str">
        <f ca="1">IFERROR(__xludf.DUMMYFUNCTION("""COMPUTED_VALUE"""),"1 USD = 167.5965 PKR")</f>
        <v>1 USD = 167.5965 PKR</v>
      </c>
      <c r="H1260" s="9" t="str">
        <f ca="1">IFERROR(__xludf.DUMMYFUNCTION("""COMPUTED_VALUE"""),"USD PKR rate for 04/08/2020")</f>
        <v>USD PKR rate for 04/08/2020</v>
      </c>
      <c r="I1260" s="9"/>
    </row>
    <row r="1261" spans="1:9" ht="14.25" customHeight="1" x14ac:dyDescent="0.3">
      <c r="A1261" s="6">
        <v>40978</v>
      </c>
      <c r="B1261" s="7">
        <v>90.766599999999997</v>
      </c>
      <c r="C1261" s="8">
        <f t="shared" si="9"/>
        <v>98.939094974095923</v>
      </c>
      <c r="D1261" s="9">
        <f t="shared" si="8"/>
        <v>65.187798902895636</v>
      </c>
      <c r="E1261" s="9"/>
      <c r="F1261" s="9">
        <f ca="1">IFERROR(__xludf.DUMMYFUNCTION("""COMPUTED_VALUE"""),44046)</f>
        <v>44046</v>
      </c>
      <c r="G1261" s="9" t="str">
        <f ca="1">IFERROR(__xludf.DUMMYFUNCTION("""COMPUTED_VALUE"""),"1 USD = 167.0128 PKR")</f>
        <v>1 USD = 167.0128 PKR</v>
      </c>
      <c r="H1261" s="9" t="str">
        <f ca="1">IFERROR(__xludf.DUMMYFUNCTION("""COMPUTED_VALUE"""),"USD PKR rate for 03/08/2020")</f>
        <v>USD PKR rate for 03/08/2020</v>
      </c>
      <c r="I1261" s="9"/>
    </row>
    <row r="1262" spans="1:9" ht="14.25" customHeight="1" x14ac:dyDescent="0.3">
      <c r="A1262" s="6">
        <v>40979</v>
      </c>
      <c r="B1262" s="7">
        <v>90.801400000000001</v>
      </c>
      <c r="C1262" s="8">
        <f t="shared" si="9"/>
        <v>98.956790208313592</v>
      </c>
      <c r="D1262" s="9">
        <f t="shared" si="8"/>
        <v>65.190536735692902</v>
      </c>
      <c r="E1262" s="9"/>
      <c r="F1262" s="9">
        <f ca="1">IFERROR(__xludf.DUMMYFUNCTION("""COMPUTED_VALUE"""),44045)</f>
        <v>44045</v>
      </c>
      <c r="G1262" s="9" t="str">
        <f ca="1">IFERROR(__xludf.DUMMYFUNCTION("""COMPUTED_VALUE"""),"1 USD = 167.5006 PKR")</f>
        <v>1 USD = 167.5006 PKR</v>
      </c>
      <c r="H1262" s="9" t="str">
        <f ca="1">IFERROR(__xludf.DUMMYFUNCTION("""COMPUTED_VALUE"""),"USD PKR rate for 02/08/2020")</f>
        <v>USD PKR rate for 02/08/2020</v>
      </c>
      <c r="I1262" s="9"/>
    </row>
    <row r="1263" spans="1:9" ht="14.25" customHeight="1" x14ac:dyDescent="0.3">
      <c r="A1263" s="6">
        <v>40980</v>
      </c>
      <c r="B1263" s="7">
        <v>90.642100000000013</v>
      </c>
      <c r="C1263" s="8">
        <f t="shared" si="9"/>
        <v>98.974488607319813</v>
      </c>
      <c r="D1263" s="9">
        <f t="shared" si="8"/>
        <v>65.193274568490168</v>
      </c>
      <c r="E1263" s="9"/>
      <c r="F1263" s="9">
        <f ca="1">IFERROR(__xludf.DUMMYFUNCTION("""COMPUTED_VALUE"""),44044)</f>
        <v>44044</v>
      </c>
      <c r="G1263" s="9" t="str">
        <f ca="1">IFERROR(__xludf.DUMMYFUNCTION("""COMPUTED_VALUE"""),"1 USD = 167.6345 PKR")</f>
        <v>1 USD = 167.6345 PKR</v>
      </c>
      <c r="H1263" s="9" t="str">
        <f ca="1">IFERROR(__xludf.DUMMYFUNCTION("""COMPUTED_VALUE"""),"USD PKR rate for 01/08/2020")</f>
        <v>USD PKR rate for 01/08/2020</v>
      </c>
      <c r="I1263" s="9"/>
    </row>
    <row r="1264" spans="1:9" ht="14.25" customHeight="1" x14ac:dyDescent="0.3">
      <c r="A1264" s="6">
        <v>40981</v>
      </c>
      <c r="B1264" s="7">
        <v>90.850200000000001</v>
      </c>
      <c r="C1264" s="8">
        <f t="shared" si="9"/>
        <v>98.992190171680605</v>
      </c>
      <c r="D1264" s="9">
        <f t="shared" si="8"/>
        <v>65.196012401287433</v>
      </c>
      <c r="E1264" s="9"/>
      <c r="F1264" s="9">
        <f ca="1">IFERROR(__xludf.DUMMYFUNCTION("""COMPUTED_VALUE"""),44043)</f>
        <v>44043</v>
      </c>
      <c r="G1264" s="9" t="str">
        <f ca="1">IFERROR(__xludf.DUMMYFUNCTION("""COMPUTED_VALUE"""),"1 USD = 167.6336 PKR")</f>
        <v>1 USD = 167.6336 PKR</v>
      </c>
      <c r="H1264" s="9" t="str">
        <f ca="1">IFERROR(__xludf.DUMMYFUNCTION("""COMPUTED_VALUE"""),"USD PKR rate for 31/07/2020")</f>
        <v>USD PKR rate for 31/07/2020</v>
      </c>
      <c r="I1264" s="9"/>
    </row>
    <row r="1265" spans="1:9" ht="14.25" customHeight="1" x14ac:dyDescent="0.3">
      <c r="A1265" s="6">
        <v>40982</v>
      </c>
      <c r="B1265" s="7">
        <v>90.802499999999995</v>
      </c>
      <c r="C1265" s="8">
        <f t="shared" si="9"/>
        <v>99.009894901962085</v>
      </c>
      <c r="D1265" s="9">
        <f t="shared" si="8"/>
        <v>65.198750234084699</v>
      </c>
      <c r="E1265" s="9"/>
      <c r="F1265" s="9">
        <f ca="1">IFERROR(__xludf.DUMMYFUNCTION("""COMPUTED_VALUE"""),44042)</f>
        <v>44042</v>
      </c>
      <c r="G1265" s="9" t="str">
        <f ca="1">IFERROR(__xludf.DUMMYFUNCTION("""COMPUTED_VALUE"""),"1 USD = 167.0707 PKR")</f>
        <v>1 USD = 167.0707 PKR</v>
      </c>
      <c r="H1265" s="9" t="str">
        <f ca="1">IFERROR(__xludf.DUMMYFUNCTION("""COMPUTED_VALUE"""),"USD PKR rate for 30/07/2020")</f>
        <v>USD PKR rate for 30/07/2020</v>
      </c>
      <c r="I1265" s="9"/>
    </row>
    <row r="1266" spans="1:9" ht="14.25" customHeight="1" x14ac:dyDescent="0.3">
      <c r="A1266" s="6">
        <v>40983</v>
      </c>
      <c r="B1266" s="7">
        <v>90.814400000000006</v>
      </c>
      <c r="C1266" s="8">
        <f t="shared" si="9"/>
        <v>99.027602798730385</v>
      </c>
      <c r="D1266" s="9">
        <f t="shared" si="8"/>
        <v>65.201488066881964</v>
      </c>
      <c r="E1266" s="9"/>
      <c r="F1266" s="9">
        <f ca="1">IFERROR(__xludf.DUMMYFUNCTION("""COMPUTED_VALUE"""),44041)</f>
        <v>44041</v>
      </c>
      <c r="G1266" s="9" t="str">
        <f ca="1">IFERROR(__xludf.DUMMYFUNCTION("""COMPUTED_VALUE"""),"1 USD = 166.9185 PKR")</f>
        <v>1 USD = 166.9185 PKR</v>
      </c>
      <c r="H1266" s="9" t="str">
        <f ca="1">IFERROR(__xludf.DUMMYFUNCTION("""COMPUTED_VALUE"""),"USD PKR rate for 29/07/2020")</f>
        <v>USD PKR rate for 29/07/2020</v>
      </c>
      <c r="I1266" s="9"/>
    </row>
    <row r="1267" spans="1:9" ht="14.25" customHeight="1" x14ac:dyDescent="0.3">
      <c r="A1267" s="6">
        <v>40984</v>
      </c>
      <c r="B1267" s="7">
        <v>90.770700000000019</v>
      </c>
      <c r="C1267" s="8">
        <f t="shared" si="9"/>
        <v>99.045313862552007</v>
      </c>
      <c r="D1267" s="9">
        <f t="shared" si="8"/>
        <v>65.20422589967923</v>
      </c>
      <c r="E1267" s="9"/>
      <c r="F1267" s="9">
        <f ca="1">IFERROR(__xludf.DUMMYFUNCTION("""COMPUTED_VALUE"""),44040)</f>
        <v>44040</v>
      </c>
      <c r="G1267" s="9" t="str">
        <f ca="1">IFERROR(__xludf.DUMMYFUNCTION("""COMPUTED_VALUE"""),"1 USD = 166.4407 PKR")</f>
        <v>1 USD = 166.4407 PKR</v>
      </c>
      <c r="H1267" s="9" t="str">
        <f ca="1">IFERROR(__xludf.DUMMYFUNCTION("""COMPUTED_VALUE"""),"USD PKR rate for 28/07/2020")</f>
        <v>USD PKR rate for 28/07/2020</v>
      </c>
      <c r="I1267" s="9"/>
    </row>
    <row r="1268" spans="1:9" ht="14.25" customHeight="1" x14ac:dyDescent="0.3">
      <c r="A1268" s="6">
        <v>40985</v>
      </c>
      <c r="B1268" s="7">
        <v>90.770700000000019</v>
      </c>
      <c r="C1268" s="8">
        <f t="shared" si="9"/>
        <v>99.063028093993282</v>
      </c>
      <c r="D1268" s="9">
        <f t="shared" si="8"/>
        <v>65.206963732476495</v>
      </c>
      <c r="E1268" s="9"/>
      <c r="F1268" s="9">
        <f ca="1">IFERROR(__xludf.DUMMYFUNCTION("""COMPUTED_VALUE"""),44039)</f>
        <v>44039</v>
      </c>
      <c r="G1268" s="9" t="str">
        <f ca="1">IFERROR(__xludf.DUMMYFUNCTION("""COMPUTED_VALUE"""),"1 USD = 166.8186 PKR")</f>
        <v>1 USD = 166.8186 PKR</v>
      </c>
      <c r="H1268" s="9" t="str">
        <f ca="1">IFERROR(__xludf.DUMMYFUNCTION("""COMPUTED_VALUE"""),"USD PKR rate for 27/07/2020")</f>
        <v>USD PKR rate for 27/07/2020</v>
      </c>
      <c r="I1268" s="9"/>
    </row>
    <row r="1269" spans="1:9" ht="14.25" customHeight="1" x14ac:dyDescent="0.3">
      <c r="A1269" s="6">
        <v>40986</v>
      </c>
      <c r="B1269" s="7">
        <v>90.816599999999994</v>
      </c>
      <c r="C1269" s="8">
        <f t="shared" si="9"/>
        <v>99.080745493620753</v>
      </c>
      <c r="D1269" s="9">
        <f t="shared" si="8"/>
        <v>65.209701565273761</v>
      </c>
      <c r="E1269" s="9"/>
      <c r="F1269" s="9">
        <f ca="1">IFERROR(__xludf.DUMMYFUNCTION("""COMPUTED_VALUE"""),44038)</f>
        <v>44038</v>
      </c>
      <c r="G1269" s="9" t="str">
        <f ca="1">IFERROR(__xludf.DUMMYFUNCTION("""COMPUTED_VALUE"""),"1 USD = 167.8376 PKR")</f>
        <v>1 USD = 167.8376 PKR</v>
      </c>
      <c r="H1269" s="9" t="str">
        <f ca="1">IFERROR(__xludf.DUMMYFUNCTION("""COMPUTED_VALUE"""),"USD PKR rate for 26/07/2020")</f>
        <v>USD PKR rate for 26/07/2020</v>
      </c>
      <c r="I1269" s="9"/>
    </row>
    <row r="1270" spans="1:9" ht="14.25" customHeight="1" x14ac:dyDescent="0.3">
      <c r="A1270" s="6">
        <v>40987</v>
      </c>
      <c r="B1270" s="7">
        <v>90.740300000000005</v>
      </c>
      <c r="C1270" s="8">
        <f t="shared" si="9"/>
        <v>99.098466062001037</v>
      </c>
      <c r="D1270" s="9">
        <f t="shared" si="8"/>
        <v>65.212439398071027</v>
      </c>
      <c r="E1270" s="9"/>
      <c r="F1270" s="9">
        <f ca="1">IFERROR(__xludf.DUMMYFUNCTION("""COMPUTED_VALUE"""),44037)</f>
        <v>44037</v>
      </c>
      <c r="G1270" s="9" t="str">
        <f ca="1">IFERROR(__xludf.DUMMYFUNCTION("""COMPUTED_VALUE"""),"1 USD = 167.4435 PKR")</f>
        <v>1 USD = 167.4435 PKR</v>
      </c>
      <c r="H1270" s="9" t="str">
        <f ca="1">IFERROR(__xludf.DUMMYFUNCTION("""COMPUTED_VALUE"""),"USD PKR rate for 25/07/2020")</f>
        <v>USD PKR rate for 25/07/2020</v>
      </c>
      <c r="I1270" s="9"/>
    </row>
    <row r="1271" spans="1:9" ht="14.25" customHeight="1" x14ac:dyDescent="0.3">
      <c r="A1271" s="6">
        <v>40988</v>
      </c>
      <c r="B1271" s="7">
        <v>90.693600000000004</v>
      </c>
      <c r="C1271" s="8">
        <f t="shared" si="9"/>
        <v>99.116189799700877</v>
      </c>
      <c r="D1271" s="9">
        <f t="shared" si="8"/>
        <v>65.215177230868292</v>
      </c>
      <c r="E1271" s="9"/>
      <c r="F1271" s="9">
        <f ca="1">IFERROR(__xludf.DUMMYFUNCTION("""COMPUTED_VALUE"""),44036)</f>
        <v>44036</v>
      </c>
      <c r="G1271" s="9" t="str">
        <f ca="1">IFERROR(__xludf.DUMMYFUNCTION("""COMPUTED_VALUE"""),"1 USD = 167.4439 PKR")</f>
        <v>1 USD = 167.4439 PKR</v>
      </c>
      <c r="H1271" s="9" t="str">
        <f ca="1">IFERROR(__xludf.DUMMYFUNCTION("""COMPUTED_VALUE"""),"USD PKR rate for 24/07/2020")</f>
        <v>USD PKR rate for 24/07/2020</v>
      </c>
      <c r="I1271" s="9"/>
    </row>
    <row r="1272" spans="1:9" ht="14.25" customHeight="1" x14ac:dyDescent="0.3">
      <c r="A1272" s="6">
        <v>40989</v>
      </c>
      <c r="B1272" s="7">
        <v>90.7363</v>
      </c>
      <c r="C1272" s="8">
        <f t="shared" si="9"/>
        <v>99.133916707287099</v>
      </c>
      <c r="D1272" s="9">
        <f t="shared" si="8"/>
        <v>65.217915063665558</v>
      </c>
      <c r="E1272" s="9"/>
      <c r="F1272" s="9">
        <f ca="1">IFERROR(__xludf.DUMMYFUNCTION("""COMPUTED_VALUE"""),44035)</f>
        <v>44035</v>
      </c>
      <c r="G1272" s="9" t="str">
        <f ca="1">IFERROR(__xludf.DUMMYFUNCTION("""COMPUTED_VALUE"""),"1 USD = 167.9573 PKR")</f>
        <v>1 USD = 167.9573 PKR</v>
      </c>
      <c r="H1272" s="9" t="str">
        <f ca="1">IFERROR(__xludf.DUMMYFUNCTION("""COMPUTED_VALUE"""),"USD PKR rate for 23/07/2020")</f>
        <v>USD PKR rate for 23/07/2020</v>
      </c>
      <c r="I1272" s="9"/>
    </row>
    <row r="1273" spans="1:9" ht="14.25" customHeight="1" x14ac:dyDescent="0.3">
      <c r="A1273" s="6">
        <v>40990</v>
      </c>
      <c r="B1273" s="7">
        <v>90.792199999999994</v>
      </c>
      <c r="C1273" s="8">
        <f t="shared" si="9"/>
        <v>99.151646785326633</v>
      </c>
      <c r="D1273" s="9">
        <f t="shared" si="8"/>
        <v>65.220652896462823</v>
      </c>
      <c r="E1273" s="9"/>
      <c r="F1273" s="9">
        <f ca="1">IFERROR(__xludf.DUMMYFUNCTION("""COMPUTED_VALUE"""),44034)</f>
        <v>44034</v>
      </c>
      <c r="G1273" s="9" t="str">
        <f ca="1">IFERROR(__xludf.DUMMYFUNCTION("""COMPUTED_VALUE"""),"1 USD = 167.9466 PKR")</f>
        <v>1 USD = 167.9466 PKR</v>
      </c>
      <c r="H1273" s="9" t="str">
        <f ca="1">IFERROR(__xludf.DUMMYFUNCTION("""COMPUTED_VALUE"""),"USD PKR rate for 22/07/2020")</f>
        <v>USD PKR rate for 22/07/2020</v>
      </c>
      <c r="I1273" s="9"/>
    </row>
    <row r="1274" spans="1:9" ht="14.25" customHeight="1" x14ac:dyDescent="0.3">
      <c r="A1274" s="6">
        <v>40991</v>
      </c>
      <c r="B1274" s="7">
        <v>91.912700000000001</v>
      </c>
      <c r="C1274" s="8">
        <f t="shared" si="9"/>
        <v>99.169380034386521</v>
      </c>
      <c r="D1274" s="9">
        <f t="shared" si="8"/>
        <v>65.223390729260089</v>
      </c>
      <c r="E1274" s="9"/>
      <c r="F1274" s="9">
        <f ca="1">IFERROR(__xludf.DUMMYFUNCTION("""COMPUTED_VALUE"""),44033)</f>
        <v>44033</v>
      </c>
      <c r="G1274" s="9" t="str">
        <f ca="1">IFERROR(__xludf.DUMMYFUNCTION("""COMPUTED_VALUE"""),"1 USD = 167.587 PKR")</f>
        <v>1 USD = 167.587 PKR</v>
      </c>
      <c r="H1274" s="9" t="str">
        <f ca="1">IFERROR(__xludf.DUMMYFUNCTION("""COMPUTED_VALUE"""),"USD PKR rate for 21/07/2020")</f>
        <v>USD PKR rate for 21/07/2020</v>
      </c>
      <c r="I1274" s="9"/>
    </row>
    <row r="1275" spans="1:9" ht="14.25" customHeight="1" x14ac:dyDescent="0.3">
      <c r="A1275" s="6">
        <v>40992</v>
      </c>
      <c r="B1275" s="7">
        <v>91.912700000000001</v>
      </c>
      <c r="C1275" s="8">
        <f t="shared" si="9"/>
        <v>99.187116455033816</v>
      </c>
      <c r="D1275" s="9">
        <f t="shared" si="8"/>
        <v>65.226128562057355</v>
      </c>
      <c r="E1275" s="9"/>
      <c r="F1275" s="9">
        <f ca="1">IFERROR(__xludf.DUMMYFUNCTION("""COMPUTED_VALUE"""),44032)</f>
        <v>44032</v>
      </c>
      <c r="G1275" s="9" t="str">
        <f ca="1">IFERROR(__xludf.DUMMYFUNCTION("""COMPUTED_VALUE"""),"1 USD = 167.6053 PKR")</f>
        <v>1 USD = 167.6053 PKR</v>
      </c>
      <c r="H1275" s="9" t="str">
        <f ca="1">IFERROR(__xludf.DUMMYFUNCTION("""COMPUTED_VALUE"""),"USD PKR rate for 20/07/2020")</f>
        <v>USD PKR rate for 20/07/2020</v>
      </c>
      <c r="I1275" s="9"/>
    </row>
    <row r="1276" spans="1:9" ht="14.25" customHeight="1" x14ac:dyDescent="0.3">
      <c r="A1276" s="6">
        <v>40993</v>
      </c>
      <c r="B1276" s="7">
        <v>91.872200000000007</v>
      </c>
      <c r="C1276" s="8">
        <f t="shared" si="9"/>
        <v>99.204856047835904</v>
      </c>
      <c r="D1276" s="9">
        <f t="shared" si="8"/>
        <v>65.22886639485462</v>
      </c>
      <c r="E1276" s="9"/>
      <c r="F1276" s="9">
        <f ca="1">IFERROR(__xludf.DUMMYFUNCTION("""COMPUTED_VALUE"""),44031)</f>
        <v>44031</v>
      </c>
      <c r="G1276" s="9" t="str">
        <f ca="1">IFERROR(__xludf.DUMMYFUNCTION("""COMPUTED_VALUE"""),"1 USD = 167.4781 PKR")</f>
        <v>1 USD = 167.4781 PKR</v>
      </c>
      <c r="H1276" s="9" t="str">
        <f ca="1">IFERROR(__xludf.DUMMYFUNCTION("""COMPUTED_VALUE"""),"USD PKR rate for 19/07/2020")</f>
        <v>USD PKR rate for 19/07/2020</v>
      </c>
      <c r="I1276" s="9"/>
    </row>
    <row r="1277" spans="1:9" ht="14.25" customHeight="1" x14ac:dyDescent="0.3">
      <c r="A1277" s="6">
        <v>40994</v>
      </c>
      <c r="B1277" s="7">
        <v>90.901200000000003</v>
      </c>
      <c r="C1277" s="8">
        <f t="shared" si="9"/>
        <v>99.222598813360065</v>
      </c>
      <c r="D1277" s="9">
        <f t="shared" si="8"/>
        <v>65.231604227651886</v>
      </c>
      <c r="E1277" s="9"/>
      <c r="F1277" s="9">
        <f ca="1">IFERROR(__xludf.DUMMYFUNCTION("""COMPUTED_VALUE"""),44030)</f>
        <v>44030</v>
      </c>
      <c r="G1277" s="9" t="str">
        <f ca="1">IFERROR(__xludf.DUMMYFUNCTION("""COMPUTED_VALUE"""),"1 USD = 167.3775 PKR")</f>
        <v>1 USD = 167.3775 PKR</v>
      </c>
      <c r="H1277" s="9" t="str">
        <f ca="1">IFERROR(__xludf.DUMMYFUNCTION("""COMPUTED_VALUE"""),"USD PKR rate for 18/07/2020")</f>
        <v>USD PKR rate for 18/07/2020</v>
      </c>
      <c r="I1277" s="9"/>
    </row>
    <row r="1278" spans="1:9" ht="14.25" customHeight="1" x14ac:dyDescent="0.3">
      <c r="A1278" s="6">
        <v>40995</v>
      </c>
      <c r="B1278" s="7">
        <v>90.813400000000001</v>
      </c>
      <c r="C1278" s="8">
        <f t="shared" si="9"/>
        <v>99.240344752173726</v>
      </c>
      <c r="D1278" s="9">
        <f t="shared" ref="D1278:D1532" si="10">(A1278-$A$3)/365.2524</f>
        <v>65.234342060449151</v>
      </c>
      <c r="E1278" s="9"/>
      <c r="F1278" s="9">
        <f ca="1">IFERROR(__xludf.DUMMYFUNCTION("""COMPUTED_VALUE"""),44029)</f>
        <v>44029</v>
      </c>
      <c r="G1278" s="9" t="str">
        <f ca="1">IFERROR(__xludf.DUMMYFUNCTION("""COMPUTED_VALUE"""),"1 USD = 167.3775 PKR")</f>
        <v>1 USD = 167.3775 PKR</v>
      </c>
      <c r="H1278" s="9" t="str">
        <f ca="1">IFERROR(__xludf.DUMMYFUNCTION("""COMPUTED_VALUE"""),"USD PKR rate for 17/07/2020")</f>
        <v>USD PKR rate for 17/07/2020</v>
      </c>
      <c r="I1278" s="9"/>
    </row>
    <row r="1279" spans="1:9" ht="14.25" customHeight="1" x14ac:dyDescent="0.3">
      <c r="A1279" s="6">
        <v>40996</v>
      </c>
      <c r="B1279" s="7">
        <v>90.653000000000006</v>
      </c>
      <c r="C1279" s="8">
        <f t="shared" ref="C1279:C1533" si="11">(1+$C$1)^D1279*$C$3</f>
        <v>99.258093864844454</v>
      </c>
      <c r="D1279" s="9">
        <f t="shared" si="10"/>
        <v>65.237079893246417</v>
      </c>
      <c r="E1279" s="9"/>
      <c r="F1279" s="9">
        <f ca="1">IFERROR(__xludf.DUMMYFUNCTION("""COMPUTED_VALUE"""),44028)</f>
        <v>44028</v>
      </c>
      <c r="G1279" s="9" t="str">
        <f ca="1">IFERROR(__xludf.DUMMYFUNCTION("""COMPUTED_VALUE"""),"1 USD = 167.0377 PKR")</f>
        <v>1 USD = 167.0377 PKR</v>
      </c>
      <c r="H1279" s="9" t="str">
        <f ca="1">IFERROR(__xludf.DUMMYFUNCTION("""COMPUTED_VALUE"""),"USD PKR rate for 16/07/2020")</f>
        <v>USD PKR rate for 16/07/2020</v>
      </c>
      <c r="I1279" s="9"/>
    </row>
    <row r="1280" spans="1:9" ht="14.25" customHeight="1" x14ac:dyDescent="0.3">
      <c r="A1280" s="6">
        <v>40997</v>
      </c>
      <c r="B1280" s="7">
        <v>90.671199999999999</v>
      </c>
      <c r="C1280" s="8">
        <f t="shared" si="11"/>
        <v>99.275846151939845</v>
      </c>
      <c r="D1280" s="9">
        <f t="shared" si="10"/>
        <v>65.239817726043682</v>
      </c>
      <c r="E1280" s="9"/>
      <c r="F1280" s="9">
        <f ca="1">IFERROR(__xludf.DUMMYFUNCTION("""COMPUTED_VALUE"""),44027)</f>
        <v>44027</v>
      </c>
      <c r="G1280" s="9" t="str">
        <f ca="1">IFERROR(__xludf.DUMMYFUNCTION("""COMPUTED_VALUE"""),"1 USD = 166.8772 PKR")</f>
        <v>1 USD = 166.8772 PKR</v>
      </c>
      <c r="H1280" s="9" t="str">
        <f ca="1">IFERROR(__xludf.DUMMYFUNCTION("""COMPUTED_VALUE"""),"USD PKR rate for 15/07/2020")</f>
        <v>USD PKR rate for 15/07/2020</v>
      </c>
      <c r="I1280" s="9"/>
    </row>
    <row r="1281" spans="1:9" ht="14.25" customHeight="1" x14ac:dyDescent="0.3">
      <c r="A1281" s="6">
        <v>40998</v>
      </c>
      <c r="B1281" s="7">
        <v>90.686099999999996</v>
      </c>
      <c r="C1281" s="8">
        <f t="shared" si="11"/>
        <v>99.293601614027693</v>
      </c>
      <c r="D1281" s="9">
        <f t="shared" si="10"/>
        <v>65.242555558840948</v>
      </c>
      <c r="E1281" s="9"/>
      <c r="F1281" s="9">
        <f ca="1">IFERROR(__xludf.DUMMYFUNCTION("""COMPUTED_VALUE"""),44026)</f>
        <v>44026</v>
      </c>
      <c r="G1281" s="9" t="str">
        <f ca="1">IFERROR(__xludf.DUMMYFUNCTION("""COMPUTED_VALUE"""),"1 USD = 166.9728 PKR")</f>
        <v>1 USD = 166.9728 PKR</v>
      </c>
      <c r="H1281" s="9" t="str">
        <f ca="1">IFERROR(__xludf.DUMMYFUNCTION("""COMPUTED_VALUE"""),"USD PKR rate for 14/07/2020")</f>
        <v>USD PKR rate for 14/07/2020</v>
      </c>
      <c r="I1281" s="9"/>
    </row>
    <row r="1282" spans="1:9" ht="14.25" customHeight="1" x14ac:dyDescent="0.3">
      <c r="A1282" s="6">
        <v>40999</v>
      </c>
      <c r="B1282" s="7">
        <v>90.686099999999996</v>
      </c>
      <c r="C1282" s="8">
        <f t="shared" si="11"/>
        <v>99.311360251675808</v>
      </c>
      <c r="D1282" s="9">
        <f t="shared" si="10"/>
        <v>65.245293391638214</v>
      </c>
      <c r="E1282" s="9"/>
      <c r="F1282" s="9">
        <f ca="1">IFERROR(__xludf.DUMMYFUNCTION("""COMPUTED_VALUE"""),44025)</f>
        <v>44025</v>
      </c>
      <c r="G1282" s="9" t="str">
        <f ca="1">IFERROR(__xludf.DUMMYFUNCTION("""COMPUTED_VALUE"""),"1 USD = 167.0159 PKR")</f>
        <v>1 USD = 167.0159 PKR</v>
      </c>
      <c r="H1282" s="9" t="str">
        <f ca="1">IFERROR(__xludf.DUMMYFUNCTION("""COMPUTED_VALUE"""),"USD PKR rate for 13/07/2020")</f>
        <v>USD PKR rate for 13/07/2020</v>
      </c>
      <c r="I1282" s="9"/>
    </row>
    <row r="1283" spans="1:9" ht="14.25" customHeight="1" x14ac:dyDescent="0.3">
      <c r="A1283" s="6">
        <v>41000</v>
      </c>
      <c r="B1283" s="7">
        <v>90.686099999999996</v>
      </c>
      <c r="C1283" s="8">
        <f t="shared" si="11"/>
        <v>99.329122065452154</v>
      </c>
      <c r="D1283" s="9">
        <f t="shared" si="10"/>
        <v>65.248031224435479</v>
      </c>
      <c r="E1283" s="9"/>
      <c r="F1283" s="9">
        <f ca="1">IFERROR(__xludf.DUMMYFUNCTION("""COMPUTED_VALUE"""),44024)</f>
        <v>44024</v>
      </c>
      <c r="G1283" s="9" t="str">
        <f ca="1">IFERROR(__xludf.DUMMYFUNCTION("""COMPUTED_VALUE"""),"1 USD = 166.2111 PKR")</f>
        <v>1 USD = 166.2111 PKR</v>
      </c>
      <c r="H1283" s="9" t="str">
        <f ca="1">IFERROR(__xludf.DUMMYFUNCTION("""COMPUTED_VALUE"""),"USD PKR rate for 12/07/2020")</f>
        <v>USD PKR rate for 12/07/2020</v>
      </c>
      <c r="I1283" s="9"/>
    </row>
    <row r="1284" spans="1:9" ht="14.25" customHeight="1" x14ac:dyDescent="0.3">
      <c r="A1284" s="6">
        <v>41001</v>
      </c>
      <c r="B1284" s="7">
        <v>90.678899999999999</v>
      </c>
      <c r="C1284" s="8">
        <f t="shared" si="11"/>
        <v>99.346887055924682</v>
      </c>
      <c r="D1284" s="9">
        <f t="shared" si="10"/>
        <v>65.250769057232745</v>
      </c>
      <c r="E1284" s="9"/>
      <c r="F1284" s="9">
        <f ca="1">IFERROR(__xludf.DUMMYFUNCTION("""COMPUTED_VALUE"""),44023)</f>
        <v>44023</v>
      </c>
      <c r="G1284" s="9" t="str">
        <f ca="1">IFERROR(__xludf.DUMMYFUNCTION("""COMPUTED_VALUE"""),"1 USD = 166.1273 PKR")</f>
        <v>1 USD = 166.1273 PKR</v>
      </c>
      <c r="H1284" s="9" t="str">
        <f ca="1">IFERROR(__xludf.DUMMYFUNCTION("""COMPUTED_VALUE"""),"USD PKR rate for 11/07/2020")</f>
        <v>USD PKR rate for 11/07/2020</v>
      </c>
      <c r="I1284" s="9"/>
    </row>
    <row r="1285" spans="1:9" ht="14.25" customHeight="1" x14ac:dyDescent="0.3">
      <c r="A1285" s="6">
        <v>41002</v>
      </c>
      <c r="B1285" s="7">
        <v>90.542400000000001</v>
      </c>
      <c r="C1285" s="8">
        <f t="shared" si="11"/>
        <v>99.364655223661742</v>
      </c>
      <c r="D1285" s="9">
        <f t="shared" si="10"/>
        <v>65.25350689003001</v>
      </c>
      <c r="E1285" s="9"/>
      <c r="F1285" s="9">
        <f ca="1">IFERROR(__xludf.DUMMYFUNCTION("""COMPUTED_VALUE"""),44022)</f>
        <v>44022</v>
      </c>
      <c r="G1285" s="9" t="str">
        <f ca="1">IFERROR(__xludf.DUMMYFUNCTION("""COMPUTED_VALUE"""),"1 USD = 166.4459 PKR")</f>
        <v>1 USD = 166.4459 PKR</v>
      </c>
      <c r="H1285" s="9" t="str">
        <f ca="1">IFERROR(__xludf.DUMMYFUNCTION("""COMPUTED_VALUE"""),"USD PKR rate for 10/07/2020")</f>
        <v>USD PKR rate for 10/07/2020</v>
      </c>
      <c r="I1285" s="9"/>
    </row>
    <row r="1286" spans="1:9" ht="14.25" customHeight="1" x14ac:dyDescent="0.3">
      <c r="A1286" s="6">
        <v>41003</v>
      </c>
      <c r="B1286" s="7">
        <v>90.376300000000001</v>
      </c>
      <c r="C1286" s="8">
        <f t="shared" si="11"/>
        <v>99.382426569231498</v>
      </c>
      <c r="D1286" s="9">
        <f t="shared" si="10"/>
        <v>65.256244722827276</v>
      </c>
      <c r="E1286" s="9"/>
      <c r="F1286" s="9">
        <f ca="1">IFERROR(__xludf.DUMMYFUNCTION("""COMPUTED_VALUE"""),44021)</f>
        <v>44021</v>
      </c>
      <c r="G1286" s="9" t="str">
        <f ca="1">IFERROR(__xludf.DUMMYFUNCTION("""COMPUTED_VALUE"""),"1 USD = 167.1183 PKR")</f>
        <v>1 USD = 167.1183 PKR</v>
      </c>
      <c r="H1286" s="9" t="str">
        <f ca="1">IFERROR(__xludf.DUMMYFUNCTION("""COMPUTED_VALUE"""),"USD PKR rate for 09/07/2020")</f>
        <v>USD PKR rate for 09/07/2020</v>
      </c>
      <c r="I1286" s="9"/>
    </row>
    <row r="1287" spans="1:9" ht="14.25" customHeight="1" x14ac:dyDescent="0.3">
      <c r="A1287" s="6">
        <v>41004</v>
      </c>
      <c r="B1287" s="7">
        <v>90.5869</v>
      </c>
      <c r="C1287" s="8">
        <f t="shared" si="11"/>
        <v>99.400201093202284</v>
      </c>
      <c r="D1287" s="9">
        <f t="shared" si="10"/>
        <v>65.258982555624542</v>
      </c>
      <c r="E1287" s="9"/>
      <c r="F1287" s="9">
        <f ca="1">IFERROR(__xludf.DUMMYFUNCTION("""COMPUTED_VALUE"""),44020)</f>
        <v>44020</v>
      </c>
      <c r="G1287" s="9" t="str">
        <f ca="1">IFERROR(__xludf.DUMMYFUNCTION("""COMPUTED_VALUE"""),"1 USD = 167.0887 PKR")</f>
        <v>1 USD = 167.0887 PKR</v>
      </c>
      <c r="H1287" s="9" t="str">
        <f ca="1">IFERROR(__xludf.DUMMYFUNCTION("""COMPUTED_VALUE"""),"USD PKR rate for 08/07/2020")</f>
        <v>USD PKR rate for 08/07/2020</v>
      </c>
      <c r="I1287" s="9"/>
    </row>
    <row r="1288" spans="1:9" ht="14.25" customHeight="1" x14ac:dyDescent="0.3">
      <c r="A1288" s="6">
        <v>41005</v>
      </c>
      <c r="B1288" s="7">
        <v>90.591399999999993</v>
      </c>
      <c r="C1288" s="8">
        <f t="shared" si="11"/>
        <v>99.417978796142549</v>
      </c>
      <c r="D1288" s="9">
        <f t="shared" si="10"/>
        <v>65.261720388421807</v>
      </c>
      <c r="E1288" s="9"/>
      <c r="F1288" s="9">
        <f ca="1">IFERROR(__xludf.DUMMYFUNCTION("""COMPUTED_VALUE"""),44019)</f>
        <v>44019</v>
      </c>
      <c r="G1288" s="9" t="str">
        <f ca="1">IFERROR(__xludf.DUMMYFUNCTION("""COMPUTED_VALUE"""),"1 USD = 167.0655 PKR")</f>
        <v>1 USD = 167.0655 PKR</v>
      </c>
      <c r="H1288" s="9" t="str">
        <f ca="1">IFERROR(__xludf.DUMMYFUNCTION("""COMPUTED_VALUE"""),"USD PKR rate for 07/07/2020")</f>
        <v>USD PKR rate for 07/07/2020</v>
      </c>
      <c r="I1288" s="9"/>
    </row>
    <row r="1289" spans="1:9" ht="14.25" customHeight="1" x14ac:dyDescent="0.3">
      <c r="A1289" s="6">
        <v>41006</v>
      </c>
      <c r="B1289" s="7">
        <v>90.590599999999995</v>
      </c>
      <c r="C1289" s="8">
        <f t="shared" si="11"/>
        <v>99.435759678620883</v>
      </c>
      <c r="D1289" s="9">
        <f t="shared" si="10"/>
        <v>65.264458221219073</v>
      </c>
      <c r="E1289" s="9"/>
      <c r="F1289" s="9">
        <f ca="1">IFERROR(__xludf.DUMMYFUNCTION("""COMPUTED_VALUE"""),44018)</f>
        <v>44018</v>
      </c>
      <c r="G1289" s="9" t="str">
        <f ca="1">IFERROR(__xludf.DUMMYFUNCTION("""COMPUTED_VALUE"""),"1 USD = 166.3102 PKR")</f>
        <v>1 USD = 166.3102 PKR</v>
      </c>
      <c r="H1289" s="9" t="str">
        <f ca="1">IFERROR(__xludf.DUMMYFUNCTION("""COMPUTED_VALUE"""),"USD PKR rate for 06/07/2020")</f>
        <v>USD PKR rate for 06/07/2020</v>
      </c>
      <c r="I1289" s="9"/>
    </row>
    <row r="1290" spans="1:9" ht="14.25" customHeight="1" x14ac:dyDescent="0.3">
      <c r="A1290" s="6">
        <v>41007</v>
      </c>
      <c r="B1290" s="7">
        <v>90.676300000000012</v>
      </c>
      <c r="C1290" s="8">
        <f t="shared" si="11"/>
        <v>99.45354374120592</v>
      </c>
      <c r="D1290" s="9">
        <f t="shared" si="10"/>
        <v>65.267196054016338</v>
      </c>
      <c r="E1290" s="9"/>
      <c r="F1290" s="9">
        <f ca="1">IFERROR(__xludf.DUMMYFUNCTION("""COMPUTED_VALUE"""),44017)</f>
        <v>44017</v>
      </c>
      <c r="G1290" s="9" t="str">
        <f ca="1">IFERROR(__xludf.DUMMYFUNCTION("""COMPUTED_VALUE"""),"1 USD = 167.158 PKR")</f>
        <v>1 USD = 167.158 PKR</v>
      </c>
      <c r="H1290" s="9" t="str">
        <f ca="1">IFERROR(__xludf.DUMMYFUNCTION("""COMPUTED_VALUE"""),"USD PKR rate for 05/07/2020")</f>
        <v>USD PKR rate for 05/07/2020</v>
      </c>
      <c r="I1290" s="9"/>
    </row>
    <row r="1291" spans="1:9" ht="14.25" customHeight="1" x14ac:dyDescent="0.3">
      <c r="A1291" s="6">
        <v>41008</v>
      </c>
      <c r="B1291" s="7">
        <v>90.627600000000001</v>
      </c>
      <c r="C1291" s="8">
        <f t="shared" si="11"/>
        <v>99.471330984466434</v>
      </c>
      <c r="D1291" s="9">
        <f t="shared" si="10"/>
        <v>65.269933886813604</v>
      </c>
      <c r="E1291" s="9"/>
      <c r="F1291" s="9">
        <f ca="1">IFERROR(__xludf.DUMMYFUNCTION("""COMPUTED_VALUE"""),44016)</f>
        <v>44016</v>
      </c>
      <c r="G1291" s="9" t="str">
        <f ca="1">IFERROR(__xludf.DUMMYFUNCTION("""COMPUTED_VALUE"""),"1 USD = 167.5744 PKR")</f>
        <v>1 USD = 167.5744 PKR</v>
      </c>
      <c r="H1291" s="9" t="str">
        <f ca="1">IFERROR(__xludf.DUMMYFUNCTION("""COMPUTED_VALUE"""),"USD PKR rate for 04/07/2020")</f>
        <v>USD PKR rate for 04/07/2020</v>
      </c>
      <c r="I1291" s="9"/>
    </row>
    <row r="1292" spans="1:9" ht="14.25" customHeight="1" x14ac:dyDescent="0.3">
      <c r="A1292" s="6">
        <v>41009</v>
      </c>
      <c r="B1292" s="7">
        <v>90.765000000000001</v>
      </c>
      <c r="C1292" s="8">
        <f t="shared" si="11"/>
        <v>99.489121408971286</v>
      </c>
      <c r="D1292" s="9">
        <f t="shared" si="10"/>
        <v>65.272671719610869</v>
      </c>
      <c r="E1292" s="9"/>
      <c r="F1292" s="9">
        <f ca="1">IFERROR(__xludf.DUMMYFUNCTION("""COMPUTED_VALUE"""),44015)</f>
        <v>44015</v>
      </c>
      <c r="G1292" s="9" t="str">
        <f ca="1">IFERROR(__xludf.DUMMYFUNCTION("""COMPUTED_VALUE"""),"1 USD = 167.5743 PKR")</f>
        <v>1 USD = 167.5743 PKR</v>
      </c>
      <c r="H1292" s="9" t="str">
        <f ca="1">IFERROR(__xludf.DUMMYFUNCTION("""COMPUTED_VALUE"""),"USD PKR rate for 03/07/2020")</f>
        <v>USD PKR rate for 03/07/2020</v>
      </c>
      <c r="I1292" s="9"/>
    </row>
    <row r="1293" spans="1:9" ht="14.25" customHeight="1" x14ac:dyDescent="0.3">
      <c r="A1293" s="6">
        <v>41010</v>
      </c>
      <c r="B1293" s="7">
        <v>90.685100000000006</v>
      </c>
      <c r="C1293" s="8">
        <f t="shared" si="11"/>
        <v>99.506915015289351</v>
      </c>
      <c r="D1293" s="9">
        <f t="shared" si="10"/>
        <v>65.275409552408135</v>
      </c>
      <c r="E1293" s="9"/>
      <c r="F1293" s="9">
        <f ca="1">IFERROR(__xludf.DUMMYFUNCTION("""COMPUTED_VALUE"""),44014)</f>
        <v>44014</v>
      </c>
      <c r="G1293" s="9" t="str">
        <f ca="1">IFERROR(__xludf.DUMMYFUNCTION("""COMPUTED_VALUE"""),"1 USD = 167.9288 PKR")</f>
        <v>1 USD = 167.9288 PKR</v>
      </c>
      <c r="H1293" s="9" t="str">
        <f ca="1">IFERROR(__xludf.DUMMYFUNCTION("""COMPUTED_VALUE"""),"USD PKR rate for 02/07/2020")</f>
        <v>USD PKR rate for 02/07/2020</v>
      </c>
      <c r="I1293" s="9"/>
    </row>
    <row r="1294" spans="1:9" ht="14.25" customHeight="1" x14ac:dyDescent="0.3">
      <c r="A1294" s="6">
        <v>41011</v>
      </c>
      <c r="B1294" s="7">
        <v>90.735500000000002</v>
      </c>
      <c r="C1294" s="8">
        <f t="shared" si="11"/>
        <v>99.52471180398986</v>
      </c>
      <c r="D1294" s="9">
        <f t="shared" si="10"/>
        <v>65.278147385205401</v>
      </c>
      <c r="E1294" s="9"/>
      <c r="F1294" s="9">
        <f ca="1">IFERROR(__xludf.DUMMYFUNCTION("""COMPUTED_VALUE"""),44013)</f>
        <v>44013</v>
      </c>
      <c r="G1294" s="9" t="str">
        <f ca="1">IFERROR(__xludf.DUMMYFUNCTION("""COMPUTED_VALUE"""),"1 USD = 167.8916 PKR")</f>
        <v>1 USD = 167.8916 PKR</v>
      </c>
      <c r="H1294" s="9" t="str">
        <f ca="1">IFERROR(__xludf.DUMMYFUNCTION("""COMPUTED_VALUE"""),"USD PKR rate for 01/07/2020")</f>
        <v>USD PKR rate for 01/07/2020</v>
      </c>
      <c r="I1294" s="9"/>
    </row>
    <row r="1295" spans="1:9" ht="14.25" customHeight="1" x14ac:dyDescent="0.3">
      <c r="A1295" s="6">
        <v>41012</v>
      </c>
      <c r="B1295" s="7">
        <v>90.710000000000008</v>
      </c>
      <c r="C1295" s="8">
        <f t="shared" si="11"/>
        <v>99.542511775641927</v>
      </c>
      <c r="D1295" s="9">
        <f t="shared" si="10"/>
        <v>65.280885218002666</v>
      </c>
      <c r="E1295" s="9"/>
      <c r="F1295" s="9">
        <f ca="1">IFERROR(__xludf.DUMMYFUNCTION("""COMPUTED_VALUE"""),44012)</f>
        <v>44012</v>
      </c>
      <c r="G1295" s="9" t="str">
        <f ca="1">IFERROR(__xludf.DUMMYFUNCTION("""COMPUTED_VALUE"""),"1 USD = 167.8644 PKR")</f>
        <v>1 USD = 167.8644 PKR</v>
      </c>
      <c r="H1295" s="9" t="str">
        <f ca="1">IFERROR(__xludf.DUMMYFUNCTION("""COMPUTED_VALUE"""),"USD PKR rate for 30/06/2020")</f>
        <v>USD PKR rate for 30/06/2020</v>
      </c>
      <c r="I1295" s="9"/>
    </row>
    <row r="1296" spans="1:9" ht="14.25" customHeight="1" x14ac:dyDescent="0.3">
      <c r="A1296" s="6">
        <v>41013</v>
      </c>
      <c r="B1296" s="7">
        <v>90.710000000000008</v>
      </c>
      <c r="C1296" s="8">
        <f t="shared" si="11"/>
        <v>99.560314930814783</v>
      </c>
      <c r="D1296" s="9">
        <f t="shared" si="10"/>
        <v>65.283623050799932</v>
      </c>
      <c r="E1296" s="9"/>
      <c r="F1296" s="9">
        <f ca="1">IFERROR(__xludf.DUMMYFUNCTION("""COMPUTED_VALUE"""),44011)</f>
        <v>44011</v>
      </c>
      <c r="G1296" s="9" t="str">
        <f ca="1">IFERROR(__xludf.DUMMYFUNCTION("""COMPUTED_VALUE"""),"1 USD = 168.15 PKR")</f>
        <v>1 USD = 168.15 PKR</v>
      </c>
      <c r="H1296" s="9" t="str">
        <f ca="1">IFERROR(__xludf.DUMMYFUNCTION("""COMPUTED_VALUE"""),"USD PKR rate for 29/06/2020")</f>
        <v>USD PKR rate for 29/06/2020</v>
      </c>
      <c r="I1296" s="9"/>
    </row>
    <row r="1297" spans="1:9" ht="14.25" customHeight="1" x14ac:dyDescent="0.3">
      <c r="A1297" s="6">
        <v>41014</v>
      </c>
      <c r="B1297" s="7">
        <v>90.67</v>
      </c>
      <c r="C1297" s="8">
        <f t="shared" si="11"/>
        <v>99.57812127007783</v>
      </c>
      <c r="D1297" s="9">
        <f t="shared" si="10"/>
        <v>65.286360883597197</v>
      </c>
      <c r="E1297" s="9"/>
      <c r="F1297" s="9">
        <f ca="1">IFERROR(__xludf.DUMMYFUNCTION("""COMPUTED_VALUE"""),44010)</f>
        <v>44010</v>
      </c>
      <c r="G1297" s="9" t="str">
        <f ca="1">IFERROR(__xludf.DUMMYFUNCTION("""COMPUTED_VALUE"""),"1 USD = 167.5171 PKR")</f>
        <v>1 USD = 167.5171 PKR</v>
      </c>
      <c r="H1297" s="9" t="str">
        <f ca="1">IFERROR(__xludf.DUMMYFUNCTION("""COMPUTED_VALUE"""),"USD PKR rate for 28/06/2020")</f>
        <v>USD PKR rate for 28/06/2020</v>
      </c>
      <c r="I1297" s="9"/>
    </row>
    <row r="1298" spans="1:9" ht="14.25" customHeight="1" x14ac:dyDescent="0.3">
      <c r="A1298" s="6">
        <v>41015</v>
      </c>
      <c r="B1298" s="7">
        <v>90.736099999999993</v>
      </c>
      <c r="C1298" s="8">
        <f t="shared" si="11"/>
        <v>99.595930794000537</v>
      </c>
      <c r="D1298" s="9">
        <f t="shared" si="10"/>
        <v>65.289098716394463</v>
      </c>
      <c r="E1298" s="9"/>
      <c r="F1298" s="9">
        <f ca="1">IFERROR(__xludf.DUMMYFUNCTION("""COMPUTED_VALUE"""),44009)</f>
        <v>44009</v>
      </c>
      <c r="G1298" s="9" t="str">
        <f ca="1">IFERROR(__xludf.DUMMYFUNCTION("""COMPUTED_VALUE"""),"1 USD = 167.5432 PKR")</f>
        <v>1 USD = 167.5432 PKR</v>
      </c>
      <c r="H1298" s="9" t="str">
        <f ca="1">IFERROR(__xludf.DUMMYFUNCTION("""COMPUTED_VALUE"""),"USD PKR rate for 27/06/2020")</f>
        <v>USD PKR rate for 27/06/2020</v>
      </c>
      <c r="I1298" s="9"/>
    </row>
    <row r="1299" spans="1:9" ht="14.25" customHeight="1" x14ac:dyDescent="0.3">
      <c r="A1299" s="6">
        <v>41016</v>
      </c>
      <c r="B1299" s="7">
        <v>90.694400000000016</v>
      </c>
      <c r="C1299" s="8">
        <f t="shared" si="11"/>
        <v>99.613743503152449</v>
      </c>
      <c r="D1299" s="9">
        <f t="shared" si="10"/>
        <v>65.291836549191729</v>
      </c>
      <c r="E1299" s="9"/>
      <c r="F1299" s="9">
        <f ca="1">IFERROR(__xludf.DUMMYFUNCTION("""COMPUTED_VALUE"""),44008)</f>
        <v>44008</v>
      </c>
      <c r="G1299" s="9" t="str">
        <f ca="1">IFERROR(__xludf.DUMMYFUNCTION("""COMPUTED_VALUE"""),"1 USD = 167.5432 PKR")</f>
        <v>1 USD = 167.5432 PKR</v>
      </c>
      <c r="H1299" s="9" t="str">
        <f ca="1">IFERROR(__xludf.DUMMYFUNCTION("""COMPUTED_VALUE"""),"USD PKR rate for 26/06/2020")</f>
        <v>USD PKR rate for 26/06/2020</v>
      </c>
      <c r="I1299" s="9"/>
    </row>
    <row r="1300" spans="1:9" ht="14.25" customHeight="1" x14ac:dyDescent="0.3">
      <c r="A1300" s="6">
        <v>41017</v>
      </c>
      <c r="B1300" s="7">
        <v>90.728600000000014</v>
      </c>
      <c r="C1300" s="8">
        <f t="shared" si="11"/>
        <v>99.631559398103278</v>
      </c>
      <c r="D1300" s="9">
        <f t="shared" si="10"/>
        <v>65.294574381988994</v>
      </c>
      <c r="E1300" s="9"/>
      <c r="F1300" s="9">
        <f ca="1">IFERROR(__xludf.DUMMYFUNCTION("""COMPUTED_VALUE"""),44007)</f>
        <v>44007</v>
      </c>
      <c r="G1300" s="9" t="str">
        <f ca="1">IFERROR(__xludf.DUMMYFUNCTION("""COMPUTED_VALUE"""),"1 USD = 167.9223 PKR")</f>
        <v>1 USD = 167.9223 PKR</v>
      </c>
      <c r="H1300" s="9" t="str">
        <f ca="1">IFERROR(__xludf.DUMMYFUNCTION("""COMPUTED_VALUE"""),"USD PKR rate for 25/06/2020")</f>
        <v>USD PKR rate for 25/06/2020</v>
      </c>
      <c r="I1300" s="9"/>
    </row>
    <row r="1301" spans="1:9" ht="14.25" customHeight="1" x14ac:dyDescent="0.3">
      <c r="A1301" s="6">
        <v>41018</v>
      </c>
      <c r="B1301" s="7">
        <v>90.784300000000002</v>
      </c>
      <c r="C1301" s="8">
        <f t="shared" si="11"/>
        <v>99.649378479422793</v>
      </c>
      <c r="D1301" s="9">
        <f t="shared" si="10"/>
        <v>65.29731221478626</v>
      </c>
      <c r="E1301" s="9"/>
      <c r="F1301" s="9">
        <f ca="1">IFERROR(__xludf.DUMMYFUNCTION("""COMPUTED_VALUE"""),44006)</f>
        <v>44006</v>
      </c>
      <c r="G1301" s="9" t="str">
        <f ca="1">IFERROR(__xludf.DUMMYFUNCTION("""COMPUTED_VALUE"""),"1 USD = 167.9031 PKR")</f>
        <v>1 USD = 167.9031 PKR</v>
      </c>
      <c r="H1301" s="9" t="str">
        <f ca="1">IFERROR(__xludf.DUMMYFUNCTION("""COMPUTED_VALUE"""),"USD PKR rate for 24/06/2020")</f>
        <v>USD PKR rate for 24/06/2020</v>
      </c>
      <c r="I1301" s="9"/>
    </row>
    <row r="1302" spans="1:9" ht="14.25" customHeight="1" x14ac:dyDescent="0.3">
      <c r="A1302" s="6">
        <v>41019</v>
      </c>
      <c r="B1302" s="7">
        <v>90.720100000000002</v>
      </c>
      <c r="C1302" s="8">
        <f t="shared" si="11"/>
        <v>99.667200747680795</v>
      </c>
      <c r="D1302" s="9">
        <f t="shared" si="10"/>
        <v>65.300050047583525</v>
      </c>
      <c r="E1302" s="9"/>
      <c r="F1302" s="9">
        <f ca="1">IFERROR(__xludf.DUMMYFUNCTION("""COMPUTED_VALUE"""),44005)</f>
        <v>44005</v>
      </c>
      <c r="G1302" s="9" t="str">
        <f ca="1">IFERROR(__xludf.DUMMYFUNCTION("""COMPUTED_VALUE"""),"1 USD = 167.1753 PKR")</f>
        <v>1 USD = 167.1753 PKR</v>
      </c>
      <c r="H1302" s="9" t="str">
        <f ca="1">IFERROR(__xludf.DUMMYFUNCTION("""COMPUTED_VALUE"""),"USD PKR rate for 23/06/2020")</f>
        <v>USD PKR rate for 23/06/2020</v>
      </c>
      <c r="I1302" s="9"/>
    </row>
    <row r="1303" spans="1:9" ht="14.25" customHeight="1" x14ac:dyDescent="0.3">
      <c r="A1303" s="6">
        <v>41020</v>
      </c>
      <c r="B1303" s="7">
        <v>90.720100000000002</v>
      </c>
      <c r="C1303" s="8">
        <f t="shared" si="11"/>
        <v>99.685026203447421</v>
      </c>
      <c r="D1303" s="9">
        <f t="shared" si="10"/>
        <v>65.302787880380791</v>
      </c>
      <c r="E1303" s="9"/>
      <c r="F1303" s="9">
        <f ca="1">IFERROR(__xludf.DUMMYFUNCTION("""COMPUTED_VALUE"""),44004)</f>
        <v>44004</v>
      </c>
      <c r="G1303" s="9" t="str">
        <f ca="1">IFERROR(__xludf.DUMMYFUNCTION("""COMPUTED_VALUE"""),"1 USD = 166.6688 PKR")</f>
        <v>1 USD = 166.6688 PKR</v>
      </c>
      <c r="H1303" s="9" t="str">
        <f ca="1">IFERROR(__xludf.DUMMYFUNCTION("""COMPUTED_VALUE"""),"USD PKR rate for 22/06/2020")</f>
        <v>USD PKR rate for 22/06/2020</v>
      </c>
      <c r="I1303" s="9"/>
    </row>
    <row r="1304" spans="1:9" ht="14.25" customHeight="1" x14ac:dyDescent="0.3">
      <c r="A1304" s="6">
        <v>41021</v>
      </c>
      <c r="B1304" s="7">
        <v>90.686300000000003</v>
      </c>
      <c r="C1304" s="8">
        <f t="shared" si="11"/>
        <v>99.702854847292699</v>
      </c>
      <c r="D1304" s="9">
        <f t="shared" si="10"/>
        <v>65.305525713178056</v>
      </c>
      <c r="E1304" s="9"/>
      <c r="F1304" s="9">
        <f ca="1">IFERROR(__xludf.DUMMYFUNCTION("""COMPUTED_VALUE"""),44003)</f>
        <v>44003</v>
      </c>
      <c r="G1304" s="9" t="str">
        <f ca="1">IFERROR(__xludf.DUMMYFUNCTION("""COMPUTED_VALUE"""),"1 USD = 167.0231 PKR")</f>
        <v>1 USD = 167.0231 PKR</v>
      </c>
      <c r="H1304" s="9" t="str">
        <f ca="1">IFERROR(__xludf.DUMMYFUNCTION("""COMPUTED_VALUE"""),"USD PKR rate for 21/06/2020")</f>
        <v>USD PKR rate for 21/06/2020</v>
      </c>
      <c r="I1304" s="9"/>
    </row>
    <row r="1305" spans="1:9" ht="14.25" customHeight="1" x14ac:dyDescent="0.3">
      <c r="A1305" s="6">
        <v>41022</v>
      </c>
      <c r="B1305" s="7">
        <v>90.903899999999993</v>
      </c>
      <c r="C1305" s="8">
        <f t="shared" si="11"/>
        <v>99.720686679786766</v>
      </c>
      <c r="D1305" s="9">
        <f t="shared" si="10"/>
        <v>65.308263545975322</v>
      </c>
      <c r="E1305" s="9"/>
      <c r="F1305" s="9">
        <f ca="1">IFERROR(__xludf.DUMMYFUNCTION("""COMPUTED_VALUE"""),44002)</f>
        <v>44002</v>
      </c>
      <c r="G1305" s="9" t="str">
        <f ca="1">IFERROR(__xludf.DUMMYFUNCTION("""COMPUTED_VALUE"""),"1 USD = 166.862 PKR")</f>
        <v>1 USD = 166.862 PKR</v>
      </c>
      <c r="H1305" s="9" t="str">
        <f ca="1">IFERROR(__xludf.DUMMYFUNCTION("""COMPUTED_VALUE"""),"USD PKR rate for 20/06/2020")</f>
        <v>USD PKR rate for 20/06/2020</v>
      </c>
      <c r="I1305" s="9"/>
    </row>
    <row r="1306" spans="1:9" ht="14.25" customHeight="1" x14ac:dyDescent="0.3">
      <c r="A1306" s="6">
        <v>41023</v>
      </c>
      <c r="B1306" s="7">
        <v>90.928899999999999</v>
      </c>
      <c r="C1306" s="8">
        <f t="shared" si="11"/>
        <v>99.738521701499977</v>
      </c>
      <c r="D1306" s="9">
        <f t="shared" si="10"/>
        <v>65.311001378772588</v>
      </c>
      <c r="E1306" s="9"/>
      <c r="F1306" s="9">
        <f ca="1">IFERROR(__xludf.DUMMYFUNCTION("""COMPUTED_VALUE"""),44001)</f>
        <v>44001</v>
      </c>
      <c r="G1306" s="9" t="str">
        <f ca="1">IFERROR(__xludf.DUMMYFUNCTION("""COMPUTED_VALUE"""),"1 USD = 166.862 PKR")</f>
        <v>1 USD = 166.862 PKR</v>
      </c>
      <c r="H1306" s="9" t="str">
        <f ca="1">IFERROR(__xludf.DUMMYFUNCTION("""COMPUTED_VALUE"""),"USD PKR rate for 19/06/2020")</f>
        <v>USD PKR rate for 19/06/2020</v>
      </c>
      <c r="I1306" s="9"/>
    </row>
    <row r="1307" spans="1:9" ht="14.25" customHeight="1" x14ac:dyDescent="0.3">
      <c r="A1307" s="6">
        <v>41024</v>
      </c>
      <c r="B1307" s="7">
        <v>90.887500000000003</v>
      </c>
      <c r="C1307" s="8">
        <f t="shared" si="11"/>
        <v>99.756359913002669</v>
      </c>
      <c r="D1307" s="9">
        <f t="shared" si="10"/>
        <v>65.313739211569853</v>
      </c>
      <c r="E1307" s="9"/>
      <c r="F1307" s="9">
        <f ca="1">IFERROR(__xludf.DUMMYFUNCTION("""COMPUTED_VALUE"""),44000)</f>
        <v>44000</v>
      </c>
      <c r="G1307" s="9" t="str">
        <f ca="1">IFERROR(__xludf.DUMMYFUNCTION("""COMPUTED_VALUE"""),"1 USD = 166.3249 PKR")</f>
        <v>1 USD = 166.3249 PKR</v>
      </c>
      <c r="H1307" s="9" t="str">
        <f ca="1">IFERROR(__xludf.DUMMYFUNCTION("""COMPUTED_VALUE"""),"USD PKR rate for 18/06/2020")</f>
        <v>USD PKR rate for 18/06/2020</v>
      </c>
      <c r="I1307" s="9"/>
    </row>
    <row r="1308" spans="1:9" ht="14.25" customHeight="1" x14ac:dyDescent="0.3">
      <c r="A1308" s="6">
        <v>41025</v>
      </c>
      <c r="B1308" s="7">
        <v>90.867000000000004</v>
      </c>
      <c r="C1308" s="8">
        <f t="shared" si="11"/>
        <v>99.774201314865365</v>
      </c>
      <c r="D1308" s="9">
        <f t="shared" si="10"/>
        <v>65.316477044367119</v>
      </c>
      <c r="E1308" s="9"/>
      <c r="F1308" s="9">
        <f ca="1">IFERROR(__xludf.DUMMYFUNCTION("""COMPUTED_VALUE"""),43999)</f>
        <v>43999</v>
      </c>
      <c r="G1308" s="9" t="str">
        <f ca="1">IFERROR(__xludf.DUMMYFUNCTION("""COMPUTED_VALUE"""),"1 USD = 165.5361 PKR")</f>
        <v>1 USD = 165.5361 PKR</v>
      </c>
      <c r="H1308" s="9" t="str">
        <f ca="1">IFERROR(__xludf.DUMMYFUNCTION("""COMPUTED_VALUE"""),"USD PKR rate for 17/06/2020")</f>
        <v>USD PKR rate for 17/06/2020</v>
      </c>
      <c r="I1308" s="9"/>
    </row>
    <row r="1309" spans="1:9" ht="14.25" customHeight="1" x14ac:dyDescent="0.3">
      <c r="A1309" s="6">
        <v>41026</v>
      </c>
      <c r="B1309" s="7">
        <v>90.753600000000006</v>
      </c>
      <c r="C1309" s="8">
        <f t="shared" si="11"/>
        <v>99.792045907658661</v>
      </c>
      <c r="D1309" s="9">
        <f t="shared" si="10"/>
        <v>65.319214877164384</v>
      </c>
      <c r="E1309" s="9"/>
      <c r="F1309" s="9">
        <f ca="1">IFERROR(__xludf.DUMMYFUNCTION("""COMPUTED_VALUE"""),43998)</f>
        <v>43998</v>
      </c>
      <c r="G1309" s="9" t="str">
        <f ca="1">IFERROR(__xludf.DUMMYFUNCTION("""COMPUTED_VALUE"""),"1 USD = 165.0404 PKR")</f>
        <v>1 USD = 165.0404 PKR</v>
      </c>
      <c r="H1309" s="9" t="str">
        <f ca="1">IFERROR(__xludf.DUMMYFUNCTION("""COMPUTED_VALUE"""),"USD PKR rate for 16/06/2020")</f>
        <v>USD PKR rate for 16/06/2020</v>
      </c>
      <c r="I1309" s="9"/>
    </row>
    <row r="1310" spans="1:9" ht="14.25" customHeight="1" x14ac:dyDescent="0.3">
      <c r="A1310" s="6">
        <v>41027</v>
      </c>
      <c r="B1310" s="7">
        <v>90.753600000000006</v>
      </c>
      <c r="C1310" s="8">
        <f t="shared" si="11"/>
        <v>99.809893691953235</v>
      </c>
      <c r="D1310" s="9">
        <f t="shared" si="10"/>
        <v>65.32195270996165</v>
      </c>
      <c r="E1310" s="9"/>
      <c r="F1310" s="9">
        <f ca="1">IFERROR(__xludf.DUMMYFUNCTION("""COMPUTED_VALUE"""),43997)</f>
        <v>43997</v>
      </c>
      <c r="G1310" s="9" t="str">
        <f ca="1">IFERROR(__xludf.DUMMYFUNCTION("""COMPUTED_VALUE"""),"1 USD = 164.827 PKR")</f>
        <v>1 USD = 164.827 PKR</v>
      </c>
      <c r="H1310" s="9" t="str">
        <f ca="1">IFERROR(__xludf.DUMMYFUNCTION("""COMPUTED_VALUE"""),"USD PKR rate for 15/06/2020")</f>
        <v>USD PKR rate for 15/06/2020</v>
      </c>
      <c r="I1310" s="9"/>
    </row>
    <row r="1311" spans="1:9" ht="14.25" customHeight="1" x14ac:dyDescent="0.3">
      <c r="A1311" s="6">
        <v>41028</v>
      </c>
      <c r="B1311" s="7">
        <v>90.736900000000006</v>
      </c>
      <c r="C1311" s="8">
        <f t="shared" si="11"/>
        <v>99.827744668319795</v>
      </c>
      <c r="D1311" s="9">
        <f t="shared" si="10"/>
        <v>65.324690542758916</v>
      </c>
      <c r="E1311" s="9"/>
      <c r="F1311" s="9">
        <f ca="1">IFERROR(__xludf.DUMMYFUNCTION("""COMPUTED_VALUE"""),43996)</f>
        <v>43996</v>
      </c>
      <c r="G1311" s="9" t="str">
        <f ca="1">IFERROR(__xludf.DUMMYFUNCTION("""COMPUTED_VALUE"""),"1 USD = 164.8724 PKR")</f>
        <v>1 USD = 164.8724 PKR</v>
      </c>
      <c r="H1311" s="9" t="str">
        <f ca="1">IFERROR(__xludf.DUMMYFUNCTION("""COMPUTED_VALUE"""),"USD PKR rate for 14/06/2020")</f>
        <v>USD PKR rate for 14/06/2020</v>
      </c>
      <c r="I1311" s="9"/>
    </row>
    <row r="1312" spans="1:9" ht="14.25" customHeight="1" x14ac:dyDescent="0.3">
      <c r="A1312" s="6">
        <v>41029</v>
      </c>
      <c r="B1312" s="7">
        <v>91.067000000000007</v>
      </c>
      <c r="C1312" s="8">
        <f t="shared" si="11"/>
        <v>99.845598837329447</v>
      </c>
      <c r="D1312" s="9">
        <f t="shared" si="10"/>
        <v>65.327428375556181</v>
      </c>
      <c r="E1312" s="9"/>
      <c r="F1312" s="9">
        <f ca="1">IFERROR(__xludf.DUMMYFUNCTION("""COMPUTED_VALUE"""),43995)</f>
        <v>43995</v>
      </c>
      <c r="G1312" s="9" t="str">
        <f ca="1">IFERROR(__xludf.DUMMYFUNCTION("""COMPUTED_VALUE"""),"1 USD = 164.4935 PKR")</f>
        <v>1 USD = 164.4935 PKR</v>
      </c>
      <c r="H1312" s="9" t="str">
        <f ca="1">IFERROR(__xludf.DUMMYFUNCTION("""COMPUTED_VALUE"""),"USD PKR rate for 13/06/2020")</f>
        <v>USD PKR rate for 13/06/2020</v>
      </c>
      <c r="I1312" s="9"/>
    </row>
    <row r="1313" spans="1:9" ht="14.25" customHeight="1" x14ac:dyDescent="0.3">
      <c r="A1313" s="6">
        <v>41030</v>
      </c>
      <c r="B1313" s="7">
        <v>91.073899999999995</v>
      </c>
      <c r="C1313" s="8">
        <f t="shared" si="11"/>
        <v>99.863456199553099</v>
      </c>
      <c r="D1313" s="9">
        <f t="shared" si="10"/>
        <v>65.330166208353447</v>
      </c>
      <c r="E1313" s="9"/>
      <c r="F1313" s="9">
        <f ca="1">IFERROR(__xludf.DUMMYFUNCTION("""COMPUTED_VALUE"""),43994)</f>
        <v>43994</v>
      </c>
      <c r="G1313" s="9" t="str">
        <f ca="1">IFERROR(__xludf.DUMMYFUNCTION("""COMPUTED_VALUE"""),"1 USD = 164.4935 PKR")</f>
        <v>1 USD = 164.4935 PKR</v>
      </c>
      <c r="H1313" s="9" t="str">
        <f ca="1">IFERROR(__xludf.DUMMYFUNCTION("""COMPUTED_VALUE"""),"USD PKR rate for 12/06/2020")</f>
        <v>USD PKR rate for 12/06/2020</v>
      </c>
      <c r="I1313" s="9"/>
    </row>
    <row r="1314" spans="1:9" ht="14.25" customHeight="1" x14ac:dyDescent="0.3">
      <c r="A1314" s="6">
        <v>41031</v>
      </c>
      <c r="B1314" s="7">
        <v>90.987000000000009</v>
      </c>
      <c r="C1314" s="8">
        <f t="shared" si="11"/>
        <v>99.881316755561826</v>
      </c>
      <c r="D1314" s="9">
        <f t="shared" si="10"/>
        <v>65.332904041150712</v>
      </c>
      <c r="E1314" s="9"/>
      <c r="F1314" s="9">
        <f ca="1">IFERROR(__xludf.DUMMYFUNCTION("""COMPUTED_VALUE"""),43993)</f>
        <v>43993</v>
      </c>
      <c r="G1314" s="9" t="str">
        <f ca="1">IFERROR(__xludf.DUMMYFUNCTION("""COMPUTED_VALUE"""),"1 USD = 164.5459 PKR")</f>
        <v>1 USD = 164.5459 PKR</v>
      </c>
      <c r="H1314" s="9" t="str">
        <f ca="1">IFERROR(__xludf.DUMMYFUNCTION("""COMPUTED_VALUE"""),"USD PKR rate for 11/06/2020")</f>
        <v>USD PKR rate for 11/06/2020</v>
      </c>
      <c r="I1314" s="9"/>
    </row>
    <row r="1315" spans="1:9" ht="14.25" customHeight="1" x14ac:dyDescent="0.3">
      <c r="A1315" s="6">
        <v>41032</v>
      </c>
      <c r="B1315" s="7">
        <v>90.802999999999997</v>
      </c>
      <c r="C1315" s="8">
        <f t="shared" si="11"/>
        <v>99.899180505926864</v>
      </c>
      <c r="D1315" s="9">
        <f t="shared" si="10"/>
        <v>65.335641873947978</v>
      </c>
      <c r="E1315" s="9"/>
      <c r="F1315" s="9">
        <f ca="1">IFERROR(__xludf.DUMMYFUNCTION("""COMPUTED_VALUE"""),43992)</f>
        <v>43992</v>
      </c>
      <c r="G1315" s="9" t="str">
        <f ca="1">IFERROR(__xludf.DUMMYFUNCTION("""COMPUTED_VALUE"""),"1 USD = 164.4908 PKR")</f>
        <v>1 USD = 164.4908 PKR</v>
      </c>
      <c r="H1315" s="9" t="str">
        <f ca="1">IFERROR(__xludf.DUMMYFUNCTION("""COMPUTED_VALUE"""),"USD PKR rate for 10/06/2020")</f>
        <v>USD PKR rate for 10/06/2020</v>
      </c>
      <c r="I1315" s="9"/>
    </row>
    <row r="1316" spans="1:9" ht="14.25" customHeight="1" x14ac:dyDescent="0.3">
      <c r="A1316" s="6">
        <v>41033</v>
      </c>
      <c r="B1316" s="7">
        <v>90.799500000000009</v>
      </c>
      <c r="C1316" s="8">
        <f t="shared" si="11"/>
        <v>99.917047451219531</v>
      </c>
      <c r="D1316" s="9">
        <f t="shared" si="10"/>
        <v>65.338379706745243</v>
      </c>
      <c r="E1316" s="9"/>
      <c r="F1316" s="9">
        <f ca="1">IFERROR(__xludf.DUMMYFUNCTION("""COMPUTED_VALUE"""),43991)</f>
        <v>43991</v>
      </c>
      <c r="G1316" s="9" t="str">
        <f ca="1">IFERROR(__xludf.DUMMYFUNCTION("""COMPUTED_VALUE"""),"1 USD = 163.9115 PKR")</f>
        <v>1 USD = 163.9115 PKR</v>
      </c>
      <c r="H1316" s="9" t="str">
        <f ca="1">IFERROR(__xludf.DUMMYFUNCTION("""COMPUTED_VALUE"""),"USD PKR rate for 09/06/2020")</f>
        <v>USD PKR rate for 09/06/2020</v>
      </c>
      <c r="I1316" s="9"/>
    </row>
    <row r="1317" spans="1:9" ht="14.25" customHeight="1" x14ac:dyDescent="0.3">
      <c r="A1317" s="6">
        <v>41034</v>
      </c>
      <c r="B1317" s="7">
        <v>90.799500000000009</v>
      </c>
      <c r="C1317" s="8">
        <f t="shared" si="11"/>
        <v>99.934917592011203</v>
      </c>
      <c r="D1317" s="9">
        <f t="shared" si="10"/>
        <v>65.341117539542509</v>
      </c>
      <c r="E1317" s="9"/>
      <c r="F1317" s="9">
        <f ca="1">IFERROR(__xludf.DUMMYFUNCTION("""COMPUTED_VALUE"""),43990)</f>
        <v>43990</v>
      </c>
      <c r="G1317" s="9" t="str">
        <f ca="1">IFERROR(__xludf.DUMMYFUNCTION("""COMPUTED_VALUE"""),"1 USD = 163.3348 PKR")</f>
        <v>1 USD = 163.3348 PKR</v>
      </c>
      <c r="H1317" s="9" t="str">
        <f ca="1">IFERROR(__xludf.DUMMYFUNCTION("""COMPUTED_VALUE"""),"USD PKR rate for 08/06/2020")</f>
        <v>USD PKR rate for 08/06/2020</v>
      </c>
      <c r="I1317" s="9"/>
    </row>
    <row r="1318" spans="1:9" ht="14.25" customHeight="1" x14ac:dyDescent="0.3">
      <c r="A1318" s="6">
        <v>41035</v>
      </c>
      <c r="B1318" s="7">
        <v>90.923300000000012</v>
      </c>
      <c r="C1318" s="8">
        <f t="shared" si="11"/>
        <v>99.952790928873426</v>
      </c>
      <c r="D1318" s="9">
        <f t="shared" si="10"/>
        <v>65.343855372339775</v>
      </c>
      <c r="E1318" s="9"/>
      <c r="F1318" s="9">
        <f ca="1">IFERROR(__xludf.DUMMYFUNCTION("""COMPUTED_VALUE"""),43989)</f>
        <v>43989</v>
      </c>
      <c r="G1318" s="9" t="str">
        <f ca="1">IFERROR(__xludf.DUMMYFUNCTION("""COMPUTED_VALUE"""),"1 USD = 163.3483 PKR")</f>
        <v>1 USD = 163.3483 PKR</v>
      </c>
      <c r="H1318" s="9" t="str">
        <f ca="1">IFERROR(__xludf.DUMMYFUNCTION("""COMPUTED_VALUE"""),"USD PKR rate for 07/06/2020")</f>
        <v>USD PKR rate for 07/06/2020</v>
      </c>
      <c r="I1318" s="9"/>
    </row>
    <row r="1319" spans="1:9" ht="14.25" customHeight="1" x14ac:dyDescent="0.3">
      <c r="A1319" s="6">
        <v>41036</v>
      </c>
      <c r="B1319" s="7">
        <v>90.828199999999995</v>
      </c>
      <c r="C1319" s="8">
        <f t="shared" si="11"/>
        <v>99.970667462377818</v>
      </c>
      <c r="D1319" s="9">
        <f t="shared" si="10"/>
        <v>65.34659320513704</v>
      </c>
      <c r="E1319" s="9"/>
      <c r="F1319" s="9">
        <f ca="1">IFERROR(__xludf.DUMMYFUNCTION("""COMPUTED_VALUE"""),43988)</f>
        <v>43988</v>
      </c>
      <c r="G1319" s="9" t="str">
        <f ca="1">IFERROR(__xludf.DUMMYFUNCTION("""COMPUTED_VALUE"""),"1 USD = 163.4687 PKR")</f>
        <v>1 USD = 163.4687 PKR</v>
      </c>
      <c r="H1319" s="9" t="str">
        <f ca="1">IFERROR(__xludf.DUMMYFUNCTION("""COMPUTED_VALUE"""),"USD PKR rate for 06/06/2020")</f>
        <v>USD PKR rate for 06/06/2020</v>
      </c>
      <c r="I1319" s="9"/>
    </row>
    <row r="1320" spans="1:9" ht="14.25" customHeight="1" x14ac:dyDescent="0.3">
      <c r="A1320" s="6">
        <v>41037</v>
      </c>
      <c r="B1320" s="7">
        <v>90.91070000000002</v>
      </c>
      <c r="C1320" s="8">
        <f t="shared" si="11"/>
        <v>99.988547193095997</v>
      </c>
      <c r="D1320" s="9">
        <f t="shared" si="10"/>
        <v>65.349331037934306</v>
      </c>
      <c r="E1320" s="9"/>
      <c r="F1320" s="9">
        <f ca="1">IFERROR(__xludf.DUMMYFUNCTION("""COMPUTED_VALUE"""),43987)</f>
        <v>43987</v>
      </c>
      <c r="G1320" s="9" t="str">
        <f ca="1">IFERROR(__xludf.DUMMYFUNCTION("""COMPUTED_VALUE"""),"1 USD = 163.4687 PKR")</f>
        <v>1 USD = 163.4687 PKR</v>
      </c>
      <c r="H1320" s="9" t="str">
        <f ca="1">IFERROR(__xludf.DUMMYFUNCTION("""COMPUTED_VALUE"""),"USD PKR rate for 05/06/2020")</f>
        <v>USD PKR rate for 05/06/2020</v>
      </c>
      <c r="I1320" s="9"/>
    </row>
    <row r="1321" spans="1:9" ht="14.25" customHeight="1" x14ac:dyDescent="0.3">
      <c r="A1321" s="6">
        <v>41038</v>
      </c>
      <c r="B1321" s="7">
        <v>90.896000000000001</v>
      </c>
      <c r="C1321" s="8">
        <f t="shared" si="11"/>
        <v>100.00643012159995</v>
      </c>
      <c r="D1321" s="9">
        <f t="shared" si="10"/>
        <v>65.352068870731571</v>
      </c>
      <c r="E1321" s="9"/>
      <c r="F1321" s="9">
        <f ca="1">IFERROR(__xludf.DUMMYFUNCTION("""COMPUTED_VALUE"""),43986)</f>
        <v>43986</v>
      </c>
      <c r="G1321" s="9" t="str">
        <f ca="1">IFERROR(__xludf.DUMMYFUNCTION("""COMPUTED_VALUE"""),"1 USD = 163.5539 PKR")</f>
        <v>1 USD = 163.5539 PKR</v>
      </c>
      <c r="H1321" s="9" t="str">
        <f ca="1">IFERROR(__xludf.DUMMYFUNCTION("""COMPUTED_VALUE"""),"USD PKR rate for 04/06/2020")</f>
        <v>USD PKR rate for 04/06/2020</v>
      </c>
      <c r="I1321" s="9"/>
    </row>
    <row r="1322" spans="1:9" ht="14.25" customHeight="1" x14ac:dyDescent="0.3">
      <c r="A1322" s="6">
        <v>41039</v>
      </c>
      <c r="B1322" s="7">
        <v>90.917599999999993</v>
      </c>
      <c r="C1322" s="8">
        <f t="shared" si="11"/>
        <v>100.02431624846153</v>
      </c>
      <c r="D1322" s="9">
        <f t="shared" si="10"/>
        <v>65.354806703528837</v>
      </c>
      <c r="E1322" s="9"/>
      <c r="F1322" s="9">
        <f ca="1">IFERROR(__xludf.DUMMYFUNCTION("""COMPUTED_VALUE"""),43985)</f>
        <v>43985</v>
      </c>
      <c r="G1322" s="9" t="str">
        <f ca="1">IFERROR(__xludf.DUMMYFUNCTION("""COMPUTED_VALUE"""),"1 USD = 164.9928 PKR")</f>
        <v>1 USD = 164.9928 PKR</v>
      </c>
      <c r="H1322" s="9" t="str">
        <f ca="1">IFERROR(__xludf.DUMMYFUNCTION("""COMPUTED_VALUE"""),"USD PKR rate for 03/06/2020")</f>
        <v>USD PKR rate for 03/06/2020</v>
      </c>
      <c r="I1322" s="9"/>
    </row>
    <row r="1323" spans="1:9" ht="14.25" customHeight="1" x14ac:dyDescent="0.3">
      <c r="A1323" s="6">
        <v>41040</v>
      </c>
      <c r="B1323" s="7">
        <v>90.9803</v>
      </c>
      <c r="C1323" s="8">
        <f t="shared" si="11"/>
        <v>100.04220557425275</v>
      </c>
      <c r="D1323" s="9">
        <f t="shared" si="10"/>
        <v>65.357544536326103</v>
      </c>
      <c r="E1323" s="9"/>
      <c r="F1323" s="9">
        <f ca="1">IFERROR(__xludf.DUMMYFUNCTION("""COMPUTED_VALUE"""),43984)</f>
        <v>43984</v>
      </c>
      <c r="G1323" s="9" t="str">
        <f ca="1">IFERROR(__xludf.DUMMYFUNCTION("""COMPUTED_VALUE"""),"1 USD = 165.5 PKR")</f>
        <v>1 USD = 165.5 PKR</v>
      </c>
      <c r="H1323" s="9" t="str">
        <f ca="1">IFERROR(__xludf.DUMMYFUNCTION("""COMPUTED_VALUE"""),"USD PKR rate for 02/06/2020")</f>
        <v>USD PKR rate for 02/06/2020</v>
      </c>
      <c r="I1323" s="9"/>
    </row>
    <row r="1324" spans="1:9" ht="14.25" customHeight="1" x14ac:dyDescent="0.3">
      <c r="A1324" s="6">
        <v>41041</v>
      </c>
      <c r="B1324" s="7">
        <v>90.980400000000017</v>
      </c>
      <c r="C1324" s="8">
        <f t="shared" si="11"/>
        <v>100.06009809954574</v>
      </c>
      <c r="D1324" s="9">
        <f t="shared" si="10"/>
        <v>65.360282369123368</v>
      </c>
      <c r="E1324" s="9"/>
      <c r="F1324" s="9">
        <f ca="1">IFERROR(__xludf.DUMMYFUNCTION("""COMPUTED_VALUE"""),43983)</f>
        <v>43983</v>
      </c>
      <c r="G1324" s="9" t="str">
        <f ca="1">IFERROR(__xludf.DUMMYFUNCTION("""COMPUTED_VALUE"""),"1 USD = 163.0522 PKR")</f>
        <v>1 USD = 163.0522 PKR</v>
      </c>
      <c r="H1324" s="9" t="str">
        <f ca="1">IFERROR(__xludf.DUMMYFUNCTION("""COMPUTED_VALUE"""),"USD PKR rate for 01/06/2020")</f>
        <v>USD PKR rate for 01/06/2020</v>
      </c>
      <c r="I1324" s="9"/>
    </row>
    <row r="1325" spans="1:9" ht="14.25" customHeight="1" x14ac:dyDescent="0.3">
      <c r="A1325" s="6">
        <v>41042</v>
      </c>
      <c r="B1325" s="7">
        <v>91.025700000000001</v>
      </c>
      <c r="C1325" s="8">
        <f t="shared" si="11"/>
        <v>100.07799382491274</v>
      </c>
      <c r="D1325" s="9">
        <f t="shared" si="10"/>
        <v>65.363020201920634</v>
      </c>
      <c r="E1325" s="9"/>
      <c r="F1325" s="9">
        <f ca="1">IFERROR(__xludf.DUMMYFUNCTION("""COMPUTED_VALUE"""),43982)</f>
        <v>43982</v>
      </c>
      <c r="G1325" s="9" t="str">
        <f ca="1">IFERROR(__xludf.DUMMYFUNCTION("""COMPUTED_VALUE"""),"1 USD = 162.866 PKR")</f>
        <v>1 USD = 162.866 PKR</v>
      </c>
      <c r="H1325" s="9" t="str">
        <f ca="1">IFERROR(__xludf.DUMMYFUNCTION("""COMPUTED_VALUE"""),"USD PKR rate for 31/05/2020")</f>
        <v>USD PKR rate for 31/05/2020</v>
      </c>
      <c r="I1325" s="9"/>
    </row>
    <row r="1326" spans="1:9" ht="14.25" customHeight="1" x14ac:dyDescent="0.3">
      <c r="A1326" s="6">
        <v>41043</v>
      </c>
      <c r="B1326" s="7">
        <v>90.876800000000003</v>
      </c>
      <c r="C1326" s="8">
        <f t="shared" si="11"/>
        <v>100.09589275092608</v>
      </c>
      <c r="D1326" s="9">
        <f t="shared" si="10"/>
        <v>65.365758034717899</v>
      </c>
      <c r="E1326" s="9"/>
      <c r="F1326" s="9">
        <f ca="1">IFERROR(__xludf.DUMMYFUNCTION("""COMPUTED_VALUE"""),43981)</f>
        <v>43981</v>
      </c>
      <c r="G1326" s="9" t="str">
        <f ca="1">IFERROR(__xludf.DUMMYFUNCTION("""COMPUTED_VALUE"""),"1 USD = 160.9565 PKR")</f>
        <v>1 USD = 160.9565 PKR</v>
      </c>
      <c r="H1326" s="9" t="str">
        <f ca="1">IFERROR(__xludf.DUMMYFUNCTION("""COMPUTED_VALUE"""),"USD PKR rate for 30/05/2020")</f>
        <v>USD PKR rate for 30/05/2020</v>
      </c>
      <c r="I1326" s="9"/>
    </row>
    <row r="1327" spans="1:9" ht="14.25" customHeight="1" x14ac:dyDescent="0.3">
      <c r="A1327" s="6">
        <v>41044</v>
      </c>
      <c r="B1327" s="7">
        <v>90.936199999999999</v>
      </c>
      <c r="C1327" s="8">
        <f t="shared" si="11"/>
        <v>100.11379487815817</v>
      </c>
      <c r="D1327" s="9">
        <f t="shared" si="10"/>
        <v>65.368495867515165</v>
      </c>
      <c r="E1327" s="9"/>
      <c r="F1327" s="9">
        <f ca="1">IFERROR(__xludf.DUMMYFUNCTION("""COMPUTED_VALUE"""),43980)</f>
        <v>43980</v>
      </c>
      <c r="G1327" s="9" t="str">
        <f ca="1">IFERROR(__xludf.DUMMYFUNCTION("""COMPUTED_VALUE"""),"1 USD = 160.9565 PKR")</f>
        <v>1 USD = 160.9565 PKR</v>
      </c>
      <c r="H1327" s="9" t="str">
        <f ca="1">IFERROR(__xludf.DUMMYFUNCTION("""COMPUTED_VALUE"""),"USD PKR rate for 29/05/2020")</f>
        <v>USD PKR rate for 29/05/2020</v>
      </c>
      <c r="I1327" s="9"/>
    </row>
    <row r="1328" spans="1:9" ht="14.25" customHeight="1" x14ac:dyDescent="0.3">
      <c r="A1328" s="6">
        <v>41045</v>
      </c>
      <c r="B1328" s="7">
        <v>90.881100000000004</v>
      </c>
      <c r="C1328" s="8">
        <f t="shared" si="11"/>
        <v>100.13170020718161</v>
      </c>
      <c r="D1328" s="9">
        <f t="shared" si="10"/>
        <v>65.37123370031243</v>
      </c>
      <c r="E1328" s="9"/>
      <c r="F1328" s="9">
        <f ca="1">IFERROR(__xludf.DUMMYFUNCTION("""COMPUTED_VALUE"""),43979)</f>
        <v>43979</v>
      </c>
      <c r="G1328" s="9" t="str">
        <f ca="1">IFERROR(__xludf.DUMMYFUNCTION("""COMPUTED_VALUE"""),"1 USD = 161.1265 PKR")</f>
        <v>1 USD = 161.1265 PKR</v>
      </c>
      <c r="H1328" s="9" t="str">
        <f ca="1">IFERROR(__xludf.DUMMYFUNCTION("""COMPUTED_VALUE"""),"USD PKR rate for 28/05/2020")</f>
        <v>USD PKR rate for 28/05/2020</v>
      </c>
      <c r="I1328" s="9"/>
    </row>
    <row r="1329" spans="1:9" ht="14.25" customHeight="1" x14ac:dyDescent="0.3">
      <c r="A1329" s="6">
        <v>41046</v>
      </c>
      <c r="B1329" s="7">
        <v>90.877100000000013</v>
      </c>
      <c r="C1329" s="8">
        <f t="shared" si="11"/>
        <v>100.14960873856896</v>
      </c>
      <c r="D1329" s="9">
        <f t="shared" si="10"/>
        <v>65.373971533109696</v>
      </c>
      <c r="E1329" s="9"/>
      <c r="F1329" s="9">
        <f ca="1">IFERROR(__xludf.DUMMYFUNCTION("""COMPUTED_VALUE"""),43978)</f>
        <v>43978</v>
      </c>
      <c r="G1329" s="9" t="str">
        <f ca="1">IFERROR(__xludf.DUMMYFUNCTION("""COMPUTED_VALUE"""),"1 USD = 160.885 PKR")</f>
        <v>1 USD = 160.885 PKR</v>
      </c>
      <c r="H1329" s="9" t="str">
        <f ca="1">IFERROR(__xludf.DUMMYFUNCTION("""COMPUTED_VALUE"""),"USD PKR rate for 27/05/2020")</f>
        <v>USD PKR rate for 27/05/2020</v>
      </c>
      <c r="I1329" s="9"/>
    </row>
    <row r="1330" spans="1:9" ht="14.25" customHeight="1" x14ac:dyDescent="0.3">
      <c r="A1330" s="6">
        <v>41047</v>
      </c>
      <c r="B1330" s="7">
        <v>90.921899999999994</v>
      </c>
      <c r="C1330" s="8">
        <f t="shared" si="11"/>
        <v>100.16752047289302</v>
      </c>
      <c r="D1330" s="9">
        <f t="shared" si="10"/>
        <v>65.376709365906976</v>
      </c>
      <c r="E1330" s="9"/>
      <c r="F1330" s="9">
        <f ca="1">IFERROR(__xludf.DUMMYFUNCTION("""COMPUTED_VALUE"""),43977)</f>
        <v>43977</v>
      </c>
      <c r="G1330" s="9" t="str">
        <f ca="1">IFERROR(__xludf.DUMMYFUNCTION("""COMPUTED_VALUE"""),"1 USD = 161.1626 PKR")</f>
        <v>1 USD = 161.1626 PKR</v>
      </c>
      <c r="H1330" s="9" t="str">
        <f ca="1">IFERROR(__xludf.DUMMYFUNCTION("""COMPUTED_VALUE"""),"USD PKR rate for 26/05/2020")</f>
        <v>USD PKR rate for 26/05/2020</v>
      </c>
      <c r="I1330" s="9"/>
    </row>
    <row r="1331" spans="1:9" ht="14.25" customHeight="1" x14ac:dyDescent="0.3">
      <c r="A1331" s="6">
        <v>41048</v>
      </c>
      <c r="B1331" s="7">
        <v>90.921899999999994</v>
      </c>
      <c r="C1331" s="8">
        <f t="shared" si="11"/>
        <v>100.1854354107266</v>
      </c>
      <c r="D1331" s="9">
        <f t="shared" si="10"/>
        <v>65.379447198704241</v>
      </c>
      <c r="E1331" s="9"/>
      <c r="F1331" s="9">
        <f ca="1">IFERROR(__xludf.DUMMYFUNCTION("""COMPUTED_VALUE"""),43976)</f>
        <v>43976</v>
      </c>
      <c r="G1331" s="9" t="str">
        <f ca="1">IFERROR(__xludf.DUMMYFUNCTION("""COMPUTED_VALUE"""),"1 USD = 161.231 PKR")</f>
        <v>1 USD = 161.231 PKR</v>
      </c>
      <c r="H1331" s="9" t="str">
        <f ca="1">IFERROR(__xludf.DUMMYFUNCTION("""COMPUTED_VALUE"""),"USD PKR rate for 25/05/2020")</f>
        <v>USD PKR rate for 25/05/2020</v>
      </c>
      <c r="I1331" s="9"/>
    </row>
    <row r="1332" spans="1:9" ht="14.25" customHeight="1" x14ac:dyDescent="0.3">
      <c r="A1332" s="6">
        <v>41049</v>
      </c>
      <c r="B1332" s="7">
        <v>91.031199999999998</v>
      </c>
      <c r="C1332" s="8">
        <f t="shared" si="11"/>
        <v>100.20335355264268</v>
      </c>
      <c r="D1332" s="9">
        <f t="shared" si="10"/>
        <v>65.382185031501507</v>
      </c>
      <c r="E1332" s="9"/>
      <c r="F1332" s="9">
        <f ca="1">IFERROR(__xludf.DUMMYFUNCTION("""COMPUTED_VALUE"""),43975)</f>
        <v>43975</v>
      </c>
      <c r="G1332" s="9" t="str">
        <f ca="1">IFERROR(__xludf.DUMMYFUNCTION("""COMPUTED_VALUE"""),"1 USD = 160.4913 PKR")</f>
        <v>1 USD = 160.4913 PKR</v>
      </c>
      <c r="H1332" s="9" t="str">
        <f ca="1">IFERROR(__xludf.DUMMYFUNCTION("""COMPUTED_VALUE"""),"USD PKR rate for 24/05/2020")</f>
        <v>USD PKR rate for 24/05/2020</v>
      </c>
      <c r="I1332" s="9"/>
    </row>
    <row r="1333" spans="1:9" ht="14.25" customHeight="1" x14ac:dyDescent="0.3">
      <c r="A1333" s="6">
        <v>41050</v>
      </c>
      <c r="B1333" s="7">
        <v>91.302199999999999</v>
      </c>
      <c r="C1333" s="8">
        <f t="shared" si="11"/>
        <v>100.22127489921429</v>
      </c>
      <c r="D1333" s="9">
        <f t="shared" si="10"/>
        <v>65.384922864298773</v>
      </c>
      <c r="E1333" s="9"/>
      <c r="F1333" s="9">
        <f ca="1">IFERROR(__xludf.DUMMYFUNCTION("""COMPUTED_VALUE"""),43974)</f>
        <v>43974</v>
      </c>
      <c r="G1333" s="9" t="str">
        <f ca="1">IFERROR(__xludf.DUMMYFUNCTION("""COMPUTED_VALUE"""),"1 USD = 160.6008 PKR")</f>
        <v>1 USD = 160.6008 PKR</v>
      </c>
      <c r="H1333" s="9" t="str">
        <f ca="1">IFERROR(__xludf.DUMMYFUNCTION("""COMPUTED_VALUE"""),"USD PKR rate for 23/05/2020")</f>
        <v>USD PKR rate for 23/05/2020</v>
      </c>
      <c r="I1333" s="9"/>
    </row>
    <row r="1334" spans="1:9" ht="14.25" customHeight="1" x14ac:dyDescent="0.3">
      <c r="A1334" s="6">
        <v>41051</v>
      </c>
      <c r="B1334" s="7">
        <v>91.507500000000007</v>
      </c>
      <c r="C1334" s="8">
        <f t="shared" si="11"/>
        <v>100.23919945101457</v>
      </c>
      <c r="D1334" s="9">
        <f t="shared" si="10"/>
        <v>65.387660697096038</v>
      </c>
      <c r="E1334" s="9"/>
      <c r="F1334" s="9">
        <f ca="1">IFERROR(__xludf.DUMMYFUNCTION("""COMPUTED_VALUE"""),43973)</f>
        <v>43973</v>
      </c>
      <c r="G1334" s="9" t="str">
        <f ca="1">IFERROR(__xludf.DUMMYFUNCTION("""COMPUTED_VALUE"""),"1 USD = 160.6045 PKR")</f>
        <v>1 USD = 160.6045 PKR</v>
      </c>
      <c r="H1334" s="9" t="str">
        <f ca="1">IFERROR(__xludf.DUMMYFUNCTION("""COMPUTED_VALUE"""),"USD PKR rate for 22/05/2020")</f>
        <v>USD PKR rate for 22/05/2020</v>
      </c>
      <c r="I1334" s="9"/>
    </row>
    <row r="1335" spans="1:9" ht="14.25" customHeight="1" x14ac:dyDescent="0.3">
      <c r="A1335" s="6">
        <v>41052</v>
      </c>
      <c r="B1335" s="7">
        <v>91.996899999999997</v>
      </c>
      <c r="C1335" s="8">
        <f t="shared" si="11"/>
        <v>100.25712720861679</v>
      </c>
      <c r="D1335" s="9">
        <f t="shared" si="10"/>
        <v>65.390398529893304</v>
      </c>
      <c r="E1335" s="9"/>
      <c r="F1335" s="9">
        <f ca="1">IFERROR(__xludf.DUMMYFUNCTION("""COMPUTED_VALUE"""),43972)</f>
        <v>43972</v>
      </c>
      <c r="G1335" s="9" t="str">
        <f ca="1">IFERROR(__xludf.DUMMYFUNCTION("""COMPUTED_VALUE"""),"1 USD = 160.5385 PKR")</f>
        <v>1 USD = 160.5385 PKR</v>
      </c>
      <c r="H1335" s="9" t="str">
        <f ca="1">IFERROR(__xludf.DUMMYFUNCTION("""COMPUTED_VALUE"""),"USD PKR rate for 21/05/2020")</f>
        <v>USD PKR rate for 21/05/2020</v>
      </c>
      <c r="I1335" s="9"/>
    </row>
    <row r="1336" spans="1:9" ht="14.25" customHeight="1" x14ac:dyDescent="0.3">
      <c r="A1336" s="6">
        <v>41053</v>
      </c>
      <c r="B1336" s="7">
        <v>91.973600000000005</v>
      </c>
      <c r="C1336" s="8">
        <f t="shared" si="11"/>
        <v>100.27505817259431</v>
      </c>
      <c r="D1336" s="9">
        <f t="shared" si="10"/>
        <v>65.393136362690569</v>
      </c>
      <c r="E1336" s="9"/>
      <c r="F1336" s="9">
        <f ca="1">IFERROR(__xludf.DUMMYFUNCTION("""COMPUTED_VALUE"""),43971)</f>
        <v>43971</v>
      </c>
      <c r="G1336" s="9" t="str">
        <f ca="1">IFERROR(__xludf.DUMMYFUNCTION("""COMPUTED_VALUE"""),"1 USD = 160.5 PKR")</f>
        <v>1 USD = 160.5 PKR</v>
      </c>
      <c r="H1336" s="9" t="str">
        <f ca="1">IFERROR(__xludf.DUMMYFUNCTION("""COMPUTED_VALUE"""),"USD PKR rate for 20/05/2020")</f>
        <v>USD PKR rate for 20/05/2020</v>
      </c>
      <c r="I1336" s="9"/>
    </row>
    <row r="1337" spans="1:9" ht="14.25" customHeight="1" x14ac:dyDescent="0.3">
      <c r="A1337" s="6">
        <v>41054</v>
      </c>
      <c r="B1337" s="7">
        <v>91.809700000000007</v>
      </c>
      <c r="C1337" s="8">
        <f t="shared" si="11"/>
        <v>100.29299234352058</v>
      </c>
      <c r="D1337" s="9">
        <f t="shared" si="10"/>
        <v>65.395874195487835</v>
      </c>
      <c r="E1337" s="9"/>
      <c r="F1337" s="9">
        <f ca="1">IFERROR(__xludf.DUMMYFUNCTION("""COMPUTED_VALUE"""),43970)</f>
        <v>43970</v>
      </c>
      <c r="G1337" s="9" t="str">
        <f ca="1">IFERROR(__xludf.DUMMYFUNCTION("""COMPUTED_VALUE"""),"1 USD = 160.5155 PKR")</f>
        <v>1 USD = 160.5155 PKR</v>
      </c>
      <c r="H1337" s="9" t="str">
        <f ca="1">IFERROR(__xludf.DUMMYFUNCTION("""COMPUTED_VALUE"""),"USD PKR rate for 19/05/2020")</f>
        <v>USD PKR rate for 19/05/2020</v>
      </c>
      <c r="I1337" s="9"/>
    </row>
    <row r="1338" spans="1:9" ht="14.25" customHeight="1" x14ac:dyDescent="0.3">
      <c r="A1338" s="6">
        <v>41055</v>
      </c>
      <c r="B1338" s="7">
        <v>91.809700000000007</v>
      </c>
      <c r="C1338" s="8">
        <f t="shared" si="11"/>
        <v>100.31092972196917</v>
      </c>
      <c r="D1338" s="9">
        <f t="shared" si="10"/>
        <v>65.3986120282851</v>
      </c>
      <c r="E1338" s="9"/>
      <c r="F1338" s="9">
        <f ca="1">IFERROR(__xludf.DUMMYFUNCTION("""COMPUTED_VALUE"""),43969)</f>
        <v>43969</v>
      </c>
      <c r="G1338" s="9" t="str">
        <f ca="1">IFERROR(__xludf.DUMMYFUNCTION("""COMPUTED_VALUE"""),"1 USD = 160.48 PKR")</f>
        <v>1 USD = 160.48 PKR</v>
      </c>
      <c r="H1338" s="9" t="str">
        <f ca="1">IFERROR(__xludf.DUMMYFUNCTION("""COMPUTED_VALUE"""),"USD PKR rate for 18/05/2020")</f>
        <v>USD PKR rate for 18/05/2020</v>
      </c>
      <c r="I1338" s="9"/>
    </row>
    <row r="1339" spans="1:9" ht="14.25" customHeight="1" x14ac:dyDescent="0.3">
      <c r="A1339" s="6">
        <v>41056</v>
      </c>
      <c r="B1339" s="7">
        <v>91.634100000000004</v>
      </c>
      <c r="C1339" s="8">
        <f t="shared" si="11"/>
        <v>100.32887030851366</v>
      </c>
      <c r="D1339" s="9">
        <f t="shared" si="10"/>
        <v>65.401349861082366</v>
      </c>
      <c r="E1339" s="9"/>
      <c r="F1339" s="9">
        <f ca="1">IFERROR(__xludf.DUMMYFUNCTION("""COMPUTED_VALUE"""),43968)</f>
        <v>43968</v>
      </c>
      <c r="G1339" s="9" t="str">
        <f ca="1">IFERROR(__xludf.DUMMYFUNCTION("""COMPUTED_VALUE"""),"1 USD = 160.0504 PKR")</f>
        <v>1 USD = 160.0504 PKR</v>
      </c>
      <c r="H1339" s="9" t="str">
        <f ca="1">IFERROR(__xludf.DUMMYFUNCTION("""COMPUTED_VALUE"""),"USD PKR rate for 17/05/2020")</f>
        <v>USD PKR rate for 17/05/2020</v>
      </c>
      <c r="I1339" s="9"/>
    </row>
    <row r="1340" spans="1:9" ht="14.25" customHeight="1" x14ac:dyDescent="0.3">
      <c r="A1340" s="6">
        <v>41057</v>
      </c>
      <c r="B1340" s="7">
        <v>91.815600000000003</v>
      </c>
      <c r="C1340" s="8">
        <f t="shared" si="11"/>
        <v>100.34681410372797</v>
      </c>
      <c r="D1340" s="9">
        <f t="shared" si="10"/>
        <v>65.404087693879632</v>
      </c>
      <c r="E1340" s="9"/>
      <c r="F1340" s="9">
        <f ca="1">IFERROR(__xludf.DUMMYFUNCTION("""COMPUTED_VALUE"""),43967)</f>
        <v>43967</v>
      </c>
      <c r="G1340" s="9" t="str">
        <f ca="1">IFERROR(__xludf.DUMMYFUNCTION("""COMPUTED_VALUE"""),"1 USD = 159.996 PKR")</f>
        <v>1 USD = 159.996 PKR</v>
      </c>
      <c r="H1340" s="9" t="str">
        <f ca="1">IFERROR(__xludf.DUMMYFUNCTION("""COMPUTED_VALUE"""),"USD PKR rate for 16/05/2020")</f>
        <v>USD PKR rate for 16/05/2020</v>
      </c>
      <c r="I1340" s="9"/>
    </row>
    <row r="1341" spans="1:9" ht="14.25" customHeight="1" x14ac:dyDescent="0.3">
      <c r="A1341" s="6">
        <v>41058</v>
      </c>
      <c r="B1341" s="7">
        <v>92.916200000000003</v>
      </c>
      <c r="C1341" s="8">
        <f t="shared" si="11"/>
        <v>100.3647611081859</v>
      </c>
      <c r="D1341" s="9">
        <f t="shared" si="10"/>
        <v>65.406825526676897</v>
      </c>
      <c r="E1341" s="9"/>
      <c r="F1341" s="9">
        <f ca="1">IFERROR(__xludf.DUMMYFUNCTION("""COMPUTED_VALUE"""),43966)</f>
        <v>43966</v>
      </c>
      <c r="G1341" s="9" t="str">
        <f ca="1">IFERROR(__xludf.DUMMYFUNCTION("""COMPUTED_VALUE"""),"1 USD = 159.996 PKR")</f>
        <v>1 USD = 159.996 PKR</v>
      </c>
      <c r="H1341" s="9" t="str">
        <f ca="1">IFERROR(__xludf.DUMMYFUNCTION("""COMPUTED_VALUE"""),"USD PKR rate for 15/05/2020")</f>
        <v>USD PKR rate for 15/05/2020</v>
      </c>
      <c r="I1341" s="9"/>
    </row>
    <row r="1342" spans="1:9" ht="14.25" customHeight="1" x14ac:dyDescent="0.3">
      <c r="A1342" s="6">
        <v>41059</v>
      </c>
      <c r="B1342" s="7">
        <v>93.124200000000002</v>
      </c>
      <c r="C1342" s="8">
        <f t="shared" si="11"/>
        <v>100.38271132246142</v>
      </c>
      <c r="D1342" s="9">
        <f t="shared" si="10"/>
        <v>65.409563359474163</v>
      </c>
      <c r="E1342" s="9"/>
      <c r="F1342" s="9">
        <f ca="1">IFERROR(__xludf.DUMMYFUNCTION("""COMPUTED_VALUE"""),43965)</f>
        <v>43965</v>
      </c>
      <c r="G1342" s="9" t="str">
        <f ca="1">IFERROR(__xludf.DUMMYFUNCTION("""COMPUTED_VALUE"""),"1 USD = 160.3578 PKR")</f>
        <v>1 USD = 160.3578 PKR</v>
      </c>
      <c r="H1342" s="9" t="str">
        <f ca="1">IFERROR(__xludf.DUMMYFUNCTION("""COMPUTED_VALUE"""),"USD PKR rate for 14/05/2020")</f>
        <v>USD PKR rate for 14/05/2020</v>
      </c>
      <c r="I1342" s="9"/>
    </row>
    <row r="1343" spans="1:9" ht="14.25" customHeight="1" x14ac:dyDescent="0.3">
      <c r="A1343" s="6">
        <v>41060</v>
      </c>
      <c r="B1343" s="7">
        <v>93.644199999999998</v>
      </c>
      <c r="C1343" s="8">
        <f t="shared" si="11"/>
        <v>100.4006647471286</v>
      </c>
      <c r="D1343" s="9">
        <f t="shared" si="10"/>
        <v>65.412301192271428</v>
      </c>
      <c r="E1343" s="9"/>
      <c r="F1343" s="9">
        <f ca="1">IFERROR(__xludf.DUMMYFUNCTION("""COMPUTED_VALUE"""),43964)</f>
        <v>43964</v>
      </c>
      <c r="G1343" s="9" t="str">
        <f ca="1">IFERROR(__xludf.DUMMYFUNCTION("""COMPUTED_VALUE"""),"1 USD = 160.6661 PKR")</f>
        <v>1 USD = 160.6661 PKR</v>
      </c>
      <c r="H1343" s="9" t="str">
        <f ca="1">IFERROR(__xludf.DUMMYFUNCTION("""COMPUTED_VALUE"""),"USD PKR rate for 13/05/2020")</f>
        <v>USD PKR rate for 13/05/2020</v>
      </c>
      <c r="I1343" s="9"/>
    </row>
    <row r="1344" spans="1:9" ht="14.25" customHeight="1" x14ac:dyDescent="0.3">
      <c r="A1344" s="6">
        <v>41061</v>
      </c>
      <c r="B1344" s="7">
        <v>93.504800000000003</v>
      </c>
      <c r="C1344" s="8">
        <f t="shared" si="11"/>
        <v>100.41862138276163</v>
      </c>
      <c r="D1344" s="9">
        <f t="shared" si="10"/>
        <v>65.415039025068694</v>
      </c>
      <c r="E1344" s="9"/>
      <c r="F1344" s="9">
        <f ca="1">IFERROR(__xludf.DUMMYFUNCTION("""COMPUTED_VALUE"""),43963)</f>
        <v>43963</v>
      </c>
      <c r="G1344" s="9" t="str">
        <f ca="1">IFERROR(__xludf.DUMMYFUNCTION("""COMPUTED_VALUE"""),"1 USD = 160.2717 PKR")</f>
        <v>1 USD = 160.2717 PKR</v>
      </c>
      <c r="H1344" s="9" t="str">
        <f ca="1">IFERROR(__xludf.DUMMYFUNCTION("""COMPUTED_VALUE"""),"USD PKR rate for 12/05/2020")</f>
        <v>USD PKR rate for 12/05/2020</v>
      </c>
      <c r="I1344" s="9"/>
    </row>
    <row r="1345" spans="1:9" ht="14.25" customHeight="1" x14ac:dyDescent="0.3">
      <c r="A1345" s="6">
        <v>41062</v>
      </c>
      <c r="B1345" s="7">
        <v>93.680700000000002</v>
      </c>
      <c r="C1345" s="8">
        <f t="shared" si="11"/>
        <v>100.43658122993479</v>
      </c>
      <c r="D1345" s="9">
        <f t="shared" si="10"/>
        <v>65.41777685786596</v>
      </c>
      <c r="E1345" s="9"/>
      <c r="F1345" s="9">
        <f ca="1">IFERROR(__xludf.DUMMYFUNCTION("""COMPUTED_VALUE"""),43962)</f>
        <v>43962</v>
      </c>
      <c r="G1345" s="9" t="str">
        <f ca="1">IFERROR(__xludf.DUMMYFUNCTION("""COMPUTED_VALUE"""),"1 USD = 159.9326 PKR")</f>
        <v>1 USD = 159.9326 PKR</v>
      </c>
      <c r="H1345" s="9" t="str">
        <f ca="1">IFERROR(__xludf.DUMMYFUNCTION("""COMPUTED_VALUE"""),"USD PKR rate for 11/05/2020")</f>
        <v>USD PKR rate for 11/05/2020</v>
      </c>
      <c r="I1345" s="9"/>
    </row>
    <row r="1346" spans="1:9" ht="14.25" customHeight="1" x14ac:dyDescent="0.3">
      <c r="A1346" s="6">
        <v>41063</v>
      </c>
      <c r="B1346" s="7">
        <v>93.723399999999998</v>
      </c>
      <c r="C1346" s="8">
        <f t="shared" si="11"/>
        <v>100.45454428922245</v>
      </c>
      <c r="D1346" s="9">
        <f t="shared" si="10"/>
        <v>65.420514690663225</v>
      </c>
      <c r="E1346" s="9"/>
      <c r="F1346" s="9">
        <f ca="1">IFERROR(__xludf.DUMMYFUNCTION("""COMPUTED_VALUE"""),43961)</f>
        <v>43961</v>
      </c>
      <c r="G1346" s="9" t="str">
        <f ca="1">IFERROR(__xludf.DUMMYFUNCTION("""COMPUTED_VALUE"""),"1 USD = 159.749 PKR")</f>
        <v>1 USD = 159.749 PKR</v>
      </c>
      <c r="H1346" s="9" t="str">
        <f ca="1">IFERROR(__xludf.DUMMYFUNCTION("""COMPUTED_VALUE"""),"USD PKR rate for 10/05/2020")</f>
        <v>USD PKR rate for 10/05/2020</v>
      </c>
      <c r="I1346" s="9"/>
    </row>
    <row r="1347" spans="1:9" ht="14.25" customHeight="1" x14ac:dyDescent="0.3">
      <c r="A1347" s="6">
        <v>41064</v>
      </c>
      <c r="B1347" s="7">
        <v>93.882800000000003</v>
      </c>
      <c r="C1347" s="8">
        <f t="shared" si="11"/>
        <v>100.47251056119912</v>
      </c>
      <c r="D1347" s="9">
        <f t="shared" si="10"/>
        <v>65.423252523460491</v>
      </c>
      <c r="E1347" s="9"/>
      <c r="F1347" s="9">
        <f ca="1">IFERROR(__xludf.DUMMYFUNCTION("""COMPUTED_VALUE"""),43960)</f>
        <v>43960</v>
      </c>
      <c r="G1347" s="9" t="str">
        <f ca="1">IFERROR(__xludf.DUMMYFUNCTION("""COMPUTED_VALUE"""),"1 USD = 159.6499 PKR")</f>
        <v>1 USD = 159.6499 PKR</v>
      </c>
      <c r="H1347" s="9" t="str">
        <f ca="1">IFERROR(__xludf.DUMMYFUNCTION("""COMPUTED_VALUE"""),"USD PKR rate for 09/05/2020")</f>
        <v>USD PKR rate for 09/05/2020</v>
      </c>
      <c r="I1347" s="9"/>
    </row>
    <row r="1348" spans="1:9" ht="14.25" customHeight="1" x14ac:dyDescent="0.3">
      <c r="A1348" s="6">
        <v>41065</v>
      </c>
      <c r="B1348" s="7">
        <v>93.880200000000002</v>
      </c>
      <c r="C1348" s="8">
        <f t="shared" si="11"/>
        <v>100.49048004643926</v>
      </c>
      <c r="D1348" s="9">
        <f t="shared" si="10"/>
        <v>65.425990356257756</v>
      </c>
      <c r="E1348" s="9"/>
      <c r="F1348" s="9">
        <f ca="1">IFERROR(__xludf.DUMMYFUNCTION("""COMPUTED_VALUE"""),43959)</f>
        <v>43959</v>
      </c>
      <c r="G1348" s="9" t="str">
        <f ca="1">IFERROR(__xludf.DUMMYFUNCTION("""COMPUTED_VALUE"""),"1 USD = 159.6499 PKR")</f>
        <v>1 USD = 159.6499 PKR</v>
      </c>
      <c r="H1348" s="9" t="str">
        <f ca="1">IFERROR(__xludf.DUMMYFUNCTION("""COMPUTED_VALUE"""),"USD PKR rate for 08/05/2020")</f>
        <v>USD PKR rate for 08/05/2020</v>
      </c>
      <c r="I1348" s="9"/>
    </row>
    <row r="1349" spans="1:9" ht="14.25" customHeight="1" x14ac:dyDescent="0.3">
      <c r="A1349" s="6">
        <v>41066</v>
      </c>
      <c r="B1349" s="7">
        <v>94.135300000000001</v>
      </c>
      <c r="C1349" s="8">
        <f t="shared" si="11"/>
        <v>100.50845274551776</v>
      </c>
      <c r="D1349" s="9">
        <f t="shared" si="10"/>
        <v>65.428728189055022</v>
      </c>
      <c r="E1349" s="9"/>
      <c r="F1349" s="9">
        <f ca="1">IFERROR(__xludf.DUMMYFUNCTION("""COMPUTED_VALUE"""),43958)</f>
        <v>43958</v>
      </c>
      <c r="G1349" s="9" t="str">
        <f ca="1">IFERROR(__xludf.DUMMYFUNCTION("""COMPUTED_VALUE"""),"1 USD = 160.3034 PKR")</f>
        <v>1 USD = 160.3034 PKR</v>
      </c>
      <c r="H1349" s="9" t="str">
        <f ca="1">IFERROR(__xludf.DUMMYFUNCTION("""COMPUTED_VALUE"""),"USD PKR rate for 07/05/2020")</f>
        <v>USD PKR rate for 07/05/2020</v>
      </c>
      <c r="I1349" s="9"/>
    </row>
    <row r="1350" spans="1:9" ht="14.25" customHeight="1" x14ac:dyDescent="0.3">
      <c r="A1350" s="6">
        <v>41067</v>
      </c>
      <c r="B1350" s="7">
        <v>94.412599999999998</v>
      </c>
      <c r="C1350" s="8">
        <f t="shared" si="11"/>
        <v>100.52642865900934</v>
      </c>
      <c r="D1350" s="9">
        <f t="shared" si="10"/>
        <v>65.431466021852287</v>
      </c>
      <c r="E1350" s="9"/>
      <c r="F1350" s="9">
        <f ca="1">IFERROR(__xludf.DUMMYFUNCTION("""COMPUTED_VALUE"""),43957)</f>
        <v>43957</v>
      </c>
      <c r="G1350" s="9" t="str">
        <f ca="1">IFERROR(__xludf.DUMMYFUNCTION("""COMPUTED_VALUE"""),"1 USD = 159.26 PKR")</f>
        <v>1 USD = 159.26 PKR</v>
      </c>
      <c r="H1350" s="9" t="str">
        <f ca="1">IFERROR(__xludf.DUMMYFUNCTION("""COMPUTED_VALUE"""),"USD PKR rate for 06/05/2020")</f>
        <v>USD PKR rate for 06/05/2020</v>
      </c>
      <c r="I1350" s="9"/>
    </row>
    <row r="1351" spans="1:9" ht="14.25" customHeight="1" x14ac:dyDescent="0.3">
      <c r="A1351" s="6">
        <v>41068</v>
      </c>
      <c r="B1351" s="7">
        <v>94.263300000000001</v>
      </c>
      <c r="C1351" s="8">
        <f t="shared" si="11"/>
        <v>100.54440778748888</v>
      </c>
      <c r="D1351" s="9">
        <f t="shared" si="10"/>
        <v>65.434203854649553</v>
      </c>
      <c r="E1351" s="9"/>
      <c r="F1351" s="9">
        <f ca="1">IFERROR(__xludf.DUMMYFUNCTION("""COMPUTED_VALUE"""),43956)</f>
        <v>43956</v>
      </c>
      <c r="G1351" s="9" t="str">
        <f ca="1">IFERROR(__xludf.DUMMYFUNCTION("""COMPUTED_VALUE"""),"1 USD = 159.5865 PKR")</f>
        <v>1 USD = 159.5865 PKR</v>
      </c>
      <c r="H1351" s="9" t="str">
        <f ca="1">IFERROR(__xludf.DUMMYFUNCTION("""COMPUTED_VALUE"""),"USD PKR rate for 05/05/2020")</f>
        <v>USD PKR rate for 05/05/2020</v>
      </c>
      <c r="I1351" s="9"/>
    </row>
    <row r="1352" spans="1:9" ht="14.25" customHeight="1" x14ac:dyDescent="0.3">
      <c r="A1352" s="6">
        <v>41069</v>
      </c>
      <c r="B1352" s="7">
        <v>94.263300000000001</v>
      </c>
      <c r="C1352" s="8">
        <f t="shared" si="11"/>
        <v>100.56239013153137</v>
      </c>
      <c r="D1352" s="9">
        <f t="shared" si="10"/>
        <v>65.436941687446819</v>
      </c>
      <c r="E1352" s="9"/>
      <c r="F1352" s="9">
        <f ca="1">IFERROR(__xludf.DUMMYFUNCTION("""COMPUTED_VALUE"""),43955)</f>
        <v>43955</v>
      </c>
      <c r="G1352" s="9" t="str">
        <f ca="1">IFERROR(__xludf.DUMMYFUNCTION("""COMPUTED_VALUE"""),"1 USD = 158.4734 PKR")</f>
        <v>1 USD = 158.4734 PKR</v>
      </c>
      <c r="H1352" s="9" t="str">
        <f ca="1">IFERROR(__xludf.DUMMYFUNCTION("""COMPUTED_VALUE"""),"USD PKR rate for 04/05/2020")</f>
        <v>USD PKR rate for 04/05/2020</v>
      </c>
      <c r="I1352" s="9"/>
    </row>
    <row r="1353" spans="1:9" ht="14.25" customHeight="1" x14ac:dyDescent="0.3">
      <c r="A1353" s="6">
        <v>41070</v>
      </c>
      <c r="B1353" s="7">
        <v>93.899300000000011</v>
      </c>
      <c r="C1353" s="8">
        <f t="shared" si="11"/>
        <v>100.58037569171195</v>
      </c>
      <c r="D1353" s="9">
        <f t="shared" si="10"/>
        <v>65.439679520244084</v>
      </c>
      <c r="E1353" s="9"/>
      <c r="F1353" s="9">
        <f ca="1">IFERROR(__xludf.DUMMYFUNCTION("""COMPUTED_VALUE"""),43954)</f>
        <v>43954</v>
      </c>
      <c r="G1353" s="9" t="str">
        <f ca="1">IFERROR(__xludf.DUMMYFUNCTION("""COMPUTED_VALUE"""),"1 USD = 159.8025 PKR")</f>
        <v>1 USD = 159.8025 PKR</v>
      </c>
      <c r="H1353" s="9" t="str">
        <f ca="1">IFERROR(__xludf.DUMMYFUNCTION("""COMPUTED_VALUE"""),"USD PKR rate for 03/05/2020")</f>
        <v>USD PKR rate for 03/05/2020</v>
      </c>
      <c r="I1353" s="9"/>
    </row>
    <row r="1354" spans="1:9" ht="14.25" customHeight="1" x14ac:dyDescent="0.3">
      <c r="A1354" s="6">
        <v>41071</v>
      </c>
      <c r="B1354" s="7">
        <v>94.528999999999996</v>
      </c>
      <c r="C1354" s="8">
        <f t="shared" si="11"/>
        <v>100.59836446860578</v>
      </c>
      <c r="D1354" s="9">
        <f t="shared" si="10"/>
        <v>65.44241735304135</v>
      </c>
      <c r="E1354" s="9"/>
      <c r="F1354" s="9">
        <f ca="1">IFERROR(__xludf.DUMMYFUNCTION("""COMPUTED_VALUE"""),43953)</f>
        <v>43953</v>
      </c>
      <c r="G1354" s="9" t="str">
        <f ca="1">IFERROR(__xludf.DUMMYFUNCTION("""COMPUTED_VALUE"""),"1 USD = 160.375 PKR")</f>
        <v>1 USD = 160.375 PKR</v>
      </c>
      <c r="H1354" s="9" t="str">
        <f ca="1">IFERROR(__xludf.DUMMYFUNCTION("""COMPUTED_VALUE"""),"USD PKR rate for 02/05/2020")</f>
        <v>USD PKR rate for 02/05/2020</v>
      </c>
      <c r="I1354" s="9"/>
    </row>
    <row r="1355" spans="1:9" ht="14.25" customHeight="1" x14ac:dyDescent="0.3">
      <c r="A1355" s="6">
        <v>41072</v>
      </c>
      <c r="B1355" s="7">
        <v>94.526799999999994</v>
      </c>
      <c r="C1355" s="8">
        <f t="shared" si="11"/>
        <v>100.6163564627882</v>
      </c>
      <c r="D1355" s="9">
        <f t="shared" si="10"/>
        <v>65.445155185838615</v>
      </c>
      <c r="E1355" s="9"/>
      <c r="F1355" s="9">
        <f ca="1">IFERROR(__xludf.DUMMYFUNCTION("""COMPUTED_VALUE"""),43952)</f>
        <v>43952</v>
      </c>
      <c r="G1355" s="9" t="str">
        <f ca="1">IFERROR(__xludf.DUMMYFUNCTION("""COMPUTED_VALUE"""),"1 USD = 160.375 PKR")</f>
        <v>1 USD = 160.375 PKR</v>
      </c>
      <c r="H1355" s="9" t="str">
        <f ca="1">IFERROR(__xludf.DUMMYFUNCTION("""COMPUTED_VALUE"""),"USD PKR rate for 01/05/2020")</f>
        <v>USD PKR rate for 01/05/2020</v>
      </c>
      <c r="I1355" s="9"/>
    </row>
    <row r="1356" spans="1:9" ht="14.25" customHeight="1" x14ac:dyDescent="0.3">
      <c r="A1356" s="6">
        <v>41073</v>
      </c>
      <c r="B1356" s="7">
        <v>94.417400000000001</v>
      </c>
      <c r="C1356" s="8">
        <f t="shared" si="11"/>
        <v>100.63435167483462</v>
      </c>
      <c r="D1356" s="9">
        <f t="shared" si="10"/>
        <v>65.447893018635881</v>
      </c>
      <c r="E1356" s="9"/>
      <c r="F1356" s="9">
        <f ca="1">IFERROR(__xludf.DUMMYFUNCTION("""COMPUTED_VALUE"""),43951)</f>
        <v>43951</v>
      </c>
      <c r="G1356" s="9" t="str">
        <f ca="1">IFERROR(__xludf.DUMMYFUNCTION("""COMPUTED_VALUE"""),"1 USD = 160.4479 PKR")</f>
        <v>1 USD = 160.4479 PKR</v>
      </c>
      <c r="H1356" s="9" t="str">
        <f ca="1">IFERROR(__xludf.DUMMYFUNCTION("""COMPUTED_VALUE"""),"USD PKR rate for 30/04/2020")</f>
        <v>USD PKR rate for 30/04/2020</v>
      </c>
      <c r="I1356" s="9"/>
    </row>
    <row r="1357" spans="1:9" ht="14.25" customHeight="1" x14ac:dyDescent="0.3">
      <c r="A1357" s="6">
        <v>41074</v>
      </c>
      <c r="B1357" s="7">
        <v>94.326600000000013</v>
      </c>
      <c r="C1357" s="8">
        <f t="shared" si="11"/>
        <v>100.65235010532044</v>
      </c>
      <c r="D1357" s="9">
        <f t="shared" si="10"/>
        <v>65.450630851433147</v>
      </c>
      <c r="E1357" s="9"/>
      <c r="F1357" s="9">
        <f ca="1">IFERROR(__xludf.DUMMYFUNCTION("""COMPUTED_VALUE"""),43950)</f>
        <v>43950</v>
      </c>
      <c r="G1357" s="9" t="str">
        <f ca="1">IFERROR(__xludf.DUMMYFUNCTION("""COMPUTED_VALUE"""),"1 USD = 161.546 PKR")</f>
        <v>1 USD = 161.546 PKR</v>
      </c>
      <c r="H1357" s="9" t="str">
        <f ca="1">IFERROR(__xludf.DUMMYFUNCTION("""COMPUTED_VALUE"""),"USD PKR rate for 29/04/2020")</f>
        <v>USD PKR rate for 29/04/2020</v>
      </c>
      <c r="I1357" s="9"/>
    </row>
    <row r="1358" spans="1:9" ht="14.25" customHeight="1" x14ac:dyDescent="0.3">
      <c r="A1358" s="6">
        <v>41075</v>
      </c>
      <c r="B1358" s="7">
        <v>94.380499999999998</v>
      </c>
      <c r="C1358" s="8">
        <f t="shared" si="11"/>
        <v>100.67035175482148</v>
      </c>
      <c r="D1358" s="9">
        <f t="shared" si="10"/>
        <v>65.453368684230412</v>
      </c>
      <c r="E1358" s="9"/>
      <c r="F1358" s="9">
        <f ca="1">IFERROR(__xludf.DUMMYFUNCTION("""COMPUTED_VALUE"""),43949)</f>
        <v>43949</v>
      </c>
      <c r="G1358" s="9" t="str">
        <f ca="1">IFERROR(__xludf.DUMMYFUNCTION("""COMPUTED_VALUE"""),"1 USD = 161.1556 PKR")</f>
        <v>1 USD = 161.1556 PKR</v>
      </c>
      <c r="H1358" s="9" t="str">
        <f ca="1">IFERROR(__xludf.DUMMYFUNCTION("""COMPUTED_VALUE"""),"USD PKR rate for 28/04/2020")</f>
        <v>USD PKR rate for 28/04/2020</v>
      </c>
      <c r="I1358" s="9"/>
    </row>
    <row r="1359" spans="1:9" ht="14.25" customHeight="1" x14ac:dyDescent="0.3">
      <c r="A1359" s="6">
        <v>41076</v>
      </c>
      <c r="B1359" s="7">
        <v>94.206299999999999</v>
      </c>
      <c r="C1359" s="8">
        <f t="shared" si="11"/>
        <v>100.68835662391336</v>
      </c>
      <c r="D1359" s="9">
        <f t="shared" si="10"/>
        <v>65.456106517027678</v>
      </c>
      <c r="E1359" s="9"/>
      <c r="F1359" s="9">
        <f ca="1">IFERROR(__xludf.DUMMYFUNCTION("""COMPUTED_VALUE"""),43948)</f>
        <v>43948</v>
      </c>
      <c r="G1359" s="9" t="str">
        <f ca="1">IFERROR(__xludf.DUMMYFUNCTION("""COMPUTED_VALUE"""),"1 USD = 160.9452 PKR")</f>
        <v>1 USD = 160.9452 PKR</v>
      </c>
      <c r="H1359" s="9" t="str">
        <f ca="1">IFERROR(__xludf.DUMMYFUNCTION("""COMPUTED_VALUE"""),"USD PKR rate for 27/04/2020")</f>
        <v>USD PKR rate for 27/04/2020</v>
      </c>
      <c r="I1359" s="9"/>
    </row>
    <row r="1360" spans="1:9" ht="14.25" customHeight="1" x14ac:dyDescent="0.3">
      <c r="A1360" s="6">
        <v>41077</v>
      </c>
      <c r="B1360" s="7">
        <v>94.206299999999999</v>
      </c>
      <c r="C1360" s="8">
        <f t="shared" si="11"/>
        <v>100.70636471317192</v>
      </c>
      <c r="D1360" s="9">
        <f t="shared" si="10"/>
        <v>65.458844349824943</v>
      </c>
      <c r="E1360" s="9"/>
      <c r="F1360" s="9">
        <f ca="1">IFERROR(__xludf.DUMMYFUNCTION("""COMPUTED_VALUE"""),43947)</f>
        <v>43947</v>
      </c>
      <c r="G1360" s="9" t="str">
        <f ca="1">IFERROR(__xludf.DUMMYFUNCTION("""COMPUTED_VALUE"""),"1 USD = 161.0104 PKR")</f>
        <v>1 USD = 161.0104 PKR</v>
      </c>
      <c r="H1360" s="9" t="str">
        <f ca="1">IFERROR(__xludf.DUMMYFUNCTION("""COMPUTED_VALUE"""),"USD PKR rate for 26/04/2020")</f>
        <v>USD PKR rate for 26/04/2020</v>
      </c>
      <c r="I1360" s="9"/>
    </row>
    <row r="1361" spans="1:9" ht="14.25" customHeight="1" x14ac:dyDescent="0.3">
      <c r="A1361" s="6">
        <v>41078</v>
      </c>
      <c r="B1361" s="7">
        <v>94.002399999999994</v>
      </c>
      <c r="C1361" s="8">
        <f t="shared" si="11"/>
        <v>100.72437602317308</v>
      </c>
      <c r="D1361" s="9">
        <f t="shared" si="10"/>
        <v>65.461582182622209</v>
      </c>
      <c r="E1361" s="9"/>
      <c r="F1361" s="9">
        <f ca="1">IFERROR(__xludf.DUMMYFUNCTION("""COMPUTED_VALUE"""),43946)</f>
        <v>43946</v>
      </c>
      <c r="G1361" s="9" t="str">
        <f ca="1">IFERROR(__xludf.DUMMYFUNCTION("""COMPUTED_VALUE"""),"1 USD = 161.0001 PKR")</f>
        <v>1 USD = 161.0001 PKR</v>
      </c>
      <c r="H1361" s="9" t="str">
        <f ca="1">IFERROR(__xludf.DUMMYFUNCTION("""COMPUTED_VALUE"""),"USD PKR rate for 25/04/2020")</f>
        <v>USD PKR rate for 25/04/2020</v>
      </c>
      <c r="I1361" s="9"/>
    </row>
    <row r="1362" spans="1:9" ht="14.25" customHeight="1" x14ac:dyDescent="0.3">
      <c r="A1362" s="6">
        <v>41079</v>
      </c>
      <c r="B1362" s="7">
        <v>93.429699999999997</v>
      </c>
      <c r="C1362" s="8">
        <f t="shared" si="11"/>
        <v>100.74239055449284</v>
      </c>
      <c r="D1362" s="9">
        <f t="shared" si="10"/>
        <v>65.464320015419474</v>
      </c>
      <c r="E1362" s="9"/>
      <c r="F1362" s="9">
        <f ca="1">IFERROR(__xludf.DUMMYFUNCTION("""COMPUTED_VALUE"""),43945)</f>
        <v>43945</v>
      </c>
      <c r="G1362" s="9" t="str">
        <f ca="1">IFERROR(__xludf.DUMMYFUNCTION("""COMPUTED_VALUE"""),"1 USD = 161.0001 PKR")</f>
        <v>1 USD = 161.0001 PKR</v>
      </c>
      <c r="H1362" s="9" t="str">
        <f ca="1">IFERROR(__xludf.DUMMYFUNCTION("""COMPUTED_VALUE"""),"USD PKR rate for 24/04/2020")</f>
        <v>USD PKR rate for 24/04/2020</v>
      </c>
      <c r="I1362" s="9"/>
    </row>
    <row r="1363" spans="1:9" ht="14.25" customHeight="1" x14ac:dyDescent="0.3">
      <c r="A1363" s="6">
        <v>41080</v>
      </c>
      <c r="B1363" s="7">
        <v>94.259100000000004</v>
      </c>
      <c r="C1363" s="8">
        <f t="shared" si="11"/>
        <v>100.76040830770737</v>
      </c>
      <c r="D1363" s="9">
        <f t="shared" si="10"/>
        <v>65.46705784821674</v>
      </c>
      <c r="E1363" s="9"/>
      <c r="F1363" s="9">
        <f ca="1">IFERROR(__xludf.DUMMYFUNCTION("""COMPUTED_VALUE"""),43944)</f>
        <v>43944</v>
      </c>
      <c r="G1363" s="9" t="str">
        <f ca="1">IFERROR(__xludf.DUMMYFUNCTION("""COMPUTED_VALUE"""),"1 USD = 159.9731 PKR")</f>
        <v>1 USD = 159.9731 PKR</v>
      </c>
      <c r="H1363" s="9" t="str">
        <f ca="1">IFERROR(__xludf.DUMMYFUNCTION("""COMPUTED_VALUE"""),"USD PKR rate for 23/04/2020")</f>
        <v>USD PKR rate for 23/04/2020</v>
      </c>
      <c r="I1363" s="9"/>
    </row>
    <row r="1364" spans="1:9" ht="14.25" customHeight="1" x14ac:dyDescent="0.3">
      <c r="A1364" s="6">
        <v>41081</v>
      </c>
      <c r="B1364" s="7">
        <v>94.406000000000006</v>
      </c>
      <c r="C1364" s="8">
        <f t="shared" si="11"/>
        <v>100.77842928339288</v>
      </c>
      <c r="D1364" s="9">
        <f t="shared" si="10"/>
        <v>65.469795681014006</v>
      </c>
      <c r="E1364" s="9"/>
      <c r="F1364" s="9">
        <f ca="1">IFERROR(__xludf.DUMMYFUNCTION("""COMPUTED_VALUE"""),43943)</f>
        <v>43943</v>
      </c>
      <c r="G1364" s="9" t="str">
        <f ca="1">IFERROR(__xludf.DUMMYFUNCTION("""COMPUTED_VALUE"""),"1 USD = 160.4096 PKR")</f>
        <v>1 USD = 160.4096 PKR</v>
      </c>
      <c r="H1364" s="9" t="str">
        <f ca="1">IFERROR(__xludf.DUMMYFUNCTION("""COMPUTED_VALUE"""),"USD PKR rate for 22/04/2020")</f>
        <v>USD PKR rate for 22/04/2020</v>
      </c>
      <c r="I1364" s="9"/>
    </row>
    <row r="1365" spans="1:9" ht="14.25" customHeight="1" x14ac:dyDescent="0.3">
      <c r="A1365" s="6">
        <v>41082</v>
      </c>
      <c r="B1365" s="7">
        <v>94.433700000000002</v>
      </c>
      <c r="C1365" s="8">
        <f t="shared" si="11"/>
        <v>100.7964534821257</v>
      </c>
      <c r="D1365" s="9">
        <f t="shared" si="10"/>
        <v>65.472533513811271</v>
      </c>
      <c r="E1365" s="9"/>
      <c r="F1365" s="9">
        <f ca="1">IFERROR(__xludf.DUMMYFUNCTION("""COMPUTED_VALUE"""),43942)</f>
        <v>43942</v>
      </c>
      <c r="G1365" s="9" t="str">
        <f ca="1">IFERROR(__xludf.DUMMYFUNCTION("""COMPUTED_VALUE"""),"1 USD = 161.3558 PKR")</f>
        <v>1 USD = 161.3558 PKR</v>
      </c>
      <c r="H1365" s="9" t="str">
        <f ca="1">IFERROR(__xludf.DUMMYFUNCTION("""COMPUTED_VALUE"""),"USD PKR rate for 21/04/2020")</f>
        <v>USD PKR rate for 21/04/2020</v>
      </c>
      <c r="I1365" s="9"/>
    </row>
    <row r="1366" spans="1:9" ht="14.25" customHeight="1" x14ac:dyDescent="0.3">
      <c r="A1366" s="6">
        <v>41083</v>
      </c>
      <c r="B1366" s="7">
        <v>94.481099999999998</v>
      </c>
      <c r="C1366" s="8">
        <f t="shared" si="11"/>
        <v>100.81448090448222</v>
      </c>
      <c r="D1366" s="9">
        <f t="shared" si="10"/>
        <v>65.475271346608537</v>
      </c>
      <c r="E1366" s="9"/>
      <c r="F1366" s="9">
        <f ca="1">IFERROR(__xludf.DUMMYFUNCTION("""COMPUTED_VALUE"""),43941)</f>
        <v>43941</v>
      </c>
      <c r="G1366" s="9" t="str">
        <f ca="1">IFERROR(__xludf.DUMMYFUNCTION("""COMPUTED_VALUE"""),"1 USD = 163.5916 PKR")</f>
        <v>1 USD = 163.5916 PKR</v>
      </c>
      <c r="H1366" s="9" t="str">
        <f ca="1">IFERROR(__xludf.DUMMYFUNCTION("""COMPUTED_VALUE"""),"USD PKR rate for 20/04/2020")</f>
        <v>USD PKR rate for 20/04/2020</v>
      </c>
      <c r="I1366" s="9"/>
    </row>
    <row r="1367" spans="1:9" ht="14.25" customHeight="1" x14ac:dyDescent="0.3">
      <c r="A1367" s="6">
        <v>41084</v>
      </c>
      <c r="B1367" s="7">
        <v>94.487200000000001</v>
      </c>
      <c r="C1367" s="8">
        <f t="shared" si="11"/>
        <v>100.83251155103913</v>
      </c>
      <c r="D1367" s="9">
        <f t="shared" si="10"/>
        <v>65.478009179405802</v>
      </c>
      <c r="E1367" s="9"/>
      <c r="F1367" s="9">
        <f ca="1">IFERROR(__xludf.DUMMYFUNCTION("""COMPUTED_VALUE"""),43940)</f>
        <v>43940</v>
      </c>
      <c r="G1367" s="9" t="str">
        <f ca="1">IFERROR(__xludf.DUMMYFUNCTION("""COMPUTED_VALUE"""),"1 USD = 163.5944 PKR")</f>
        <v>1 USD = 163.5944 PKR</v>
      </c>
      <c r="H1367" s="9" t="str">
        <f ca="1">IFERROR(__xludf.DUMMYFUNCTION("""COMPUTED_VALUE"""),"USD PKR rate for 19/04/2020")</f>
        <v>USD PKR rate for 19/04/2020</v>
      </c>
      <c r="I1367" s="9"/>
    </row>
    <row r="1368" spans="1:9" ht="14.25" customHeight="1" x14ac:dyDescent="0.3">
      <c r="A1368" s="6">
        <v>41085</v>
      </c>
      <c r="B1368" s="7">
        <v>94.528899999999993</v>
      </c>
      <c r="C1368" s="8">
        <f t="shared" si="11"/>
        <v>100.85054542237303</v>
      </c>
      <c r="D1368" s="9">
        <f t="shared" si="10"/>
        <v>65.480747012203068</v>
      </c>
      <c r="E1368" s="9"/>
      <c r="F1368" s="9">
        <f ca="1">IFERROR(__xludf.DUMMYFUNCTION("""COMPUTED_VALUE"""),43939)</f>
        <v>43939</v>
      </c>
      <c r="G1368" s="9" t="str">
        <f ca="1">IFERROR(__xludf.DUMMYFUNCTION("""COMPUTED_VALUE"""),"1 USD = 166.6434 PKR")</f>
        <v>1 USD = 166.6434 PKR</v>
      </c>
      <c r="H1368" s="9" t="str">
        <f ca="1">IFERROR(__xludf.DUMMYFUNCTION("""COMPUTED_VALUE"""),"USD PKR rate for 18/04/2020")</f>
        <v>USD PKR rate for 18/04/2020</v>
      </c>
      <c r="I1368" s="9"/>
    </row>
    <row r="1369" spans="1:9" ht="14.25" customHeight="1" x14ac:dyDescent="0.3">
      <c r="A1369" s="6">
        <v>41086</v>
      </c>
      <c r="B1369" s="7">
        <v>94.548699999999997</v>
      </c>
      <c r="C1369" s="8">
        <f t="shared" si="11"/>
        <v>100.8685825190606</v>
      </c>
      <c r="D1369" s="9">
        <f t="shared" si="10"/>
        <v>65.483484845000334</v>
      </c>
      <c r="E1369" s="9"/>
      <c r="F1369" s="9">
        <f ca="1">IFERROR(__xludf.DUMMYFUNCTION("""COMPUTED_VALUE"""),43938)</f>
        <v>43938</v>
      </c>
      <c r="G1369" s="9" t="str">
        <f ca="1">IFERROR(__xludf.DUMMYFUNCTION("""COMPUTED_VALUE"""),"1 USD = 166.6434 PKR")</f>
        <v>1 USD = 166.6434 PKR</v>
      </c>
      <c r="H1369" s="9" t="str">
        <f ca="1">IFERROR(__xludf.DUMMYFUNCTION("""COMPUTED_VALUE"""),"USD PKR rate for 17/04/2020")</f>
        <v>USD PKR rate for 17/04/2020</v>
      </c>
      <c r="I1369" s="9"/>
    </row>
    <row r="1370" spans="1:9" ht="14.25" customHeight="1" x14ac:dyDescent="0.3">
      <c r="A1370" s="6">
        <v>41087</v>
      </c>
      <c r="B1370" s="7">
        <v>94.589200000000019</v>
      </c>
      <c r="C1370" s="8">
        <f t="shared" si="11"/>
        <v>100.88662284167876</v>
      </c>
      <c r="D1370" s="9">
        <f t="shared" si="10"/>
        <v>65.486222677797599</v>
      </c>
      <c r="E1370" s="9"/>
      <c r="F1370" s="9">
        <f ca="1">IFERROR(__xludf.DUMMYFUNCTION("""COMPUTED_VALUE"""),43937)</f>
        <v>43937</v>
      </c>
      <c r="G1370" s="9" t="str">
        <f ca="1">IFERROR(__xludf.DUMMYFUNCTION("""COMPUTED_VALUE"""),"1 USD = 167.3183 PKR")</f>
        <v>1 USD = 167.3183 PKR</v>
      </c>
      <c r="H1370" s="9" t="str">
        <f ca="1">IFERROR(__xludf.DUMMYFUNCTION("""COMPUTED_VALUE"""),"USD PKR rate for 16/04/2020")</f>
        <v>USD PKR rate for 16/04/2020</v>
      </c>
      <c r="I1370" s="9"/>
    </row>
    <row r="1371" spans="1:9" ht="14.25" customHeight="1" x14ac:dyDescent="0.3">
      <c r="A1371" s="6">
        <v>41088</v>
      </c>
      <c r="B1371" s="7">
        <v>94.263400000000004</v>
      </c>
      <c r="C1371" s="8">
        <f t="shared" si="11"/>
        <v>100.90466639080444</v>
      </c>
      <c r="D1371" s="9">
        <f t="shared" si="10"/>
        <v>65.488960510594865</v>
      </c>
      <c r="E1371" s="9"/>
      <c r="F1371" s="9">
        <f ca="1">IFERROR(__xludf.DUMMYFUNCTION("""COMPUTED_VALUE"""),43936)</f>
        <v>43936</v>
      </c>
      <c r="G1371" s="9" t="str">
        <f ca="1">IFERROR(__xludf.DUMMYFUNCTION("""COMPUTED_VALUE"""),"1 USD = 166.8929 PKR")</f>
        <v>1 USD = 166.8929 PKR</v>
      </c>
      <c r="H1371" s="9" t="str">
        <f ca="1">IFERROR(__xludf.DUMMYFUNCTION("""COMPUTED_VALUE"""),"USD PKR rate for 15/04/2020")</f>
        <v>USD PKR rate for 15/04/2020</v>
      </c>
      <c r="I1371" s="9"/>
    </row>
    <row r="1372" spans="1:9" ht="14.25" customHeight="1" x14ac:dyDescent="0.3">
      <c r="A1372" s="6">
        <v>41089</v>
      </c>
      <c r="B1372" s="7">
        <v>94.564700000000002</v>
      </c>
      <c r="C1372" s="8">
        <f t="shared" si="11"/>
        <v>100.92271316701469</v>
      </c>
      <c r="D1372" s="9">
        <f t="shared" si="10"/>
        <v>65.49169834339213</v>
      </c>
      <c r="E1372" s="9"/>
      <c r="F1372" s="9">
        <f ca="1">IFERROR(__xludf.DUMMYFUNCTION("""COMPUTED_VALUE"""),43935)</f>
        <v>43935</v>
      </c>
      <c r="G1372" s="9" t="str">
        <f ca="1">IFERROR(__xludf.DUMMYFUNCTION("""COMPUTED_VALUE"""),"1 USD = 166.7007 PKR")</f>
        <v>1 USD = 166.7007 PKR</v>
      </c>
      <c r="H1372" s="9" t="str">
        <f ca="1">IFERROR(__xludf.DUMMYFUNCTION("""COMPUTED_VALUE"""),"USD PKR rate for 14/04/2020")</f>
        <v>USD PKR rate for 14/04/2020</v>
      </c>
      <c r="I1372" s="9"/>
    </row>
    <row r="1373" spans="1:9" ht="14.25" customHeight="1" x14ac:dyDescent="0.3">
      <c r="A1373" s="6">
        <v>41090</v>
      </c>
      <c r="B1373" s="7">
        <v>94.598699999999994</v>
      </c>
      <c r="C1373" s="8">
        <f t="shared" si="11"/>
        <v>100.94076317088668</v>
      </c>
      <c r="D1373" s="9">
        <f t="shared" si="10"/>
        <v>65.494436176189396</v>
      </c>
      <c r="E1373" s="9"/>
      <c r="F1373" s="9">
        <f ca="1">IFERROR(__xludf.DUMMYFUNCTION("""COMPUTED_VALUE"""),43934)</f>
        <v>43934</v>
      </c>
      <c r="G1373" s="9" t="str">
        <f ca="1">IFERROR(__xludf.DUMMYFUNCTION("""COMPUTED_VALUE"""),"1 USD = 166.4676 PKR")</f>
        <v>1 USD = 166.4676 PKR</v>
      </c>
      <c r="H1373" s="9" t="str">
        <f ca="1">IFERROR(__xludf.DUMMYFUNCTION("""COMPUTED_VALUE"""),"USD PKR rate for 13/04/2020")</f>
        <v>USD PKR rate for 13/04/2020</v>
      </c>
      <c r="I1373" s="9"/>
    </row>
    <row r="1374" spans="1:9" ht="14.25" customHeight="1" x14ac:dyDescent="0.3">
      <c r="A1374" s="6">
        <v>41091</v>
      </c>
      <c r="B1374" s="7">
        <v>94.749499999999998</v>
      </c>
      <c r="C1374" s="8">
        <f t="shared" si="11"/>
        <v>100.95881640299768</v>
      </c>
      <c r="D1374" s="9">
        <f t="shared" si="10"/>
        <v>65.497174008986661</v>
      </c>
      <c r="E1374" s="9"/>
      <c r="F1374" s="9">
        <f ca="1">IFERROR(__xludf.DUMMYFUNCTION("""COMPUTED_VALUE"""),43933)</f>
        <v>43933</v>
      </c>
      <c r="G1374" s="9" t="str">
        <f ca="1">IFERROR(__xludf.DUMMYFUNCTION("""COMPUTED_VALUE"""),"1 USD = 166.4716 PKR")</f>
        <v>1 USD = 166.4716 PKR</v>
      </c>
      <c r="H1374" s="9" t="str">
        <f ca="1">IFERROR(__xludf.DUMMYFUNCTION("""COMPUTED_VALUE"""),"USD PKR rate for 12/04/2020")</f>
        <v>USD PKR rate for 12/04/2020</v>
      </c>
      <c r="I1374" s="9"/>
    </row>
    <row r="1375" spans="1:9" ht="14.25" customHeight="1" x14ac:dyDescent="0.3">
      <c r="A1375" s="6">
        <v>41092</v>
      </c>
      <c r="B1375" s="7">
        <v>94.6477</v>
      </c>
      <c r="C1375" s="8">
        <f t="shared" si="11"/>
        <v>100.97687286392498</v>
      </c>
      <c r="D1375" s="9">
        <f t="shared" si="10"/>
        <v>65.499911841783927</v>
      </c>
      <c r="E1375" s="9"/>
      <c r="F1375" s="9">
        <f ca="1">IFERROR(__xludf.DUMMYFUNCTION("""COMPUTED_VALUE"""),43932)</f>
        <v>43932</v>
      </c>
      <c r="G1375" s="9" t="str">
        <f ca="1">IFERROR(__xludf.DUMMYFUNCTION("""COMPUTED_VALUE"""),"1 USD = 166.5001 PKR")</f>
        <v>1 USD = 166.5001 PKR</v>
      </c>
      <c r="H1375" s="9" t="str">
        <f ca="1">IFERROR(__xludf.DUMMYFUNCTION("""COMPUTED_VALUE"""),"USD PKR rate for 11/04/2020")</f>
        <v>USD PKR rate for 11/04/2020</v>
      </c>
      <c r="I1375" s="9"/>
    </row>
    <row r="1376" spans="1:9" ht="14.25" customHeight="1" x14ac:dyDescent="0.3">
      <c r="A1376" s="6">
        <v>41093</v>
      </c>
      <c r="B1376" s="7">
        <v>94.674199999999999</v>
      </c>
      <c r="C1376" s="8">
        <f t="shared" si="11"/>
        <v>100.99493255424625</v>
      </c>
      <c r="D1376" s="9">
        <f t="shared" si="10"/>
        <v>65.502649674581193</v>
      </c>
      <c r="E1376" s="9"/>
      <c r="F1376" s="9">
        <f ca="1">IFERROR(__xludf.DUMMYFUNCTION("""COMPUTED_VALUE"""),43931)</f>
        <v>43931</v>
      </c>
      <c r="G1376" s="9" t="str">
        <f ca="1">IFERROR(__xludf.DUMMYFUNCTION("""COMPUTED_VALUE"""),"1 USD = 166.5038 PKR")</f>
        <v>1 USD = 166.5038 PKR</v>
      </c>
      <c r="H1376" s="9" t="str">
        <f ca="1">IFERROR(__xludf.DUMMYFUNCTION("""COMPUTED_VALUE"""),"USD PKR rate for 10/04/2020")</f>
        <v>USD PKR rate for 10/04/2020</v>
      </c>
      <c r="I1376" s="9"/>
    </row>
    <row r="1377" spans="1:9" ht="14.25" customHeight="1" x14ac:dyDescent="0.3">
      <c r="A1377" s="6">
        <v>41094</v>
      </c>
      <c r="B1377" s="7">
        <v>94.593199999999996</v>
      </c>
      <c r="C1377" s="8">
        <f t="shared" si="11"/>
        <v>101.01299547453891</v>
      </c>
      <c r="D1377" s="9">
        <f t="shared" si="10"/>
        <v>65.505387507378458</v>
      </c>
      <c r="E1377" s="9"/>
      <c r="F1377" s="9">
        <f ca="1">IFERROR(__xludf.DUMMYFUNCTION("""COMPUTED_VALUE"""),43930)</f>
        <v>43930</v>
      </c>
      <c r="G1377" s="9" t="str">
        <f ca="1">IFERROR(__xludf.DUMMYFUNCTION("""COMPUTED_VALUE"""),"1 USD = 167.5356 PKR")</f>
        <v>1 USD = 167.5356 PKR</v>
      </c>
      <c r="H1377" s="9" t="str">
        <f ca="1">IFERROR(__xludf.DUMMYFUNCTION("""COMPUTED_VALUE"""),"USD PKR rate for 09/04/2020")</f>
        <v>USD PKR rate for 09/04/2020</v>
      </c>
      <c r="I1377" s="9"/>
    </row>
    <row r="1378" spans="1:9" ht="14.25" customHeight="1" x14ac:dyDescent="0.3">
      <c r="A1378" s="6">
        <v>41095</v>
      </c>
      <c r="B1378" s="7">
        <v>94.404300000000006</v>
      </c>
      <c r="C1378" s="8">
        <f t="shared" si="11"/>
        <v>101.0310616253807</v>
      </c>
      <c r="D1378" s="9">
        <f t="shared" si="10"/>
        <v>65.508125340175724</v>
      </c>
      <c r="E1378" s="9"/>
      <c r="F1378" s="9">
        <f ca="1">IFERROR(__xludf.DUMMYFUNCTION("""COMPUTED_VALUE"""),43929)</f>
        <v>43929</v>
      </c>
      <c r="G1378" s="9" t="str">
        <f ca="1">IFERROR(__xludf.DUMMYFUNCTION("""COMPUTED_VALUE"""),"1 USD = 167.6081 PKR")</f>
        <v>1 USD = 167.6081 PKR</v>
      </c>
      <c r="H1378" s="9" t="str">
        <f ca="1">IFERROR(__xludf.DUMMYFUNCTION("""COMPUTED_VALUE"""),"USD PKR rate for 08/04/2020")</f>
        <v>USD PKR rate for 08/04/2020</v>
      </c>
      <c r="I1378" s="9"/>
    </row>
    <row r="1379" spans="1:9" ht="14.25" customHeight="1" x14ac:dyDescent="0.3">
      <c r="A1379" s="6">
        <v>41096</v>
      </c>
      <c r="B1379" s="7">
        <v>93.968000000000004</v>
      </c>
      <c r="C1379" s="8">
        <f t="shared" si="11"/>
        <v>101.04913100734937</v>
      </c>
      <c r="D1379" s="9">
        <f t="shared" si="10"/>
        <v>65.510863172972989</v>
      </c>
      <c r="E1379" s="9"/>
      <c r="F1379" s="9">
        <f ca="1">IFERROR(__xludf.DUMMYFUNCTION("""COMPUTED_VALUE"""),43928)</f>
        <v>43928</v>
      </c>
      <c r="G1379" s="9" t="str">
        <f ca="1">IFERROR(__xludf.DUMMYFUNCTION("""COMPUTED_VALUE"""),"1 USD = 167.4289 PKR")</f>
        <v>1 USD = 167.4289 PKR</v>
      </c>
      <c r="H1379" s="9" t="str">
        <f ca="1">IFERROR(__xludf.DUMMYFUNCTION("""COMPUTED_VALUE"""),"USD PKR rate for 07/04/2020")</f>
        <v>USD PKR rate for 07/04/2020</v>
      </c>
      <c r="I1379" s="9"/>
    </row>
    <row r="1380" spans="1:9" ht="14.25" customHeight="1" x14ac:dyDescent="0.3">
      <c r="A1380" s="6">
        <v>41097</v>
      </c>
      <c r="B1380" s="7">
        <v>94.1083</v>
      </c>
      <c r="C1380" s="8">
        <f t="shared" si="11"/>
        <v>101.06720362102284</v>
      </c>
      <c r="D1380" s="9">
        <f t="shared" si="10"/>
        <v>65.513601005770255</v>
      </c>
      <c r="E1380" s="9"/>
      <c r="F1380" s="9">
        <f ca="1">IFERROR(__xludf.DUMMYFUNCTION("""COMPUTED_VALUE"""),43927)</f>
        <v>43927</v>
      </c>
      <c r="G1380" s="9" t="str">
        <f ca="1">IFERROR(__xludf.DUMMYFUNCTION("""COMPUTED_VALUE"""),"1 USD = 167.0462 PKR")</f>
        <v>1 USD = 167.0462 PKR</v>
      </c>
      <c r="H1380" s="9" t="str">
        <f ca="1">IFERROR(__xludf.DUMMYFUNCTION("""COMPUTED_VALUE"""),"USD PKR rate for 06/04/2020")</f>
        <v>USD PKR rate for 06/04/2020</v>
      </c>
      <c r="I1380" s="9"/>
    </row>
    <row r="1381" spans="1:9" ht="14.25" customHeight="1" x14ac:dyDescent="0.3">
      <c r="A1381" s="6">
        <v>41098</v>
      </c>
      <c r="B1381" s="7">
        <v>94.1387</v>
      </c>
      <c r="C1381" s="8">
        <f t="shared" si="11"/>
        <v>101.08527946697907</v>
      </c>
      <c r="D1381" s="9">
        <f t="shared" si="10"/>
        <v>65.51633883856752</v>
      </c>
      <c r="E1381" s="9"/>
      <c r="F1381" s="9">
        <f ca="1">IFERROR(__xludf.DUMMYFUNCTION("""COMPUTED_VALUE"""),43926)</f>
        <v>43926</v>
      </c>
      <c r="G1381" s="9" t="str">
        <f ca="1">IFERROR(__xludf.DUMMYFUNCTION("""COMPUTED_VALUE"""),"1 USD = 167.0719 PKR")</f>
        <v>1 USD = 167.0719 PKR</v>
      </c>
      <c r="H1381" s="9" t="str">
        <f ca="1">IFERROR(__xludf.DUMMYFUNCTION("""COMPUTED_VALUE"""),"USD PKR rate for 05/04/2020")</f>
        <v>USD PKR rate for 05/04/2020</v>
      </c>
      <c r="I1381" s="9"/>
    </row>
    <row r="1382" spans="1:9" ht="14.25" customHeight="1" x14ac:dyDescent="0.3">
      <c r="A1382" s="6">
        <v>41099</v>
      </c>
      <c r="B1382" s="7">
        <v>94.104600000000005</v>
      </c>
      <c r="C1382" s="8">
        <f t="shared" si="11"/>
        <v>101.10335854579615</v>
      </c>
      <c r="D1382" s="9">
        <f t="shared" si="10"/>
        <v>65.519076671364786</v>
      </c>
      <c r="E1382" s="9"/>
      <c r="F1382" s="9">
        <f ca="1">IFERROR(__xludf.DUMMYFUNCTION("""COMPUTED_VALUE"""),43925)</f>
        <v>43925</v>
      </c>
      <c r="G1382" s="9" t="str">
        <f ca="1">IFERROR(__xludf.DUMMYFUNCTION("""COMPUTED_VALUE"""),"1 USD = 166.53 PKR")</f>
        <v>1 USD = 166.53 PKR</v>
      </c>
      <c r="H1382" s="9" t="str">
        <f ca="1">IFERROR(__xludf.DUMMYFUNCTION("""COMPUTED_VALUE"""),"USD PKR rate for 04/04/2020")</f>
        <v>USD PKR rate for 04/04/2020</v>
      </c>
      <c r="I1382" s="9"/>
    </row>
    <row r="1383" spans="1:9" ht="14.25" customHeight="1" x14ac:dyDescent="0.3">
      <c r="A1383" s="6">
        <v>41100</v>
      </c>
      <c r="B1383" s="7">
        <v>94.413899999999998</v>
      </c>
      <c r="C1383" s="8">
        <f t="shared" si="11"/>
        <v>101.12144085805231</v>
      </c>
      <c r="D1383" s="9">
        <f t="shared" si="10"/>
        <v>65.521814504162052</v>
      </c>
      <c r="E1383" s="9"/>
      <c r="F1383" s="9">
        <f ca="1">IFERROR(__xludf.DUMMYFUNCTION("""COMPUTED_VALUE"""),43924)</f>
        <v>43924</v>
      </c>
      <c r="G1383" s="9" t="str">
        <f ca="1">IFERROR(__xludf.DUMMYFUNCTION("""COMPUTED_VALUE"""),"1 USD = 166.53 PKR")</f>
        <v>1 USD = 166.53 PKR</v>
      </c>
      <c r="H1383" s="9" t="str">
        <f ca="1">IFERROR(__xludf.DUMMYFUNCTION("""COMPUTED_VALUE"""),"USD PKR rate for 03/04/2020")</f>
        <v>USD PKR rate for 03/04/2020</v>
      </c>
      <c r="I1383" s="9"/>
    </row>
    <row r="1384" spans="1:9" ht="14.25" customHeight="1" x14ac:dyDescent="0.3">
      <c r="A1384" s="6">
        <v>41101</v>
      </c>
      <c r="B1384" s="7">
        <v>94.434399999999997</v>
      </c>
      <c r="C1384" s="8">
        <f t="shared" si="11"/>
        <v>101.13952640432572</v>
      </c>
      <c r="D1384" s="9">
        <f t="shared" si="10"/>
        <v>65.524552336959317</v>
      </c>
      <c r="E1384" s="9"/>
      <c r="F1384" s="9">
        <f ca="1">IFERROR(__xludf.DUMMYFUNCTION("""COMPUTED_VALUE"""),43923)</f>
        <v>43923</v>
      </c>
      <c r="G1384" s="9" t="str">
        <f ca="1">IFERROR(__xludf.DUMMYFUNCTION("""COMPUTED_VALUE"""),"1 USD = 166.5766 PKR")</f>
        <v>1 USD = 166.5766 PKR</v>
      </c>
      <c r="H1384" s="9" t="str">
        <f ca="1">IFERROR(__xludf.DUMMYFUNCTION("""COMPUTED_VALUE"""),"USD PKR rate for 02/04/2020")</f>
        <v>USD PKR rate for 02/04/2020</v>
      </c>
      <c r="I1384" s="9"/>
    </row>
    <row r="1385" spans="1:9" ht="14.25" customHeight="1" x14ac:dyDescent="0.3">
      <c r="A1385" s="6">
        <v>41102</v>
      </c>
      <c r="B1385" s="7">
        <v>94.430099999999996</v>
      </c>
      <c r="C1385" s="8">
        <f t="shared" si="11"/>
        <v>101.157615185195</v>
      </c>
      <c r="D1385" s="9">
        <f t="shared" si="10"/>
        <v>65.527290169756583</v>
      </c>
      <c r="E1385" s="9"/>
      <c r="F1385" s="9">
        <f ca="1">IFERROR(__xludf.DUMMYFUNCTION("""COMPUTED_VALUE"""),43922)</f>
        <v>43922</v>
      </c>
      <c r="G1385" s="9" t="str">
        <f ca="1">IFERROR(__xludf.DUMMYFUNCTION("""COMPUTED_VALUE"""),"1 USD = 166.4243 PKR")</f>
        <v>1 USD = 166.4243 PKR</v>
      </c>
      <c r="H1385" s="9" t="str">
        <f ca="1">IFERROR(__xludf.DUMMYFUNCTION("""COMPUTED_VALUE"""),"USD PKR rate for 01/04/2020")</f>
        <v>USD PKR rate for 01/04/2020</v>
      </c>
      <c r="I1385" s="9"/>
    </row>
    <row r="1386" spans="1:9" ht="14.25" customHeight="1" x14ac:dyDescent="0.3">
      <c r="A1386" s="6">
        <v>41103</v>
      </c>
      <c r="B1386" s="7">
        <v>94.349199999999996</v>
      </c>
      <c r="C1386" s="8">
        <f t="shared" si="11"/>
        <v>101.17570720123854</v>
      </c>
      <c r="D1386" s="9">
        <f t="shared" si="10"/>
        <v>65.530028002553848</v>
      </c>
      <c r="E1386" s="9"/>
      <c r="F1386" s="9">
        <f ca="1">IFERROR(__xludf.DUMMYFUNCTION("""COMPUTED_VALUE"""),43921)</f>
        <v>43921</v>
      </c>
      <c r="G1386" s="9" t="str">
        <f ca="1">IFERROR(__xludf.DUMMYFUNCTION("""COMPUTED_VALUE"""),"1 USD = 166.4032 PKR")</f>
        <v>1 USD = 166.4032 PKR</v>
      </c>
      <c r="H1386" s="9" t="str">
        <f ca="1">IFERROR(__xludf.DUMMYFUNCTION("""COMPUTED_VALUE"""),"USD PKR rate for 31/03/2020")</f>
        <v>USD PKR rate for 31/03/2020</v>
      </c>
      <c r="I1386" s="9"/>
    </row>
    <row r="1387" spans="1:9" ht="14.25" customHeight="1" x14ac:dyDescent="0.3">
      <c r="A1387" s="6">
        <v>41104</v>
      </c>
      <c r="B1387" s="7">
        <v>94.382500000000007</v>
      </c>
      <c r="C1387" s="8">
        <f t="shared" si="11"/>
        <v>101.19380245303496</v>
      </c>
      <c r="D1387" s="9">
        <f t="shared" si="10"/>
        <v>65.532765835351114</v>
      </c>
      <c r="E1387" s="9"/>
      <c r="F1387" s="9">
        <f ca="1">IFERROR(__xludf.DUMMYFUNCTION("""COMPUTED_VALUE"""),43920)</f>
        <v>43920</v>
      </c>
      <c r="G1387" s="9" t="str">
        <f ca="1">IFERROR(__xludf.DUMMYFUNCTION("""COMPUTED_VALUE"""),"1 USD = 166.0167 PKR")</f>
        <v>1 USD = 166.0167 PKR</v>
      </c>
      <c r="H1387" s="9" t="str">
        <f ca="1">IFERROR(__xludf.DUMMYFUNCTION("""COMPUTED_VALUE"""),"USD PKR rate for 30/03/2020")</f>
        <v>USD PKR rate for 30/03/2020</v>
      </c>
      <c r="I1387" s="9"/>
    </row>
    <row r="1388" spans="1:9" ht="14.25" customHeight="1" x14ac:dyDescent="0.3">
      <c r="A1388" s="6">
        <v>41105</v>
      </c>
      <c r="B1388" s="7">
        <v>94.303799999999995</v>
      </c>
      <c r="C1388" s="8">
        <f t="shared" si="11"/>
        <v>101.21190094116297</v>
      </c>
      <c r="D1388" s="9">
        <f t="shared" si="10"/>
        <v>65.53550366814838</v>
      </c>
      <c r="E1388" s="9"/>
      <c r="F1388" s="9">
        <f ca="1">IFERROR(__xludf.DUMMYFUNCTION("""COMPUTED_VALUE"""),43919)</f>
        <v>43919</v>
      </c>
      <c r="G1388" s="9" t="str">
        <f ca="1">IFERROR(__xludf.DUMMYFUNCTION("""COMPUTED_VALUE"""),"1 USD = 163.7484 PKR")</f>
        <v>1 USD = 163.7484 PKR</v>
      </c>
      <c r="H1388" s="9" t="str">
        <f ca="1">IFERROR(__xludf.DUMMYFUNCTION("""COMPUTED_VALUE"""),"USD PKR rate for 29/03/2020")</f>
        <v>USD PKR rate for 29/03/2020</v>
      </c>
      <c r="I1388" s="9"/>
    </row>
    <row r="1389" spans="1:9" ht="14.25" customHeight="1" x14ac:dyDescent="0.3">
      <c r="A1389" s="6">
        <v>41106</v>
      </c>
      <c r="B1389" s="7">
        <v>94.478000000000009</v>
      </c>
      <c r="C1389" s="8">
        <f t="shared" si="11"/>
        <v>101.23000266620137</v>
      </c>
      <c r="D1389" s="9">
        <f t="shared" si="10"/>
        <v>65.538241500945645</v>
      </c>
      <c r="E1389" s="9"/>
      <c r="F1389" s="9">
        <f ca="1">IFERROR(__xludf.DUMMYFUNCTION("""COMPUTED_VALUE"""),43918)</f>
        <v>43918</v>
      </c>
      <c r="G1389" s="9" t="str">
        <f ca="1">IFERROR(__xludf.DUMMYFUNCTION("""COMPUTED_VALUE"""),"1 USD = 161.4645 PKR")</f>
        <v>1 USD = 161.4645 PKR</v>
      </c>
      <c r="H1389" s="9" t="str">
        <f ca="1">IFERROR(__xludf.DUMMYFUNCTION("""COMPUTED_VALUE"""),"USD PKR rate for 28/03/2020")</f>
        <v>USD PKR rate for 28/03/2020</v>
      </c>
      <c r="I1389" s="9"/>
    </row>
    <row r="1390" spans="1:9" ht="14.25" customHeight="1" x14ac:dyDescent="0.3">
      <c r="A1390" s="6">
        <v>41107</v>
      </c>
      <c r="B1390" s="7">
        <v>94.432400000000001</v>
      </c>
      <c r="C1390" s="8">
        <f t="shared" si="11"/>
        <v>101.24810762872913</v>
      </c>
      <c r="D1390" s="9">
        <f t="shared" si="10"/>
        <v>65.540979333742911</v>
      </c>
      <c r="E1390" s="9"/>
      <c r="F1390" s="9">
        <f ca="1">IFERROR(__xludf.DUMMYFUNCTION("""COMPUTED_VALUE"""),43917)</f>
        <v>43917</v>
      </c>
      <c r="G1390" s="9" t="str">
        <f ca="1">IFERROR(__xludf.DUMMYFUNCTION("""COMPUTED_VALUE"""),"1 USD = 161.4643 PKR")</f>
        <v>1 USD = 161.4643 PKR</v>
      </c>
      <c r="H1390" s="9" t="str">
        <f ca="1">IFERROR(__xludf.DUMMYFUNCTION("""COMPUTED_VALUE"""),"USD PKR rate for 27/03/2020")</f>
        <v>USD PKR rate for 27/03/2020</v>
      </c>
      <c r="I1390" s="9"/>
    </row>
    <row r="1391" spans="1:9" ht="14.25" customHeight="1" x14ac:dyDescent="0.3">
      <c r="A1391" s="6">
        <v>41108</v>
      </c>
      <c r="B1391" s="7">
        <v>94.406899999999993</v>
      </c>
      <c r="C1391" s="8">
        <f t="shared" si="11"/>
        <v>101.26621582932522</v>
      </c>
      <c r="D1391" s="9">
        <f t="shared" si="10"/>
        <v>65.543717166540176</v>
      </c>
      <c r="E1391" s="9"/>
      <c r="F1391" s="9">
        <f ca="1">IFERROR(__xludf.DUMMYFUNCTION("""COMPUTED_VALUE"""),43916)</f>
        <v>43916</v>
      </c>
      <c r="G1391" s="9" t="str">
        <f ca="1">IFERROR(__xludf.DUMMYFUNCTION("""COMPUTED_VALUE"""),"1 USD = 162.7201 PKR")</f>
        <v>1 USD = 162.7201 PKR</v>
      </c>
      <c r="H1391" s="9" t="str">
        <f ca="1">IFERROR(__xludf.DUMMYFUNCTION("""COMPUTED_VALUE"""),"USD PKR rate for 26/03/2020")</f>
        <v>USD PKR rate for 26/03/2020</v>
      </c>
      <c r="I1391" s="9"/>
    </row>
    <row r="1392" spans="1:9" ht="14.25" customHeight="1" x14ac:dyDescent="0.3">
      <c r="A1392" s="6">
        <v>41109</v>
      </c>
      <c r="B1392" s="7">
        <v>94.440100000000001</v>
      </c>
      <c r="C1392" s="8">
        <f t="shared" si="11"/>
        <v>101.28432726856882</v>
      </c>
      <c r="D1392" s="9">
        <f t="shared" si="10"/>
        <v>65.546454999337442</v>
      </c>
      <c r="E1392" s="9"/>
      <c r="F1392" s="9">
        <f ca="1">IFERROR(__xludf.DUMMYFUNCTION("""COMPUTED_VALUE"""),43915)</f>
        <v>43915</v>
      </c>
      <c r="G1392" s="9" t="str">
        <f ca="1">IFERROR(__xludf.DUMMYFUNCTION("""COMPUTED_VALUE"""),"1 USD = 159.5876 PKR")</f>
        <v>1 USD = 159.5876 PKR</v>
      </c>
      <c r="H1392" s="9" t="str">
        <f ca="1">IFERROR(__xludf.DUMMYFUNCTION("""COMPUTED_VALUE"""),"USD PKR rate for 25/03/2020")</f>
        <v>USD PKR rate for 25/03/2020</v>
      </c>
      <c r="I1392" s="9"/>
    </row>
    <row r="1393" spans="1:9" ht="14.25" customHeight="1" x14ac:dyDescent="0.3">
      <c r="A1393" s="6">
        <v>41110</v>
      </c>
      <c r="B1393" s="7">
        <v>94.4529</v>
      </c>
      <c r="C1393" s="8">
        <f t="shared" si="11"/>
        <v>101.30244194703901</v>
      </c>
      <c r="D1393" s="9">
        <f t="shared" si="10"/>
        <v>65.549192832134707</v>
      </c>
      <c r="E1393" s="9"/>
      <c r="F1393" s="9">
        <f ca="1">IFERROR(__xludf.DUMMYFUNCTION("""COMPUTED_VALUE"""),43914)</f>
        <v>43914</v>
      </c>
      <c r="G1393" s="9" t="str">
        <f ca="1">IFERROR(__xludf.DUMMYFUNCTION("""COMPUTED_VALUE"""),"1 USD = 158.8311 PKR")</f>
        <v>1 USD = 158.8311 PKR</v>
      </c>
      <c r="H1393" s="9" t="str">
        <f ca="1">IFERROR(__xludf.DUMMYFUNCTION("""COMPUTED_VALUE"""),"USD PKR rate for 24/03/2020")</f>
        <v>USD PKR rate for 24/03/2020</v>
      </c>
      <c r="I1393" s="9"/>
    </row>
    <row r="1394" spans="1:9" ht="14.25" customHeight="1" x14ac:dyDescent="0.3">
      <c r="A1394" s="6">
        <v>41111</v>
      </c>
      <c r="B1394" s="7">
        <v>94.4529</v>
      </c>
      <c r="C1394" s="8">
        <f t="shared" si="11"/>
        <v>101.32055986531537</v>
      </c>
      <c r="D1394" s="9">
        <f t="shared" si="10"/>
        <v>65.551930664931973</v>
      </c>
      <c r="E1394" s="9"/>
      <c r="F1394" s="9">
        <f ca="1">IFERROR(__xludf.DUMMYFUNCTION("""COMPUTED_VALUE"""),43913)</f>
        <v>43913</v>
      </c>
      <c r="G1394" s="9" t="str">
        <f ca="1">IFERROR(__xludf.DUMMYFUNCTION("""COMPUTED_VALUE"""),"1 USD = 157.8381 PKR")</f>
        <v>1 USD = 157.8381 PKR</v>
      </c>
      <c r="H1394" s="9" t="str">
        <f ca="1">IFERROR(__xludf.DUMMYFUNCTION("""COMPUTED_VALUE"""),"USD PKR rate for 23/03/2020")</f>
        <v>USD PKR rate for 23/03/2020</v>
      </c>
      <c r="I1394" s="9"/>
    </row>
    <row r="1395" spans="1:9" ht="14.25" customHeight="1" x14ac:dyDescent="0.3">
      <c r="A1395" s="6">
        <v>41112</v>
      </c>
      <c r="B1395" s="7">
        <v>94.519400000000005</v>
      </c>
      <c r="C1395" s="8">
        <f t="shared" si="11"/>
        <v>101.33868102397719</v>
      </c>
      <c r="D1395" s="9">
        <f t="shared" si="10"/>
        <v>65.554668497729239</v>
      </c>
      <c r="E1395" s="9"/>
      <c r="F1395" s="9">
        <f ca="1">IFERROR(__xludf.DUMMYFUNCTION("""COMPUTED_VALUE"""),43912)</f>
        <v>43912</v>
      </c>
      <c r="G1395" s="9" t="str">
        <f ca="1">IFERROR(__xludf.DUMMYFUNCTION("""COMPUTED_VALUE"""),"1 USD = 159.1191 PKR")</f>
        <v>1 USD = 159.1191 PKR</v>
      </c>
      <c r="H1395" s="9" t="str">
        <f ca="1">IFERROR(__xludf.DUMMYFUNCTION("""COMPUTED_VALUE"""),"USD PKR rate for 22/03/2020")</f>
        <v>USD PKR rate for 22/03/2020</v>
      </c>
      <c r="I1395" s="9"/>
    </row>
    <row r="1396" spans="1:9" ht="14.25" customHeight="1" x14ac:dyDescent="0.3">
      <c r="A1396" s="6">
        <v>41113</v>
      </c>
      <c r="B1396" s="7">
        <v>94.418000000000006</v>
      </c>
      <c r="C1396" s="8">
        <f t="shared" si="11"/>
        <v>101.35680542360406</v>
      </c>
      <c r="D1396" s="9">
        <f t="shared" si="10"/>
        <v>65.557406330526504</v>
      </c>
      <c r="E1396" s="9"/>
      <c r="F1396" s="9">
        <f ca="1">IFERROR(__xludf.DUMMYFUNCTION("""COMPUTED_VALUE"""),43911)</f>
        <v>43911</v>
      </c>
      <c r="G1396" s="9" t="str">
        <f ca="1">IFERROR(__xludf.DUMMYFUNCTION("""COMPUTED_VALUE"""),"1 USD = 158.725 PKR")</f>
        <v>1 USD = 158.725 PKR</v>
      </c>
      <c r="H1396" s="9" t="str">
        <f ca="1">IFERROR(__xludf.DUMMYFUNCTION("""COMPUTED_VALUE"""),"USD PKR rate for 21/03/2020")</f>
        <v>USD PKR rate for 21/03/2020</v>
      </c>
      <c r="I1396" s="9"/>
    </row>
    <row r="1397" spans="1:9" ht="14.25" customHeight="1" x14ac:dyDescent="0.3">
      <c r="A1397" s="6">
        <v>41114</v>
      </c>
      <c r="B1397" s="7">
        <v>94.460600000000014</v>
      </c>
      <c r="C1397" s="8">
        <f t="shared" si="11"/>
        <v>101.37493306477559</v>
      </c>
      <c r="D1397" s="9">
        <f t="shared" si="10"/>
        <v>65.56014416332377</v>
      </c>
      <c r="E1397" s="9"/>
      <c r="F1397" s="9">
        <f ca="1">IFERROR(__xludf.DUMMYFUNCTION("""COMPUTED_VALUE"""),43910)</f>
        <v>43910</v>
      </c>
      <c r="G1397" s="9" t="str">
        <f ca="1">IFERROR(__xludf.DUMMYFUNCTION("""COMPUTED_VALUE"""),"1 USD = 158.9296 PKR")</f>
        <v>1 USD = 158.9296 PKR</v>
      </c>
      <c r="H1397" s="9" t="str">
        <f ca="1">IFERROR(__xludf.DUMMYFUNCTION("""COMPUTED_VALUE"""),"USD PKR rate for 20/03/2020")</f>
        <v>USD PKR rate for 20/03/2020</v>
      </c>
      <c r="I1397" s="9"/>
    </row>
    <row r="1398" spans="1:9" ht="14.25" customHeight="1" x14ac:dyDescent="0.3">
      <c r="A1398" s="6">
        <v>41115</v>
      </c>
      <c r="B1398" s="7">
        <v>94.667100000000005</v>
      </c>
      <c r="C1398" s="8">
        <f t="shared" si="11"/>
        <v>101.39306394807156</v>
      </c>
      <c r="D1398" s="9">
        <f t="shared" si="10"/>
        <v>65.562881996121035</v>
      </c>
      <c r="E1398" s="9"/>
      <c r="F1398" s="9">
        <f ca="1">IFERROR(__xludf.DUMMYFUNCTION("""COMPUTED_VALUE"""),43909)</f>
        <v>43909</v>
      </c>
      <c r="G1398" s="9" t="str">
        <f ca="1">IFERROR(__xludf.DUMMYFUNCTION("""COMPUTED_VALUE"""),"1 USD = 159.0151 PKR")</f>
        <v>1 USD = 159.0151 PKR</v>
      </c>
      <c r="H1398" s="9" t="str">
        <f ca="1">IFERROR(__xludf.DUMMYFUNCTION("""COMPUTED_VALUE"""),"USD PKR rate for 19/03/2020")</f>
        <v>USD PKR rate for 19/03/2020</v>
      </c>
      <c r="I1398" s="9"/>
    </row>
    <row r="1399" spans="1:9" ht="14.25" customHeight="1" x14ac:dyDescent="0.3">
      <c r="A1399" s="6">
        <v>41116</v>
      </c>
      <c r="B1399" s="7">
        <v>94.42570000000002</v>
      </c>
      <c r="C1399" s="8">
        <f t="shared" si="11"/>
        <v>101.41119807407181</v>
      </c>
      <c r="D1399" s="9">
        <f t="shared" si="10"/>
        <v>65.565619828918301</v>
      </c>
      <c r="E1399" s="9"/>
      <c r="F1399" s="9">
        <f ca="1">IFERROR(__xludf.DUMMYFUNCTION("""COMPUTED_VALUE"""),43908)</f>
        <v>43908</v>
      </c>
      <c r="G1399" s="9" t="str">
        <f ca="1">IFERROR(__xludf.DUMMYFUNCTION("""COMPUTED_VALUE"""),"1 USD = 159.0278 PKR")</f>
        <v>1 USD = 159.0278 PKR</v>
      </c>
      <c r="H1399" s="9" t="str">
        <f ca="1">IFERROR(__xludf.DUMMYFUNCTION("""COMPUTED_VALUE"""),"USD PKR rate for 18/03/2020")</f>
        <v>USD PKR rate for 18/03/2020</v>
      </c>
      <c r="I1399" s="9"/>
    </row>
    <row r="1400" spans="1:9" ht="14.25" customHeight="1" x14ac:dyDescent="0.3">
      <c r="A1400" s="6">
        <v>41117</v>
      </c>
      <c r="B1400" s="7">
        <v>94.586100000000002</v>
      </c>
      <c r="C1400" s="8">
        <f t="shared" si="11"/>
        <v>101.42933544335627</v>
      </c>
      <c r="D1400" s="9">
        <f t="shared" si="10"/>
        <v>65.568357661715567</v>
      </c>
      <c r="E1400" s="9"/>
      <c r="F1400" s="9">
        <f ca="1">IFERROR(__xludf.DUMMYFUNCTION("""COMPUTED_VALUE"""),43907)</f>
        <v>43907</v>
      </c>
      <c r="G1400" s="9" t="str">
        <f ca="1">IFERROR(__xludf.DUMMYFUNCTION("""COMPUTED_VALUE"""),"1 USD = 159.1271 PKR")</f>
        <v>1 USD = 159.1271 PKR</v>
      </c>
      <c r="H1400" s="9" t="str">
        <f ca="1">IFERROR(__xludf.DUMMYFUNCTION("""COMPUTED_VALUE"""),"USD PKR rate for 17/03/2020")</f>
        <v>USD PKR rate for 17/03/2020</v>
      </c>
      <c r="I1400" s="9"/>
    </row>
    <row r="1401" spans="1:9" ht="14.25" customHeight="1" x14ac:dyDescent="0.3">
      <c r="A1401" s="6">
        <v>41118</v>
      </c>
      <c r="B1401" s="7">
        <v>94.582300000000004</v>
      </c>
      <c r="C1401" s="8">
        <f t="shared" si="11"/>
        <v>101.44747605650504</v>
      </c>
      <c r="D1401" s="9">
        <f t="shared" si="10"/>
        <v>65.571095494512832</v>
      </c>
      <c r="E1401" s="9"/>
      <c r="F1401" s="9">
        <f ca="1">IFERROR(__xludf.DUMMYFUNCTION("""COMPUTED_VALUE"""),43906)</f>
        <v>43906</v>
      </c>
      <c r="G1401" s="9" t="str">
        <f ca="1">IFERROR(__xludf.DUMMYFUNCTION("""COMPUTED_VALUE"""),"1 USD = 158.7378 PKR")</f>
        <v>1 USD = 158.7378 PKR</v>
      </c>
      <c r="H1401" s="9" t="str">
        <f ca="1">IFERROR(__xludf.DUMMYFUNCTION("""COMPUTED_VALUE"""),"USD PKR rate for 16/03/2020")</f>
        <v>USD PKR rate for 16/03/2020</v>
      </c>
      <c r="I1401" s="9"/>
    </row>
    <row r="1402" spans="1:9" ht="14.25" customHeight="1" x14ac:dyDescent="0.3">
      <c r="A1402" s="6">
        <v>41119</v>
      </c>
      <c r="B1402" s="7">
        <v>94.672399999999996</v>
      </c>
      <c r="C1402" s="8">
        <f t="shared" si="11"/>
        <v>101.46561991409818</v>
      </c>
      <c r="D1402" s="9">
        <f t="shared" si="10"/>
        <v>65.573833327310098</v>
      </c>
      <c r="E1402" s="9"/>
      <c r="F1402" s="9">
        <f ca="1">IFERROR(__xludf.DUMMYFUNCTION("""COMPUTED_VALUE"""),43905)</f>
        <v>43905</v>
      </c>
      <c r="G1402" s="9" t="str">
        <f ca="1">IFERROR(__xludf.DUMMYFUNCTION("""COMPUTED_VALUE"""),"1 USD = 157.5232 PKR")</f>
        <v>1 USD = 157.5232 PKR</v>
      </c>
      <c r="H1402" s="9" t="str">
        <f ca="1">IFERROR(__xludf.DUMMYFUNCTION("""COMPUTED_VALUE"""),"USD PKR rate for 15/03/2020")</f>
        <v>USD PKR rate for 15/03/2020</v>
      </c>
      <c r="I1402" s="9"/>
    </row>
    <row r="1403" spans="1:9" ht="14.25" customHeight="1" x14ac:dyDescent="0.3">
      <c r="A1403" s="6">
        <v>41120</v>
      </c>
      <c r="B1403" s="7">
        <v>94.524100000000004</v>
      </c>
      <c r="C1403" s="8">
        <f t="shared" si="11"/>
        <v>101.48376701671614</v>
      </c>
      <c r="D1403" s="9">
        <f t="shared" si="10"/>
        <v>65.576571160107363</v>
      </c>
      <c r="E1403" s="9"/>
      <c r="F1403" s="9">
        <f ca="1">IFERROR(__xludf.DUMMYFUNCTION("""COMPUTED_VALUE"""),43904)</f>
        <v>43904</v>
      </c>
      <c r="G1403" s="9" t="str">
        <f ca="1">IFERROR(__xludf.DUMMYFUNCTION("""COMPUTED_VALUE"""),"1 USD = 156.7601 PKR")</f>
        <v>1 USD = 156.7601 PKR</v>
      </c>
      <c r="H1403" s="9" t="str">
        <f ca="1">IFERROR(__xludf.DUMMYFUNCTION("""COMPUTED_VALUE"""),"USD PKR rate for 14/03/2020")</f>
        <v>USD PKR rate for 14/03/2020</v>
      </c>
      <c r="I1403" s="9"/>
    </row>
    <row r="1404" spans="1:9" ht="14.25" customHeight="1" x14ac:dyDescent="0.3">
      <c r="A1404" s="6">
        <v>41121</v>
      </c>
      <c r="B1404" s="7">
        <v>94.638999999999996</v>
      </c>
      <c r="C1404" s="8">
        <f t="shared" si="11"/>
        <v>101.50191736493919</v>
      </c>
      <c r="D1404" s="9">
        <f t="shared" si="10"/>
        <v>65.579308992904629</v>
      </c>
      <c r="E1404" s="9"/>
      <c r="F1404" s="9">
        <f ca="1">IFERROR(__xludf.DUMMYFUNCTION("""COMPUTED_VALUE"""),43903)</f>
        <v>43903</v>
      </c>
      <c r="G1404" s="9" t="str">
        <f ca="1">IFERROR(__xludf.DUMMYFUNCTION("""COMPUTED_VALUE"""),"1 USD = 156.7593 PKR")</f>
        <v>1 USD = 156.7593 PKR</v>
      </c>
      <c r="H1404" s="9" t="str">
        <f ca="1">IFERROR(__xludf.DUMMYFUNCTION("""COMPUTED_VALUE"""),"USD PKR rate for 13/03/2020")</f>
        <v>USD PKR rate for 13/03/2020</v>
      </c>
      <c r="I1404" s="9"/>
    </row>
    <row r="1405" spans="1:9" ht="14.25" customHeight="1" x14ac:dyDescent="0.3">
      <c r="A1405" s="6">
        <v>41122</v>
      </c>
      <c r="B1405" s="7">
        <v>94.597999999999999</v>
      </c>
      <c r="C1405" s="8">
        <f t="shared" si="11"/>
        <v>101.52007095934782</v>
      </c>
      <c r="D1405" s="9">
        <f t="shared" si="10"/>
        <v>65.582046825701894</v>
      </c>
      <c r="E1405" s="9"/>
      <c r="F1405" s="9">
        <f ca="1">IFERROR(__xludf.DUMMYFUNCTION("""COMPUTED_VALUE"""),43902)</f>
        <v>43902</v>
      </c>
      <c r="G1405" s="9" t="str">
        <f ca="1">IFERROR(__xludf.DUMMYFUNCTION("""COMPUTED_VALUE"""),"1 USD = 159.0033 PKR")</f>
        <v>1 USD = 159.0033 PKR</v>
      </c>
      <c r="H1405" s="9" t="str">
        <f ca="1">IFERROR(__xludf.DUMMYFUNCTION("""COMPUTED_VALUE"""),"USD PKR rate for 12/03/2020")</f>
        <v>USD PKR rate for 12/03/2020</v>
      </c>
      <c r="I1405" s="9"/>
    </row>
    <row r="1406" spans="1:9" ht="14.25" customHeight="1" x14ac:dyDescent="0.3">
      <c r="A1406" s="6">
        <v>41123</v>
      </c>
      <c r="B1406" s="7">
        <v>94.36</v>
      </c>
      <c r="C1406" s="8">
        <f t="shared" si="11"/>
        <v>101.53822780052261</v>
      </c>
      <c r="D1406" s="9">
        <f t="shared" si="10"/>
        <v>65.58478465849916</v>
      </c>
      <c r="E1406" s="9"/>
      <c r="F1406" s="9">
        <f ca="1">IFERROR(__xludf.DUMMYFUNCTION("""COMPUTED_VALUE"""),43901)</f>
        <v>43901</v>
      </c>
      <c r="G1406" s="9" t="str">
        <f ca="1">IFERROR(__xludf.DUMMYFUNCTION("""COMPUTED_VALUE"""),"1 USD = 159.3474 PKR")</f>
        <v>1 USD = 159.3474 PKR</v>
      </c>
      <c r="H1406" s="9" t="str">
        <f ca="1">IFERROR(__xludf.DUMMYFUNCTION("""COMPUTED_VALUE"""),"USD PKR rate for 11/03/2020")</f>
        <v>USD PKR rate for 11/03/2020</v>
      </c>
      <c r="I1406" s="9"/>
    </row>
    <row r="1407" spans="1:9" ht="14.25" customHeight="1" x14ac:dyDescent="0.3">
      <c r="A1407" s="6">
        <v>41124</v>
      </c>
      <c r="B1407" s="7">
        <v>94.710400000000007</v>
      </c>
      <c r="C1407" s="8">
        <f t="shared" si="11"/>
        <v>101.55638788904423</v>
      </c>
      <c r="D1407" s="9">
        <f t="shared" si="10"/>
        <v>65.587522491296426</v>
      </c>
      <c r="E1407" s="9"/>
      <c r="F1407" s="9">
        <f ca="1">IFERROR(__xludf.DUMMYFUNCTION("""COMPUTED_VALUE"""),43900)</f>
        <v>43900</v>
      </c>
      <c r="G1407" s="9" t="str">
        <f ca="1">IFERROR(__xludf.DUMMYFUNCTION("""COMPUTED_VALUE"""),"1 USD = 157.0751 PKR")</f>
        <v>1 USD = 157.0751 PKR</v>
      </c>
      <c r="H1407" s="9" t="str">
        <f ca="1">IFERROR(__xludf.DUMMYFUNCTION("""COMPUTED_VALUE"""),"USD PKR rate for 10/03/2020")</f>
        <v>USD PKR rate for 10/03/2020</v>
      </c>
      <c r="I1407" s="9"/>
    </row>
    <row r="1408" spans="1:9" ht="14.25" customHeight="1" x14ac:dyDescent="0.3">
      <c r="A1408" s="6">
        <v>41125</v>
      </c>
      <c r="B1408" s="7">
        <v>94.706599999999995</v>
      </c>
      <c r="C1408" s="8">
        <f t="shared" si="11"/>
        <v>101.57455122549348</v>
      </c>
      <c r="D1408" s="9">
        <f t="shared" si="10"/>
        <v>65.590260324093691</v>
      </c>
      <c r="E1408" s="9"/>
      <c r="F1408" s="9">
        <f ca="1">IFERROR(__xludf.DUMMYFUNCTION("""COMPUTED_VALUE"""),43899)</f>
        <v>43899</v>
      </c>
      <c r="G1408" s="9" t="str">
        <f ca="1">IFERROR(__xludf.DUMMYFUNCTION("""COMPUTED_VALUE"""),"1 USD = 157.1424 PKR")</f>
        <v>1 USD = 157.1424 PKR</v>
      </c>
      <c r="H1408" s="9" t="str">
        <f ca="1">IFERROR(__xludf.DUMMYFUNCTION("""COMPUTED_VALUE"""),"USD PKR rate for 09/03/2020")</f>
        <v>USD PKR rate for 09/03/2020</v>
      </c>
      <c r="I1408" s="9"/>
    </row>
    <row r="1409" spans="1:9" ht="14.25" customHeight="1" x14ac:dyDescent="0.3">
      <c r="A1409" s="6">
        <v>41126</v>
      </c>
      <c r="B1409" s="7">
        <v>94.724800000000002</v>
      </c>
      <c r="C1409" s="8">
        <f t="shared" si="11"/>
        <v>101.59271781045123</v>
      </c>
      <c r="D1409" s="9">
        <f t="shared" si="10"/>
        <v>65.592998156890957</v>
      </c>
      <c r="E1409" s="9"/>
      <c r="F1409" s="9">
        <f ca="1">IFERROR(__xludf.DUMMYFUNCTION("""COMPUTED_VALUE"""),43898)</f>
        <v>43898</v>
      </c>
      <c r="G1409" s="9" t="str">
        <f ca="1">IFERROR(__xludf.DUMMYFUNCTION("""COMPUTED_VALUE"""),"1 USD = 154.4502 PKR")</f>
        <v>1 USD = 154.4502 PKR</v>
      </c>
      <c r="H1409" s="9" t="str">
        <f ca="1">IFERROR(__xludf.DUMMYFUNCTION("""COMPUTED_VALUE"""),"USD PKR rate for 08/03/2020")</f>
        <v>USD PKR rate for 08/03/2020</v>
      </c>
      <c r="I1409" s="9"/>
    </row>
    <row r="1410" spans="1:9" ht="14.25" customHeight="1" x14ac:dyDescent="0.3">
      <c r="A1410" s="6">
        <v>41127</v>
      </c>
      <c r="B1410" s="7">
        <v>94.248400000000004</v>
      </c>
      <c r="C1410" s="8">
        <f t="shared" si="11"/>
        <v>101.61088764449852</v>
      </c>
      <c r="D1410" s="9">
        <f t="shared" si="10"/>
        <v>65.595735989688222</v>
      </c>
      <c r="E1410" s="9"/>
      <c r="F1410" s="9">
        <f ca="1">IFERROR(__xludf.DUMMYFUNCTION("""COMPUTED_VALUE"""),43897)</f>
        <v>43897</v>
      </c>
      <c r="G1410" s="9" t="str">
        <f ca="1">IFERROR(__xludf.DUMMYFUNCTION("""COMPUTED_VALUE"""),"1 USD = 154.2882 PKR")</f>
        <v>1 USD = 154.2882 PKR</v>
      </c>
      <c r="H1410" s="9" t="str">
        <f ca="1">IFERROR(__xludf.DUMMYFUNCTION("""COMPUTED_VALUE"""),"USD PKR rate for 07/03/2020")</f>
        <v>USD PKR rate for 07/03/2020</v>
      </c>
      <c r="I1410" s="9"/>
    </row>
    <row r="1411" spans="1:9" ht="14.25" customHeight="1" x14ac:dyDescent="0.3">
      <c r="A1411" s="6">
        <v>41128</v>
      </c>
      <c r="B1411" s="7">
        <v>94.299300000000002</v>
      </c>
      <c r="C1411" s="8">
        <f t="shared" si="11"/>
        <v>101.6290607282164</v>
      </c>
      <c r="D1411" s="9">
        <f t="shared" si="10"/>
        <v>65.598473822485488</v>
      </c>
      <c r="E1411" s="9"/>
      <c r="F1411" s="9">
        <f ca="1">IFERROR(__xludf.DUMMYFUNCTION("""COMPUTED_VALUE"""),43896)</f>
        <v>43896</v>
      </c>
      <c r="G1411" s="9" t="str">
        <f ca="1">IFERROR(__xludf.DUMMYFUNCTION("""COMPUTED_VALUE"""),"1 USD = 154.2941 PKR")</f>
        <v>1 USD = 154.2941 PKR</v>
      </c>
      <c r="H1411" s="9" t="str">
        <f ca="1">IFERROR(__xludf.DUMMYFUNCTION("""COMPUTED_VALUE"""),"USD PKR rate for 06/03/2020")</f>
        <v>USD PKR rate for 06/03/2020</v>
      </c>
      <c r="I1411" s="9"/>
    </row>
    <row r="1412" spans="1:9" ht="14.25" customHeight="1" x14ac:dyDescent="0.3">
      <c r="A1412" s="6">
        <v>41129</v>
      </c>
      <c r="B1412" s="7">
        <v>94.152799999999999</v>
      </c>
      <c r="C1412" s="8">
        <f t="shared" si="11"/>
        <v>101.64723706218601</v>
      </c>
      <c r="D1412" s="9">
        <f t="shared" si="10"/>
        <v>65.601211655282754</v>
      </c>
      <c r="E1412" s="9"/>
      <c r="F1412" s="9">
        <f ca="1">IFERROR(__xludf.DUMMYFUNCTION("""COMPUTED_VALUE"""),43895)</f>
        <v>43895</v>
      </c>
      <c r="G1412" s="9" t="str">
        <f ca="1">IFERROR(__xludf.DUMMYFUNCTION("""COMPUTED_VALUE"""),"1 USD = 154.2433 PKR")</f>
        <v>1 USD = 154.2433 PKR</v>
      </c>
      <c r="H1412" s="9" t="str">
        <f ca="1">IFERROR(__xludf.DUMMYFUNCTION("""COMPUTED_VALUE"""),"USD PKR rate for 05/03/2020")</f>
        <v>USD PKR rate for 05/03/2020</v>
      </c>
      <c r="I1412" s="9"/>
    </row>
    <row r="1413" spans="1:9" ht="14.25" customHeight="1" x14ac:dyDescent="0.3">
      <c r="A1413" s="6">
        <v>41130</v>
      </c>
      <c r="B1413" s="7">
        <v>94.070000000000007</v>
      </c>
      <c r="C1413" s="8">
        <f t="shared" si="11"/>
        <v>101.66541664698885</v>
      </c>
      <c r="D1413" s="9">
        <f t="shared" si="10"/>
        <v>65.603949488080019</v>
      </c>
      <c r="E1413" s="9"/>
      <c r="F1413" s="9">
        <f ca="1">IFERROR(__xludf.DUMMYFUNCTION("""COMPUTED_VALUE"""),43894)</f>
        <v>43894</v>
      </c>
      <c r="G1413" s="9" t="str">
        <f ca="1">IFERROR(__xludf.DUMMYFUNCTION("""COMPUTED_VALUE"""),"1 USD = 154.2772 PKR")</f>
        <v>1 USD = 154.2772 PKR</v>
      </c>
      <c r="H1413" s="9" t="str">
        <f ca="1">IFERROR(__xludf.DUMMYFUNCTION("""COMPUTED_VALUE"""),"USD PKR rate for 04/03/2020")</f>
        <v>USD PKR rate for 04/03/2020</v>
      </c>
      <c r="I1413" s="9"/>
    </row>
    <row r="1414" spans="1:9" ht="14.25" customHeight="1" x14ac:dyDescent="0.3">
      <c r="A1414" s="6">
        <v>41131</v>
      </c>
      <c r="B1414" s="7">
        <v>94.135400000000004</v>
      </c>
      <c r="C1414" s="8">
        <f t="shared" si="11"/>
        <v>101.68359948320619</v>
      </c>
      <c r="D1414" s="9">
        <f t="shared" si="10"/>
        <v>65.606687320877285</v>
      </c>
      <c r="E1414" s="9"/>
      <c r="F1414" s="9">
        <f ca="1">IFERROR(__xludf.DUMMYFUNCTION("""COMPUTED_VALUE"""),43893)</f>
        <v>43893</v>
      </c>
      <c r="G1414" s="9" t="str">
        <f ca="1">IFERROR(__xludf.DUMMYFUNCTION("""COMPUTED_VALUE"""),"1 USD = 154.2044 PKR")</f>
        <v>1 USD = 154.2044 PKR</v>
      </c>
      <c r="H1414" s="9" t="str">
        <f ca="1">IFERROR(__xludf.DUMMYFUNCTION("""COMPUTED_VALUE"""),"USD PKR rate for 03/03/2020")</f>
        <v>USD PKR rate for 03/03/2020</v>
      </c>
      <c r="I1414" s="9"/>
    </row>
    <row r="1415" spans="1:9" ht="14.25" customHeight="1" x14ac:dyDescent="0.3">
      <c r="A1415" s="6">
        <v>41132</v>
      </c>
      <c r="B1415" s="7">
        <v>94.083399999999997</v>
      </c>
      <c r="C1415" s="8">
        <f t="shared" si="11"/>
        <v>101.70178557141959</v>
      </c>
      <c r="D1415" s="9">
        <f t="shared" si="10"/>
        <v>65.60942515367455</v>
      </c>
      <c r="E1415" s="9"/>
      <c r="F1415" s="9">
        <f ca="1">IFERROR(__xludf.DUMMYFUNCTION("""COMPUTED_VALUE"""),43892)</f>
        <v>43892</v>
      </c>
      <c r="G1415" s="9" t="str">
        <f ca="1">IFERROR(__xludf.DUMMYFUNCTION("""COMPUTED_VALUE"""),"1 USD = 154.3459 PKR")</f>
        <v>1 USD = 154.3459 PKR</v>
      </c>
      <c r="H1415" s="9" t="str">
        <f ca="1">IFERROR(__xludf.DUMMYFUNCTION("""COMPUTED_VALUE"""),"USD PKR rate for 02/03/2020")</f>
        <v>USD PKR rate for 02/03/2020</v>
      </c>
      <c r="I1415" s="9"/>
    </row>
    <row r="1416" spans="1:9" ht="14.25" customHeight="1" x14ac:dyDescent="0.3">
      <c r="A1416" s="6">
        <v>41133</v>
      </c>
      <c r="B1416" s="7">
        <v>94.185400000000001</v>
      </c>
      <c r="C1416" s="8">
        <f t="shared" si="11"/>
        <v>101.71997491221065</v>
      </c>
      <c r="D1416" s="9">
        <f t="shared" si="10"/>
        <v>65.612162986471816</v>
      </c>
      <c r="E1416" s="9"/>
      <c r="F1416" s="9">
        <f ca="1">IFERROR(__xludf.DUMMYFUNCTION("""COMPUTED_VALUE"""),43891)</f>
        <v>43891</v>
      </c>
      <c r="G1416" s="9" t="str">
        <f ca="1">IFERROR(__xludf.DUMMYFUNCTION("""COMPUTED_VALUE"""),"1 USD = 154.2942 PKR")</f>
        <v>1 USD = 154.2942 PKR</v>
      </c>
      <c r="H1416" s="9" t="str">
        <f ca="1">IFERROR(__xludf.DUMMYFUNCTION("""COMPUTED_VALUE"""),"USD PKR rate for 01/03/2020")</f>
        <v>USD PKR rate for 01/03/2020</v>
      </c>
      <c r="I1416" s="9"/>
    </row>
    <row r="1417" spans="1:9" ht="14.25" customHeight="1" x14ac:dyDescent="0.3">
      <c r="A1417" s="6">
        <v>41134</v>
      </c>
      <c r="B1417" s="7">
        <v>94.520100000000014</v>
      </c>
      <c r="C1417" s="8">
        <f t="shared" si="11"/>
        <v>101.7381675061611</v>
      </c>
      <c r="D1417" s="9">
        <f t="shared" si="10"/>
        <v>65.614900819269081</v>
      </c>
      <c r="E1417" s="9"/>
      <c r="F1417" s="9">
        <f ca="1">IFERROR(__xludf.DUMMYFUNCTION("""COMPUTED_VALUE"""),43890)</f>
        <v>43890</v>
      </c>
      <c r="G1417" s="9" t="str">
        <f ca="1">IFERROR(__xludf.DUMMYFUNCTION("""COMPUTED_VALUE"""),"1 USD = 154.2939 PKR")</f>
        <v>1 USD = 154.2939 PKR</v>
      </c>
      <c r="H1417" s="9" t="str">
        <f ca="1">IFERROR(__xludf.DUMMYFUNCTION("""COMPUTED_VALUE"""),"USD PKR rate for 29/02/2020")</f>
        <v>USD PKR rate for 29/02/2020</v>
      </c>
      <c r="I1417" s="9"/>
    </row>
    <row r="1418" spans="1:9" ht="14.25" customHeight="1" x14ac:dyDescent="0.3">
      <c r="A1418" s="6">
        <v>41135</v>
      </c>
      <c r="B1418" s="7">
        <v>94.507800000000003</v>
      </c>
      <c r="C1418" s="8">
        <f t="shared" si="11"/>
        <v>101.75636335385275</v>
      </c>
      <c r="D1418" s="9">
        <f t="shared" si="10"/>
        <v>65.617638652066347</v>
      </c>
      <c r="E1418" s="9"/>
      <c r="F1418" s="9">
        <f ca="1">IFERROR(__xludf.DUMMYFUNCTION("""COMPUTED_VALUE"""),43889)</f>
        <v>43889</v>
      </c>
      <c r="G1418" s="9" t="str">
        <f ca="1">IFERROR(__xludf.DUMMYFUNCTION("""COMPUTED_VALUE"""),"1 USD = 154.2935 PKR")</f>
        <v>1 USD = 154.2935 PKR</v>
      </c>
      <c r="H1418" s="9" t="str">
        <f ca="1">IFERROR(__xludf.DUMMYFUNCTION("""COMPUTED_VALUE"""),"USD PKR rate for 28/02/2020")</f>
        <v>USD PKR rate for 28/02/2020</v>
      </c>
      <c r="I1418" s="9"/>
    </row>
    <row r="1419" spans="1:9" ht="14.25" customHeight="1" x14ac:dyDescent="0.3">
      <c r="A1419" s="6">
        <v>41136</v>
      </c>
      <c r="B1419" s="7">
        <v>94.536100000000005</v>
      </c>
      <c r="C1419" s="8">
        <f t="shared" si="11"/>
        <v>101.77456245586757</v>
      </c>
      <c r="D1419" s="9">
        <f t="shared" si="10"/>
        <v>65.620376484863613</v>
      </c>
      <c r="E1419" s="9"/>
      <c r="F1419" s="9">
        <f ca="1">IFERROR(__xludf.DUMMYFUNCTION("""COMPUTED_VALUE"""),43888)</f>
        <v>43888</v>
      </c>
      <c r="G1419" s="9" t="str">
        <f ca="1">IFERROR(__xludf.DUMMYFUNCTION("""COMPUTED_VALUE"""),"1 USD = 154.2597 PKR")</f>
        <v>1 USD = 154.2597 PKR</v>
      </c>
      <c r="H1419" s="9" t="str">
        <f ca="1">IFERROR(__xludf.DUMMYFUNCTION("""COMPUTED_VALUE"""),"USD PKR rate for 27/02/2020")</f>
        <v>USD PKR rate for 27/02/2020</v>
      </c>
      <c r="I1419" s="9"/>
    </row>
    <row r="1420" spans="1:9" ht="14.25" customHeight="1" x14ac:dyDescent="0.3">
      <c r="A1420" s="6">
        <v>41137</v>
      </c>
      <c r="B1420" s="7">
        <v>94.087900000000005</v>
      </c>
      <c r="C1420" s="8">
        <f t="shared" si="11"/>
        <v>101.79276481278755</v>
      </c>
      <c r="D1420" s="9">
        <f t="shared" si="10"/>
        <v>65.623114317660878</v>
      </c>
      <c r="E1420" s="9"/>
      <c r="F1420" s="9">
        <f ca="1">IFERROR(__xludf.DUMMYFUNCTION("""COMPUTED_VALUE"""),43887)</f>
        <v>43887</v>
      </c>
      <c r="G1420" s="9" t="str">
        <f ca="1">IFERROR(__xludf.DUMMYFUNCTION("""COMPUTED_VALUE"""),"1 USD = 154.2277 PKR")</f>
        <v>1 USD = 154.2277 PKR</v>
      </c>
      <c r="H1420" s="9" t="str">
        <f ca="1">IFERROR(__xludf.DUMMYFUNCTION("""COMPUTED_VALUE"""),"USD PKR rate for 26/02/2020")</f>
        <v>USD PKR rate for 26/02/2020</v>
      </c>
      <c r="I1420" s="9"/>
    </row>
    <row r="1421" spans="1:9" ht="14.25" customHeight="1" x14ac:dyDescent="0.3">
      <c r="A1421" s="6">
        <v>41138</v>
      </c>
      <c r="B1421" s="7">
        <v>94.442600000000013</v>
      </c>
      <c r="C1421" s="8">
        <f t="shared" si="11"/>
        <v>101.81097042519477</v>
      </c>
      <c r="D1421" s="9">
        <f t="shared" si="10"/>
        <v>65.625852150458144</v>
      </c>
      <c r="E1421" s="9"/>
      <c r="F1421" s="9">
        <f ca="1">IFERROR(__xludf.DUMMYFUNCTION("""COMPUTED_VALUE"""),43886)</f>
        <v>43886</v>
      </c>
      <c r="G1421" s="9" t="str">
        <f ca="1">IFERROR(__xludf.DUMMYFUNCTION("""COMPUTED_VALUE"""),"1 USD = 154.2501 PKR")</f>
        <v>1 USD = 154.2501 PKR</v>
      </c>
      <c r="H1421" s="9" t="str">
        <f ca="1">IFERROR(__xludf.DUMMYFUNCTION("""COMPUTED_VALUE"""),"USD PKR rate for 25/02/2020")</f>
        <v>USD PKR rate for 25/02/2020</v>
      </c>
      <c r="I1421" s="9"/>
    </row>
    <row r="1422" spans="1:9" ht="14.25" customHeight="1" x14ac:dyDescent="0.3">
      <c r="A1422" s="6">
        <v>41139</v>
      </c>
      <c r="B1422" s="7">
        <v>94.537000000000006</v>
      </c>
      <c r="C1422" s="8">
        <f t="shared" si="11"/>
        <v>101.82917929367164</v>
      </c>
      <c r="D1422" s="9">
        <f t="shared" si="10"/>
        <v>65.628589983255409</v>
      </c>
      <c r="E1422" s="9"/>
      <c r="F1422" s="9">
        <f ca="1">IFERROR(__xludf.DUMMYFUNCTION("""COMPUTED_VALUE"""),43885)</f>
        <v>43885</v>
      </c>
      <c r="G1422" s="9" t="str">
        <f ca="1">IFERROR(__xludf.DUMMYFUNCTION("""COMPUTED_VALUE"""),"1 USD = 154.2587 PKR")</f>
        <v>1 USD = 154.2587 PKR</v>
      </c>
      <c r="H1422" s="9" t="str">
        <f ca="1">IFERROR(__xludf.DUMMYFUNCTION("""COMPUTED_VALUE"""),"USD PKR rate for 24/02/2020")</f>
        <v>USD PKR rate for 24/02/2020</v>
      </c>
      <c r="I1422" s="9"/>
    </row>
    <row r="1423" spans="1:9" ht="14.25" customHeight="1" x14ac:dyDescent="0.3">
      <c r="A1423" s="6">
        <v>41140</v>
      </c>
      <c r="B1423" s="7">
        <v>94.561099999999996</v>
      </c>
      <c r="C1423" s="8">
        <f t="shared" si="11"/>
        <v>101.84739141880041</v>
      </c>
      <c r="D1423" s="9">
        <f t="shared" si="10"/>
        <v>65.631327816052675</v>
      </c>
      <c r="E1423" s="9"/>
      <c r="F1423" s="9">
        <f ca="1">IFERROR(__xludf.DUMMYFUNCTION("""COMPUTED_VALUE"""),43884)</f>
        <v>43884</v>
      </c>
      <c r="G1423" s="9" t="str">
        <f ca="1">IFERROR(__xludf.DUMMYFUNCTION("""COMPUTED_VALUE"""),"1 USD = 154.3588 PKR")</f>
        <v>1 USD = 154.3588 PKR</v>
      </c>
      <c r="H1423" s="9" t="str">
        <f ca="1">IFERROR(__xludf.DUMMYFUNCTION("""COMPUTED_VALUE"""),"USD PKR rate for 23/02/2020")</f>
        <v>USD PKR rate for 23/02/2020</v>
      </c>
      <c r="I1423" s="9"/>
    </row>
    <row r="1424" spans="1:9" ht="14.25" customHeight="1" x14ac:dyDescent="0.3">
      <c r="A1424" s="6">
        <v>41141</v>
      </c>
      <c r="B1424" s="7">
        <v>94.253600000000006</v>
      </c>
      <c r="C1424" s="8">
        <f t="shared" si="11"/>
        <v>101.86560680116354</v>
      </c>
      <c r="D1424" s="9">
        <f t="shared" si="10"/>
        <v>65.634065648849941</v>
      </c>
      <c r="E1424" s="9"/>
      <c r="F1424" s="9">
        <f ca="1">IFERROR(__xludf.DUMMYFUNCTION("""COMPUTED_VALUE"""),43883)</f>
        <v>43883</v>
      </c>
      <c r="G1424" s="9" t="str">
        <f ca="1">IFERROR(__xludf.DUMMYFUNCTION("""COMPUTED_VALUE"""),"1 USD = 154.2999 PKR")</f>
        <v>1 USD = 154.2999 PKR</v>
      </c>
      <c r="H1424" s="9" t="str">
        <f ca="1">IFERROR(__xludf.DUMMYFUNCTION("""COMPUTED_VALUE"""),"USD PKR rate for 22/02/2020")</f>
        <v>USD PKR rate for 22/02/2020</v>
      </c>
      <c r="I1424" s="9"/>
    </row>
    <row r="1425" spans="1:9" ht="14.25" customHeight="1" x14ac:dyDescent="0.3">
      <c r="A1425" s="6">
        <v>41142</v>
      </c>
      <c r="B1425" s="7">
        <v>94.467500000000001</v>
      </c>
      <c r="C1425" s="8">
        <f t="shared" si="11"/>
        <v>101.88382544134359</v>
      </c>
      <c r="D1425" s="9">
        <f t="shared" si="10"/>
        <v>65.636803481647206</v>
      </c>
      <c r="E1425" s="9"/>
      <c r="F1425" s="9">
        <f ca="1">IFERROR(__xludf.DUMMYFUNCTION("""COMPUTED_VALUE"""),43882)</f>
        <v>43882</v>
      </c>
      <c r="G1425" s="9" t="str">
        <f ca="1">IFERROR(__xludf.DUMMYFUNCTION("""COMPUTED_VALUE"""),"1 USD = 154.2999 PKR")</f>
        <v>1 USD = 154.2999 PKR</v>
      </c>
      <c r="H1425" s="9" t="str">
        <f ca="1">IFERROR(__xludf.DUMMYFUNCTION("""COMPUTED_VALUE"""),"USD PKR rate for 21/02/2020")</f>
        <v>USD PKR rate for 21/02/2020</v>
      </c>
      <c r="I1425" s="9"/>
    </row>
    <row r="1426" spans="1:9" ht="14.25" customHeight="1" x14ac:dyDescent="0.3">
      <c r="A1426" s="6">
        <v>41143</v>
      </c>
      <c r="B1426" s="7">
        <v>94.438599999999994</v>
      </c>
      <c r="C1426" s="8">
        <f t="shared" si="11"/>
        <v>101.90204733992323</v>
      </c>
      <c r="D1426" s="9">
        <f t="shared" si="10"/>
        <v>65.639541314444472</v>
      </c>
      <c r="E1426" s="9"/>
      <c r="F1426" s="9">
        <f ca="1">IFERROR(__xludf.DUMMYFUNCTION("""COMPUTED_VALUE"""),43881)</f>
        <v>43881</v>
      </c>
      <c r="G1426" s="9" t="str">
        <f ca="1">IFERROR(__xludf.DUMMYFUNCTION("""COMPUTED_VALUE"""),"1 USD = 154.3171 PKR")</f>
        <v>1 USD = 154.3171 PKR</v>
      </c>
      <c r="H1426" s="9" t="str">
        <f ca="1">IFERROR(__xludf.DUMMYFUNCTION("""COMPUTED_VALUE"""),"USD PKR rate for 20/02/2020")</f>
        <v>USD PKR rate for 20/02/2020</v>
      </c>
      <c r="I1426" s="9"/>
    </row>
    <row r="1427" spans="1:9" ht="14.25" customHeight="1" x14ac:dyDescent="0.3">
      <c r="A1427" s="6">
        <v>41144</v>
      </c>
      <c r="B1427" s="7">
        <v>94.719300000000004</v>
      </c>
      <c r="C1427" s="8">
        <f t="shared" si="11"/>
        <v>101.92027249748519</v>
      </c>
      <c r="D1427" s="9">
        <f t="shared" si="10"/>
        <v>65.642279147241737</v>
      </c>
      <c r="E1427" s="9"/>
      <c r="F1427" s="9">
        <f ca="1">IFERROR(__xludf.DUMMYFUNCTION("""COMPUTED_VALUE"""),43880)</f>
        <v>43880</v>
      </c>
      <c r="G1427" s="9" t="str">
        <f ca="1">IFERROR(__xludf.DUMMYFUNCTION("""COMPUTED_VALUE"""),"1 USD = 154.1966 PKR")</f>
        <v>1 USD = 154.1966 PKR</v>
      </c>
      <c r="H1427" s="9" t="str">
        <f ca="1">IFERROR(__xludf.DUMMYFUNCTION("""COMPUTED_VALUE"""),"USD PKR rate for 19/02/2020")</f>
        <v>USD PKR rate for 19/02/2020</v>
      </c>
      <c r="I1427" s="9"/>
    </row>
    <row r="1428" spans="1:9" ht="14.25" customHeight="1" x14ac:dyDescent="0.3">
      <c r="A1428" s="6">
        <v>41145</v>
      </c>
      <c r="B1428" s="7">
        <v>94.885000000000005</v>
      </c>
      <c r="C1428" s="8">
        <f t="shared" si="11"/>
        <v>101.93850091461238</v>
      </c>
      <c r="D1428" s="9">
        <f t="shared" si="10"/>
        <v>65.645016980039003</v>
      </c>
      <c r="E1428" s="9"/>
      <c r="F1428" s="9">
        <f ca="1">IFERROR(__xludf.DUMMYFUNCTION("""COMPUTED_VALUE"""),43879)</f>
        <v>43879</v>
      </c>
      <c r="G1428" s="9" t="str">
        <f ca="1">IFERROR(__xludf.DUMMYFUNCTION("""COMPUTED_VALUE"""),"1 USD = 154.3376 PKR")</f>
        <v>1 USD = 154.3376 PKR</v>
      </c>
      <c r="H1428" s="9" t="str">
        <f ca="1">IFERROR(__xludf.DUMMYFUNCTION("""COMPUTED_VALUE"""),"USD PKR rate for 18/02/2020")</f>
        <v>USD PKR rate for 18/02/2020</v>
      </c>
      <c r="I1428" s="9"/>
    </row>
    <row r="1429" spans="1:9" ht="14.25" customHeight="1" x14ac:dyDescent="0.3">
      <c r="A1429" s="6">
        <v>41146</v>
      </c>
      <c r="B1429" s="7">
        <v>94.911500000000004</v>
      </c>
      <c r="C1429" s="8">
        <f t="shared" si="11"/>
        <v>101.95673259188774</v>
      </c>
      <c r="D1429" s="9">
        <f t="shared" si="10"/>
        <v>65.647754812836268</v>
      </c>
      <c r="E1429" s="9"/>
      <c r="F1429" s="9">
        <f ca="1">IFERROR(__xludf.DUMMYFUNCTION("""COMPUTED_VALUE"""),43878)</f>
        <v>43878</v>
      </c>
      <c r="G1429" s="9" t="str">
        <f ca="1">IFERROR(__xludf.DUMMYFUNCTION("""COMPUTED_VALUE"""),"1 USD = 154.3996 PKR")</f>
        <v>1 USD = 154.3996 PKR</v>
      </c>
      <c r="H1429" s="9" t="str">
        <f ca="1">IFERROR(__xludf.DUMMYFUNCTION("""COMPUTED_VALUE"""),"USD PKR rate for 17/02/2020")</f>
        <v>USD PKR rate for 17/02/2020</v>
      </c>
      <c r="I1429" s="9"/>
    </row>
    <row r="1430" spans="1:9" ht="14.25" customHeight="1" x14ac:dyDescent="0.3">
      <c r="A1430" s="6">
        <v>41147</v>
      </c>
      <c r="B1430" s="7">
        <v>94.875500000000002</v>
      </c>
      <c r="C1430" s="8">
        <f t="shared" si="11"/>
        <v>101.97496752989426</v>
      </c>
      <c r="D1430" s="9">
        <f t="shared" si="10"/>
        <v>65.650492645633534</v>
      </c>
      <c r="E1430" s="9"/>
      <c r="F1430" s="9">
        <f ca="1">IFERROR(__xludf.DUMMYFUNCTION("""COMPUTED_VALUE"""),43877)</f>
        <v>43877</v>
      </c>
      <c r="G1430" s="9" t="str">
        <f ca="1">IFERROR(__xludf.DUMMYFUNCTION("""COMPUTED_VALUE"""),"1 USD = 154.3328 PKR")</f>
        <v>1 USD = 154.3328 PKR</v>
      </c>
      <c r="H1430" s="9" t="str">
        <f ca="1">IFERROR(__xludf.DUMMYFUNCTION("""COMPUTED_VALUE"""),"USD PKR rate for 16/02/2020")</f>
        <v>USD PKR rate for 16/02/2020</v>
      </c>
      <c r="I1430" s="9"/>
    </row>
    <row r="1431" spans="1:9" ht="14.25" customHeight="1" x14ac:dyDescent="0.3">
      <c r="A1431" s="6">
        <v>41148</v>
      </c>
      <c r="B1431" s="7">
        <v>94.956900000000005</v>
      </c>
      <c r="C1431" s="8">
        <f t="shared" si="11"/>
        <v>101.99320572921532</v>
      </c>
      <c r="D1431" s="9">
        <f t="shared" si="10"/>
        <v>65.6532304784308</v>
      </c>
      <c r="E1431" s="9"/>
      <c r="F1431" s="9">
        <f ca="1">IFERROR(__xludf.DUMMYFUNCTION("""COMPUTED_VALUE"""),43876)</f>
        <v>43876</v>
      </c>
      <c r="G1431" s="9" t="str">
        <f ca="1">IFERROR(__xludf.DUMMYFUNCTION("""COMPUTED_VALUE"""),"1 USD = 154.3512 PKR")</f>
        <v>1 USD = 154.3512 PKR</v>
      </c>
      <c r="H1431" s="9" t="str">
        <f ca="1">IFERROR(__xludf.DUMMYFUNCTION("""COMPUTED_VALUE"""),"USD PKR rate for 15/02/2020")</f>
        <v>USD PKR rate for 15/02/2020</v>
      </c>
      <c r="I1431" s="9"/>
    </row>
    <row r="1432" spans="1:9" ht="14.25" customHeight="1" x14ac:dyDescent="0.3">
      <c r="A1432" s="6">
        <v>41149</v>
      </c>
      <c r="B1432" s="7">
        <v>94.868799999999993</v>
      </c>
      <c r="C1432" s="8">
        <f t="shared" si="11"/>
        <v>102.0114471904341</v>
      </c>
      <c r="D1432" s="9">
        <f t="shared" si="10"/>
        <v>65.655968311228065</v>
      </c>
      <c r="E1432" s="9"/>
      <c r="F1432" s="9">
        <f ca="1">IFERROR(__xludf.DUMMYFUNCTION("""COMPUTED_VALUE"""),43875)</f>
        <v>43875</v>
      </c>
      <c r="G1432" s="9" t="str">
        <f ca="1">IFERROR(__xludf.DUMMYFUNCTION("""COMPUTED_VALUE"""),"1 USD = 154.3512 PKR")</f>
        <v>1 USD = 154.3512 PKR</v>
      </c>
      <c r="H1432" s="9" t="str">
        <f ca="1">IFERROR(__xludf.DUMMYFUNCTION("""COMPUTED_VALUE"""),"USD PKR rate for 14/02/2020")</f>
        <v>USD PKR rate for 14/02/2020</v>
      </c>
      <c r="I1432" s="9"/>
    </row>
    <row r="1433" spans="1:9" ht="14.25" customHeight="1" x14ac:dyDescent="0.3">
      <c r="A1433" s="6">
        <v>41150</v>
      </c>
      <c r="B1433" s="7">
        <v>94.712000000000003</v>
      </c>
      <c r="C1433" s="8">
        <f t="shared" si="11"/>
        <v>102.02969191413399</v>
      </c>
      <c r="D1433" s="9">
        <f t="shared" si="10"/>
        <v>65.658706144025331</v>
      </c>
      <c r="E1433" s="9"/>
      <c r="F1433" s="9">
        <f ca="1">IFERROR(__xludf.DUMMYFUNCTION("""COMPUTED_VALUE"""),43874)</f>
        <v>43874</v>
      </c>
      <c r="G1433" s="9" t="str">
        <f ca="1">IFERROR(__xludf.DUMMYFUNCTION("""COMPUTED_VALUE"""),"1 USD = 154.3618 PKR")</f>
        <v>1 USD = 154.3618 PKR</v>
      </c>
      <c r="H1433" s="9" t="str">
        <f ca="1">IFERROR(__xludf.DUMMYFUNCTION("""COMPUTED_VALUE"""),"USD PKR rate for 13/02/2020")</f>
        <v>USD PKR rate for 13/02/2020</v>
      </c>
      <c r="I1433" s="9"/>
    </row>
    <row r="1434" spans="1:9" ht="14.25" customHeight="1" x14ac:dyDescent="0.3">
      <c r="A1434" s="6">
        <v>41151</v>
      </c>
      <c r="B1434" s="7">
        <v>94.551500000000004</v>
      </c>
      <c r="C1434" s="8">
        <f t="shared" si="11"/>
        <v>102.04793990089848</v>
      </c>
      <c r="D1434" s="9">
        <f t="shared" si="10"/>
        <v>65.661443976822596</v>
      </c>
      <c r="E1434" s="9"/>
      <c r="F1434" s="9">
        <f ca="1">IFERROR(__xludf.DUMMYFUNCTION("""COMPUTED_VALUE"""),43873)</f>
        <v>43873</v>
      </c>
      <c r="G1434" s="9" t="str">
        <f ca="1">IFERROR(__xludf.DUMMYFUNCTION("""COMPUTED_VALUE"""),"1 USD = 154.4248 PKR")</f>
        <v>1 USD = 154.4248 PKR</v>
      </c>
      <c r="H1434" s="9" t="str">
        <f ca="1">IFERROR(__xludf.DUMMYFUNCTION("""COMPUTED_VALUE"""),"USD PKR rate for 12/02/2020")</f>
        <v>USD PKR rate for 12/02/2020</v>
      </c>
      <c r="I1434" s="9"/>
    </row>
    <row r="1435" spans="1:9" ht="14.25" customHeight="1" x14ac:dyDescent="0.3">
      <c r="A1435" s="6">
        <v>41152</v>
      </c>
      <c r="B1435" s="7">
        <v>94.565899999999999</v>
      </c>
      <c r="C1435" s="8">
        <f t="shared" si="11"/>
        <v>102.06619115131119</v>
      </c>
      <c r="D1435" s="9">
        <f t="shared" si="10"/>
        <v>65.664181809619862</v>
      </c>
      <c r="E1435" s="9"/>
      <c r="F1435" s="9">
        <f ca="1">IFERROR(__xludf.DUMMYFUNCTION("""COMPUTED_VALUE"""),43872)</f>
        <v>43872</v>
      </c>
      <c r="G1435" s="9" t="str">
        <f ca="1">IFERROR(__xludf.DUMMYFUNCTION("""COMPUTED_VALUE"""),"1 USD = 154.5107 PKR")</f>
        <v>1 USD = 154.5107 PKR</v>
      </c>
      <c r="H1435" s="9" t="str">
        <f ca="1">IFERROR(__xludf.DUMMYFUNCTION("""COMPUTED_VALUE"""),"USD PKR rate for 11/02/2020")</f>
        <v>USD PKR rate for 11/02/2020</v>
      </c>
      <c r="I1435" s="9"/>
    </row>
    <row r="1436" spans="1:9" ht="14.25" customHeight="1" x14ac:dyDescent="0.3">
      <c r="A1436" s="6">
        <v>41153</v>
      </c>
      <c r="B1436" s="7">
        <v>94.568200000000019</v>
      </c>
      <c r="C1436" s="8">
        <f t="shared" si="11"/>
        <v>102.0844456659558</v>
      </c>
      <c r="D1436" s="9">
        <f t="shared" si="10"/>
        <v>65.666919642417128</v>
      </c>
      <c r="E1436" s="9"/>
      <c r="F1436" s="9">
        <f ca="1">IFERROR(__xludf.DUMMYFUNCTION("""COMPUTED_VALUE"""),43871)</f>
        <v>43871</v>
      </c>
      <c r="G1436" s="9" t="str">
        <f ca="1">IFERROR(__xludf.DUMMYFUNCTION("""COMPUTED_VALUE"""),"1 USD = 154.6225 PKR")</f>
        <v>1 USD = 154.6225 PKR</v>
      </c>
      <c r="H1436" s="9" t="str">
        <f ca="1">IFERROR(__xludf.DUMMYFUNCTION("""COMPUTED_VALUE"""),"USD PKR rate for 10/02/2020")</f>
        <v>USD PKR rate for 10/02/2020</v>
      </c>
      <c r="I1436" s="9"/>
    </row>
    <row r="1437" spans="1:9" ht="14.25" customHeight="1" x14ac:dyDescent="0.3">
      <c r="A1437" s="6">
        <v>41154</v>
      </c>
      <c r="B1437" s="7">
        <v>94.544300000000007</v>
      </c>
      <c r="C1437" s="8">
        <f t="shared" si="11"/>
        <v>102.10270344541614</v>
      </c>
      <c r="D1437" s="9">
        <f t="shared" si="10"/>
        <v>65.669657475214393</v>
      </c>
      <c r="E1437" s="9"/>
      <c r="F1437" s="9">
        <f ca="1">IFERROR(__xludf.DUMMYFUNCTION("""COMPUTED_VALUE"""),43870)</f>
        <v>43870</v>
      </c>
      <c r="G1437" s="9" t="str">
        <f ca="1">IFERROR(__xludf.DUMMYFUNCTION("""COMPUTED_VALUE"""),"1 USD = 154.52 PKR")</f>
        <v>1 USD = 154.52 PKR</v>
      </c>
      <c r="H1437" s="9" t="str">
        <f ca="1">IFERROR(__xludf.DUMMYFUNCTION("""COMPUTED_VALUE"""),"USD PKR rate for 09/02/2020")</f>
        <v>USD PKR rate for 09/02/2020</v>
      </c>
      <c r="I1437" s="9"/>
    </row>
    <row r="1438" spans="1:9" ht="14.25" customHeight="1" x14ac:dyDescent="0.3">
      <c r="A1438" s="6">
        <v>41155</v>
      </c>
      <c r="B1438" s="7">
        <v>94.738500000000002</v>
      </c>
      <c r="C1438" s="8">
        <f t="shared" si="11"/>
        <v>102.12096449027608</v>
      </c>
      <c r="D1438" s="9">
        <f t="shared" si="10"/>
        <v>65.672395308011659</v>
      </c>
      <c r="E1438" s="9"/>
      <c r="F1438" s="9">
        <f ca="1">IFERROR(__xludf.DUMMYFUNCTION("""COMPUTED_VALUE"""),43869)</f>
        <v>43869</v>
      </c>
      <c r="G1438" s="9" t="str">
        <f ca="1">IFERROR(__xludf.DUMMYFUNCTION("""COMPUTED_VALUE"""),"1 USD = 154.5624 PKR")</f>
        <v>1 USD = 154.5624 PKR</v>
      </c>
      <c r="H1438" s="9" t="str">
        <f ca="1">IFERROR(__xludf.DUMMYFUNCTION("""COMPUTED_VALUE"""),"USD PKR rate for 08/02/2020")</f>
        <v>USD PKR rate for 08/02/2020</v>
      </c>
      <c r="I1438" s="9"/>
    </row>
    <row r="1439" spans="1:9" ht="14.25" customHeight="1" x14ac:dyDescent="0.3">
      <c r="A1439" s="6">
        <v>41156</v>
      </c>
      <c r="B1439" s="7">
        <v>94.90470000000002</v>
      </c>
      <c r="C1439" s="8">
        <f t="shared" si="11"/>
        <v>102.1392288011196</v>
      </c>
      <c r="D1439" s="9">
        <f t="shared" si="10"/>
        <v>65.675133140808924</v>
      </c>
      <c r="E1439" s="9"/>
      <c r="F1439" s="9">
        <f ca="1">IFERROR(__xludf.DUMMYFUNCTION("""COMPUTED_VALUE"""),43868)</f>
        <v>43868</v>
      </c>
      <c r="G1439" s="9" t="str">
        <f ca="1">IFERROR(__xludf.DUMMYFUNCTION("""COMPUTED_VALUE"""),"1 USD = 154.5624 PKR")</f>
        <v>1 USD = 154.5624 PKR</v>
      </c>
      <c r="H1439" s="9" t="str">
        <f ca="1">IFERROR(__xludf.DUMMYFUNCTION("""COMPUTED_VALUE"""),"USD PKR rate for 07/02/2020")</f>
        <v>USD PKR rate for 07/02/2020</v>
      </c>
      <c r="I1439" s="9"/>
    </row>
    <row r="1440" spans="1:9" ht="14.25" customHeight="1" x14ac:dyDescent="0.3">
      <c r="A1440" s="6">
        <v>41157</v>
      </c>
      <c r="B1440" s="7">
        <v>94.762500000000003</v>
      </c>
      <c r="C1440" s="8">
        <f t="shared" si="11"/>
        <v>102.15749637853095</v>
      </c>
      <c r="D1440" s="9">
        <f t="shared" si="10"/>
        <v>65.67787097360619</v>
      </c>
      <c r="E1440" s="9"/>
      <c r="F1440" s="9">
        <f ca="1">IFERROR(__xludf.DUMMYFUNCTION("""COMPUTED_VALUE"""),43867)</f>
        <v>43867</v>
      </c>
      <c r="G1440" s="9" t="str">
        <f ca="1">IFERROR(__xludf.DUMMYFUNCTION("""COMPUTED_VALUE"""),"1 USD = 154.4693 PKR")</f>
        <v>1 USD = 154.4693 PKR</v>
      </c>
      <c r="H1440" s="9" t="str">
        <f ca="1">IFERROR(__xludf.DUMMYFUNCTION("""COMPUTED_VALUE"""),"USD PKR rate for 06/02/2020")</f>
        <v>USD PKR rate for 06/02/2020</v>
      </c>
      <c r="I1440" s="9"/>
    </row>
    <row r="1441" spans="1:9" ht="14.25" customHeight="1" x14ac:dyDescent="0.3">
      <c r="A1441" s="6">
        <v>41158</v>
      </c>
      <c r="B1441" s="7">
        <v>94.677400000000006</v>
      </c>
      <c r="C1441" s="8">
        <f t="shared" si="11"/>
        <v>102.17576722309431</v>
      </c>
      <c r="D1441" s="9">
        <f t="shared" si="10"/>
        <v>65.680608806403455</v>
      </c>
      <c r="E1441" s="9"/>
      <c r="F1441" s="9">
        <f ca="1">IFERROR(__xludf.DUMMYFUNCTION("""COMPUTED_VALUE"""),43866)</f>
        <v>43866</v>
      </c>
      <c r="G1441" s="9" t="str">
        <f ca="1">IFERROR(__xludf.DUMMYFUNCTION("""COMPUTED_VALUE"""),"1 USD = 154.4012 PKR")</f>
        <v>1 USD = 154.4012 PKR</v>
      </c>
      <c r="H1441" s="9" t="str">
        <f ca="1">IFERROR(__xludf.DUMMYFUNCTION("""COMPUTED_VALUE"""),"USD PKR rate for 05/02/2020")</f>
        <v>USD PKR rate for 05/02/2020</v>
      </c>
      <c r="I1441" s="9"/>
    </row>
    <row r="1442" spans="1:9" ht="14.25" customHeight="1" x14ac:dyDescent="0.3">
      <c r="A1442" s="6">
        <v>41159</v>
      </c>
      <c r="B1442" s="7">
        <v>94.66670000000002</v>
      </c>
      <c r="C1442" s="8">
        <f t="shared" si="11"/>
        <v>102.19404133539398</v>
      </c>
      <c r="D1442" s="9">
        <f t="shared" si="10"/>
        <v>65.683346639200721</v>
      </c>
      <c r="E1442" s="9"/>
      <c r="F1442" s="9">
        <f ca="1">IFERROR(__xludf.DUMMYFUNCTION("""COMPUTED_VALUE"""),43865)</f>
        <v>43865</v>
      </c>
      <c r="G1442" s="9" t="str">
        <f ca="1">IFERROR(__xludf.DUMMYFUNCTION("""COMPUTED_VALUE"""),"1 USD = 154.4921 PKR")</f>
        <v>1 USD = 154.4921 PKR</v>
      </c>
      <c r="H1442" s="9" t="str">
        <f ca="1">IFERROR(__xludf.DUMMYFUNCTION("""COMPUTED_VALUE"""),"USD PKR rate for 04/02/2020")</f>
        <v>USD PKR rate for 04/02/2020</v>
      </c>
      <c r="I1442" s="9"/>
    </row>
    <row r="1443" spans="1:9" ht="14.25" customHeight="1" x14ac:dyDescent="0.3">
      <c r="A1443" s="6">
        <v>41160</v>
      </c>
      <c r="B1443" s="7">
        <v>94.857399999999998</v>
      </c>
      <c r="C1443" s="8">
        <f t="shared" si="11"/>
        <v>102.21231871601439</v>
      </c>
      <c r="D1443" s="9">
        <f t="shared" si="10"/>
        <v>65.686084471997987</v>
      </c>
      <c r="E1443" s="9"/>
      <c r="F1443" s="9">
        <f ca="1">IFERROR(__xludf.DUMMYFUNCTION("""COMPUTED_VALUE"""),43864)</f>
        <v>43864</v>
      </c>
      <c r="G1443" s="9" t="str">
        <f ca="1">IFERROR(__xludf.DUMMYFUNCTION("""COMPUTED_VALUE"""),"1 USD = 154.4743 PKR")</f>
        <v>1 USD = 154.4743 PKR</v>
      </c>
      <c r="H1443" s="9" t="str">
        <f ca="1">IFERROR(__xludf.DUMMYFUNCTION("""COMPUTED_VALUE"""),"USD PKR rate for 03/02/2020")</f>
        <v>USD PKR rate for 03/02/2020</v>
      </c>
      <c r="I1443" s="9"/>
    </row>
    <row r="1444" spans="1:9" ht="14.25" customHeight="1" x14ac:dyDescent="0.3">
      <c r="A1444" s="6">
        <v>41161</v>
      </c>
      <c r="B1444" s="7">
        <v>94.845500000000001</v>
      </c>
      <c r="C1444" s="8">
        <f t="shared" si="11"/>
        <v>102.2305993655401</v>
      </c>
      <c r="D1444" s="9">
        <f t="shared" si="10"/>
        <v>65.688822304795252</v>
      </c>
      <c r="E1444" s="9"/>
      <c r="F1444" s="9">
        <f ca="1">IFERROR(__xludf.DUMMYFUNCTION("""COMPUTED_VALUE"""),43863)</f>
        <v>43863</v>
      </c>
      <c r="G1444" s="9" t="str">
        <f ca="1">IFERROR(__xludf.DUMMYFUNCTION("""COMPUTED_VALUE"""),"1 USD = 154.4454 PKR")</f>
        <v>1 USD = 154.4454 PKR</v>
      </c>
      <c r="H1444" s="9" t="str">
        <f ca="1">IFERROR(__xludf.DUMMYFUNCTION("""COMPUTED_VALUE"""),"USD PKR rate for 02/02/2020")</f>
        <v>USD PKR rate for 02/02/2020</v>
      </c>
      <c r="I1444" s="9"/>
    </row>
    <row r="1445" spans="1:9" ht="14.25" customHeight="1" x14ac:dyDescent="0.3">
      <c r="A1445" s="6">
        <v>41162</v>
      </c>
      <c r="B1445" s="7">
        <v>94.737000000000009</v>
      </c>
      <c r="C1445" s="8">
        <f t="shared" si="11"/>
        <v>102.24888328455575</v>
      </c>
      <c r="D1445" s="9">
        <f t="shared" si="10"/>
        <v>65.691560137592518</v>
      </c>
      <c r="E1445" s="9"/>
      <c r="F1445" s="9">
        <f ca="1">IFERROR(__xludf.DUMMYFUNCTION("""COMPUTED_VALUE"""),43862)</f>
        <v>43862</v>
      </c>
      <c r="G1445" s="9" t="str">
        <f ca="1">IFERROR(__xludf.DUMMYFUNCTION("""COMPUTED_VALUE"""),"1 USD = 154.4453 PKR")</f>
        <v>1 USD = 154.4453 PKR</v>
      </c>
      <c r="H1445" s="9" t="str">
        <f ca="1">IFERROR(__xludf.DUMMYFUNCTION("""COMPUTED_VALUE"""),"USD PKR rate for 01/02/2020")</f>
        <v>USD PKR rate for 01/02/2020</v>
      </c>
      <c r="I1445" s="9"/>
    </row>
    <row r="1446" spans="1:9" ht="14.25" customHeight="1" x14ac:dyDescent="0.3">
      <c r="A1446" s="6">
        <v>41163</v>
      </c>
      <c r="B1446" s="7">
        <v>94.715000000000003</v>
      </c>
      <c r="C1446" s="8">
        <f t="shared" si="11"/>
        <v>102.26717047364608</v>
      </c>
      <c r="D1446" s="9">
        <f t="shared" si="10"/>
        <v>65.694297970389783</v>
      </c>
      <c r="E1446" s="9"/>
      <c r="F1446" s="9">
        <f ca="1">IFERROR(__xludf.DUMMYFUNCTION("""COMPUTED_VALUE"""),43861)</f>
        <v>43861</v>
      </c>
      <c r="G1446" s="9" t="str">
        <f ca="1">IFERROR(__xludf.DUMMYFUNCTION("""COMPUTED_VALUE"""),"1 USD = 154.4453 PKR")</f>
        <v>1 USD = 154.4453 PKR</v>
      </c>
      <c r="H1446" s="9" t="str">
        <f ca="1">IFERROR(__xludf.DUMMYFUNCTION("""COMPUTED_VALUE"""),"USD PKR rate for 31/01/2020")</f>
        <v>USD PKR rate for 31/01/2020</v>
      </c>
      <c r="I1446" s="9"/>
    </row>
    <row r="1447" spans="1:9" ht="14.25" customHeight="1" x14ac:dyDescent="0.3">
      <c r="A1447" s="6">
        <v>41164</v>
      </c>
      <c r="B1447" s="7">
        <v>94.561999999999998</v>
      </c>
      <c r="C1447" s="8">
        <f t="shared" si="11"/>
        <v>102.28546093339595</v>
      </c>
      <c r="D1447" s="9">
        <f t="shared" si="10"/>
        <v>65.697035803187049</v>
      </c>
      <c r="E1447" s="9"/>
      <c r="F1447" s="9">
        <f ca="1">IFERROR(__xludf.DUMMYFUNCTION("""COMPUTED_VALUE"""),43860)</f>
        <v>43860</v>
      </c>
      <c r="G1447" s="9" t="str">
        <f ca="1">IFERROR(__xludf.DUMMYFUNCTION("""COMPUTED_VALUE"""),"1 USD = 154.5236 PKR")</f>
        <v>1 USD = 154.5236 PKR</v>
      </c>
      <c r="H1447" s="9" t="str">
        <f ca="1">IFERROR(__xludf.DUMMYFUNCTION("""COMPUTED_VALUE"""),"USD PKR rate for 30/01/2020")</f>
        <v>USD PKR rate for 30/01/2020</v>
      </c>
      <c r="I1447" s="9"/>
    </row>
    <row r="1448" spans="1:9" ht="14.25" customHeight="1" x14ac:dyDescent="0.3">
      <c r="A1448" s="6">
        <v>41165</v>
      </c>
      <c r="B1448" s="7">
        <v>94.560299999999998</v>
      </c>
      <c r="C1448" s="8">
        <f t="shared" si="11"/>
        <v>102.3037546643902</v>
      </c>
      <c r="D1448" s="9">
        <f t="shared" si="10"/>
        <v>65.699773635984315</v>
      </c>
      <c r="E1448" s="9"/>
      <c r="F1448" s="9">
        <f ca="1">IFERROR(__xludf.DUMMYFUNCTION("""COMPUTED_VALUE"""),43859)</f>
        <v>43859</v>
      </c>
      <c r="G1448" s="9" t="str">
        <f ca="1">IFERROR(__xludf.DUMMYFUNCTION("""COMPUTED_VALUE"""),"1 USD = 154.4206 PKR")</f>
        <v>1 USD = 154.4206 PKR</v>
      </c>
      <c r="H1448" s="9" t="str">
        <f ca="1">IFERROR(__xludf.DUMMYFUNCTION("""COMPUTED_VALUE"""),"USD PKR rate for 29/01/2020")</f>
        <v>USD PKR rate for 29/01/2020</v>
      </c>
      <c r="I1448" s="9"/>
    </row>
    <row r="1449" spans="1:9" ht="14.25" customHeight="1" x14ac:dyDescent="0.3">
      <c r="A1449" s="6">
        <v>41166</v>
      </c>
      <c r="B1449" s="7">
        <v>94.492900000000006</v>
      </c>
      <c r="C1449" s="8">
        <f t="shared" si="11"/>
        <v>102.3220516672141</v>
      </c>
      <c r="D1449" s="9">
        <f t="shared" si="10"/>
        <v>65.70251146878158</v>
      </c>
      <c r="E1449" s="9"/>
      <c r="F1449" s="9">
        <f ca="1">IFERROR(__xludf.DUMMYFUNCTION("""COMPUTED_VALUE"""),43858)</f>
        <v>43858</v>
      </c>
      <c r="G1449" s="9" t="str">
        <f ca="1">IFERROR(__xludf.DUMMYFUNCTION("""COMPUTED_VALUE"""),"1 USD = 154.5 PKR")</f>
        <v>1 USD = 154.5 PKR</v>
      </c>
      <c r="H1449" s="9" t="str">
        <f ca="1">IFERROR(__xludf.DUMMYFUNCTION("""COMPUTED_VALUE"""),"USD PKR rate for 28/01/2020")</f>
        <v>USD PKR rate for 28/01/2020</v>
      </c>
      <c r="I1449" s="9"/>
    </row>
    <row r="1450" spans="1:9" ht="14.25" customHeight="1" x14ac:dyDescent="0.3">
      <c r="A1450" s="6">
        <v>41167</v>
      </c>
      <c r="B1450" s="7">
        <v>94.497900000000001</v>
      </c>
      <c r="C1450" s="8">
        <f t="shared" si="11"/>
        <v>102.34035194245271</v>
      </c>
      <c r="D1450" s="9">
        <f t="shared" si="10"/>
        <v>65.705249301578846</v>
      </c>
      <c r="E1450" s="9"/>
      <c r="F1450" s="9">
        <f ca="1">IFERROR(__xludf.DUMMYFUNCTION("""COMPUTED_VALUE"""),43857)</f>
        <v>43857</v>
      </c>
      <c r="G1450" s="9" t="str">
        <f ca="1">IFERROR(__xludf.DUMMYFUNCTION("""COMPUTED_VALUE"""),"1 USD = 154.5224 PKR")</f>
        <v>1 USD = 154.5224 PKR</v>
      </c>
      <c r="H1450" s="9" t="str">
        <f ca="1">IFERROR(__xludf.DUMMYFUNCTION("""COMPUTED_VALUE"""),"USD PKR rate for 27/01/2020")</f>
        <v>USD PKR rate for 27/01/2020</v>
      </c>
      <c r="I1450" s="9"/>
    </row>
    <row r="1451" spans="1:9" ht="14.25" customHeight="1" x14ac:dyDescent="0.3">
      <c r="A1451" s="6">
        <v>41168</v>
      </c>
      <c r="B1451" s="7">
        <v>94.451300000000003</v>
      </c>
      <c r="C1451" s="8">
        <f t="shared" si="11"/>
        <v>102.35865549069131</v>
      </c>
      <c r="D1451" s="9">
        <f t="shared" si="10"/>
        <v>65.707987134376111</v>
      </c>
      <c r="E1451" s="9"/>
      <c r="F1451" s="9">
        <f ca="1">IFERROR(__xludf.DUMMYFUNCTION("""COMPUTED_VALUE"""),43856)</f>
        <v>43856</v>
      </c>
      <c r="G1451" s="9" t="str">
        <f ca="1">IFERROR(__xludf.DUMMYFUNCTION("""COMPUTED_VALUE"""),"1 USD = 154.6208 PKR")</f>
        <v>1 USD = 154.6208 PKR</v>
      </c>
      <c r="H1451" s="9" t="str">
        <f ca="1">IFERROR(__xludf.DUMMYFUNCTION("""COMPUTED_VALUE"""),"USD PKR rate for 26/01/2020")</f>
        <v>USD PKR rate for 26/01/2020</v>
      </c>
      <c r="I1451" s="9"/>
    </row>
    <row r="1452" spans="1:9" ht="14.25" customHeight="1" x14ac:dyDescent="0.3">
      <c r="A1452" s="6">
        <v>41169</v>
      </c>
      <c r="B1452" s="7">
        <v>94.439800000000005</v>
      </c>
      <c r="C1452" s="8">
        <f t="shared" si="11"/>
        <v>102.37696231251527</v>
      </c>
      <c r="D1452" s="9">
        <f t="shared" si="10"/>
        <v>65.710724967173377</v>
      </c>
      <c r="E1452" s="9"/>
      <c r="F1452" s="9">
        <f ca="1">IFERROR(__xludf.DUMMYFUNCTION("""COMPUTED_VALUE"""),43855)</f>
        <v>43855</v>
      </c>
      <c r="G1452" s="9" t="str">
        <f ca="1">IFERROR(__xludf.DUMMYFUNCTION("""COMPUTED_VALUE"""),"1 USD = 154.6268 PKR")</f>
        <v>1 USD = 154.6268 PKR</v>
      </c>
      <c r="H1452" s="9" t="str">
        <f ca="1">IFERROR(__xludf.DUMMYFUNCTION("""COMPUTED_VALUE"""),"USD PKR rate for 25/01/2020")</f>
        <v>USD PKR rate for 25/01/2020</v>
      </c>
      <c r="I1452" s="9"/>
    </row>
    <row r="1453" spans="1:9" ht="14.25" customHeight="1" x14ac:dyDescent="0.3">
      <c r="A1453" s="6">
        <v>41170</v>
      </c>
      <c r="B1453" s="7">
        <v>94.595399999999998</v>
      </c>
      <c r="C1453" s="8">
        <f t="shared" si="11"/>
        <v>102.39527240851008</v>
      </c>
      <c r="D1453" s="9">
        <f t="shared" si="10"/>
        <v>65.713462799970642</v>
      </c>
      <c r="E1453" s="9"/>
      <c r="F1453" s="9">
        <f ca="1">IFERROR(__xludf.DUMMYFUNCTION("""COMPUTED_VALUE"""),43854)</f>
        <v>43854</v>
      </c>
      <c r="G1453" s="9" t="str">
        <f ca="1">IFERROR(__xludf.DUMMYFUNCTION("""COMPUTED_VALUE"""),"1 USD = 154.6268 PKR")</f>
        <v>1 USD = 154.6268 PKR</v>
      </c>
      <c r="H1453" s="9" t="str">
        <f ca="1">IFERROR(__xludf.DUMMYFUNCTION("""COMPUTED_VALUE"""),"USD PKR rate for 24/01/2020")</f>
        <v>USD PKR rate for 24/01/2020</v>
      </c>
      <c r="I1453" s="9"/>
    </row>
    <row r="1454" spans="1:9" ht="14.25" customHeight="1" x14ac:dyDescent="0.3">
      <c r="A1454" s="6">
        <v>41171</v>
      </c>
      <c r="B1454" s="7">
        <v>94.545300000000012</v>
      </c>
      <c r="C1454" s="8">
        <f t="shared" si="11"/>
        <v>102.41358577926133</v>
      </c>
      <c r="D1454" s="9">
        <f t="shared" si="10"/>
        <v>65.716200632767908</v>
      </c>
      <c r="E1454" s="9"/>
      <c r="F1454" s="9">
        <f ca="1">IFERROR(__xludf.DUMMYFUNCTION("""COMPUTED_VALUE"""),43853)</f>
        <v>43853</v>
      </c>
      <c r="G1454" s="9" t="str">
        <f ca="1">IFERROR(__xludf.DUMMYFUNCTION("""COMPUTED_VALUE"""),"1 USD = 154.6822 PKR")</f>
        <v>1 USD = 154.6822 PKR</v>
      </c>
      <c r="H1454" s="9" t="str">
        <f ca="1">IFERROR(__xludf.DUMMYFUNCTION("""COMPUTED_VALUE"""),"USD PKR rate for 23/01/2020")</f>
        <v>USD PKR rate for 23/01/2020</v>
      </c>
      <c r="I1454" s="9"/>
    </row>
    <row r="1455" spans="1:9" ht="14.25" customHeight="1" x14ac:dyDescent="0.3">
      <c r="A1455" s="6">
        <v>41172</v>
      </c>
      <c r="B1455" s="7">
        <v>94.453400000000016</v>
      </c>
      <c r="C1455" s="8">
        <f t="shared" si="11"/>
        <v>102.43190242535468</v>
      </c>
      <c r="D1455" s="9">
        <f t="shared" si="10"/>
        <v>65.718938465565174</v>
      </c>
      <c r="E1455" s="9"/>
      <c r="F1455" s="9">
        <f ca="1">IFERROR(__xludf.DUMMYFUNCTION("""COMPUTED_VALUE"""),43852)</f>
        <v>43852</v>
      </c>
      <c r="G1455" s="9" t="str">
        <f ca="1">IFERROR(__xludf.DUMMYFUNCTION("""COMPUTED_VALUE"""),"1 USD = 154.5665 PKR")</f>
        <v>1 USD = 154.5665 PKR</v>
      </c>
      <c r="H1455" s="9" t="str">
        <f ca="1">IFERROR(__xludf.DUMMYFUNCTION("""COMPUTED_VALUE"""),"USD PKR rate for 22/01/2020")</f>
        <v>USD PKR rate for 22/01/2020</v>
      </c>
      <c r="I1455" s="9"/>
    </row>
    <row r="1456" spans="1:9" ht="14.25" customHeight="1" x14ac:dyDescent="0.3">
      <c r="A1456" s="6">
        <v>41173</v>
      </c>
      <c r="B1456" s="7">
        <v>94.728700000000003</v>
      </c>
      <c r="C1456" s="8">
        <f t="shared" si="11"/>
        <v>102.45022234737594</v>
      </c>
      <c r="D1456" s="9">
        <f t="shared" si="10"/>
        <v>65.721676298362439</v>
      </c>
      <c r="E1456" s="9"/>
      <c r="F1456" s="9">
        <f ca="1">IFERROR(__xludf.DUMMYFUNCTION("""COMPUTED_VALUE"""),43851)</f>
        <v>43851</v>
      </c>
      <c r="G1456" s="9" t="str">
        <f ca="1">IFERROR(__xludf.DUMMYFUNCTION("""COMPUTED_VALUE"""),"1 USD = 154.6203 PKR")</f>
        <v>1 USD = 154.6203 PKR</v>
      </c>
      <c r="H1456" s="9" t="str">
        <f ca="1">IFERROR(__xludf.DUMMYFUNCTION("""COMPUTED_VALUE"""),"USD PKR rate for 21/01/2020")</f>
        <v>USD PKR rate for 21/01/2020</v>
      </c>
      <c r="I1456" s="9"/>
    </row>
    <row r="1457" spans="1:9" ht="14.25" customHeight="1" x14ac:dyDescent="0.3">
      <c r="A1457" s="6">
        <v>41174</v>
      </c>
      <c r="B1457" s="7">
        <v>94.725099999999998</v>
      </c>
      <c r="C1457" s="8">
        <f t="shared" si="11"/>
        <v>102.46854554591091</v>
      </c>
      <c r="D1457" s="9">
        <f t="shared" si="10"/>
        <v>65.724414131159705</v>
      </c>
      <c r="E1457" s="9"/>
      <c r="F1457" s="9">
        <f ca="1">IFERROR(__xludf.DUMMYFUNCTION("""COMPUTED_VALUE"""),43850)</f>
        <v>43850</v>
      </c>
      <c r="G1457" s="9" t="str">
        <f ca="1">IFERROR(__xludf.DUMMYFUNCTION("""COMPUTED_VALUE"""),"1 USD = 154.6789 PKR")</f>
        <v>1 USD = 154.6789 PKR</v>
      </c>
      <c r="H1457" s="9" t="str">
        <f ca="1">IFERROR(__xludf.DUMMYFUNCTION("""COMPUTED_VALUE"""),"USD PKR rate for 20/01/2020")</f>
        <v>USD PKR rate for 20/01/2020</v>
      </c>
      <c r="I1457" s="9"/>
    </row>
    <row r="1458" spans="1:9" ht="14.25" customHeight="1" x14ac:dyDescent="0.3">
      <c r="A1458" s="6">
        <v>41175</v>
      </c>
      <c r="B1458" s="7">
        <v>94.660899999999998</v>
      </c>
      <c r="C1458" s="8">
        <f t="shared" si="11"/>
        <v>102.48687202154581</v>
      </c>
      <c r="D1458" s="9">
        <f t="shared" si="10"/>
        <v>65.72715196395697</v>
      </c>
      <c r="E1458" s="9"/>
      <c r="F1458" s="9">
        <f ca="1">IFERROR(__xludf.DUMMYFUNCTION("""COMPUTED_VALUE"""),43849)</f>
        <v>43849</v>
      </c>
      <c r="G1458" s="9" t="str">
        <f ca="1">IFERROR(__xludf.DUMMYFUNCTION("""COMPUTED_VALUE"""),"1 USD = 154.6041 PKR")</f>
        <v>1 USD = 154.6041 PKR</v>
      </c>
      <c r="H1458" s="9" t="str">
        <f ca="1">IFERROR(__xludf.DUMMYFUNCTION("""COMPUTED_VALUE"""),"USD PKR rate for 19/01/2020")</f>
        <v>USD PKR rate for 19/01/2020</v>
      </c>
      <c r="I1458" s="9"/>
    </row>
    <row r="1459" spans="1:9" ht="14.25" customHeight="1" x14ac:dyDescent="0.3">
      <c r="A1459" s="6">
        <v>41176</v>
      </c>
      <c r="B1459" s="7">
        <v>94.700900000000004</v>
      </c>
      <c r="C1459" s="8">
        <f t="shared" si="11"/>
        <v>102.50520177486661</v>
      </c>
      <c r="D1459" s="9">
        <f t="shared" si="10"/>
        <v>65.729889796754236</v>
      </c>
      <c r="E1459" s="9"/>
      <c r="F1459" s="9">
        <f ca="1">IFERROR(__xludf.DUMMYFUNCTION("""COMPUTED_VALUE"""),43848)</f>
        <v>43848</v>
      </c>
      <c r="G1459" s="9" t="str">
        <f ca="1">IFERROR(__xludf.DUMMYFUNCTION("""COMPUTED_VALUE"""),"1 USD = 154.5934 PKR")</f>
        <v>1 USD = 154.5934 PKR</v>
      </c>
      <c r="H1459" s="9" t="str">
        <f ca="1">IFERROR(__xludf.DUMMYFUNCTION("""COMPUTED_VALUE"""),"USD PKR rate for 18/01/2020")</f>
        <v>USD PKR rate for 18/01/2020</v>
      </c>
      <c r="I1459" s="9"/>
    </row>
    <row r="1460" spans="1:9" ht="14.25" customHeight="1" x14ac:dyDescent="0.3">
      <c r="A1460" s="6">
        <v>41177</v>
      </c>
      <c r="B1460" s="7">
        <v>94.575400000000016</v>
      </c>
      <c r="C1460" s="8">
        <f t="shared" si="11"/>
        <v>102.52353480645955</v>
      </c>
      <c r="D1460" s="9">
        <f t="shared" si="10"/>
        <v>65.732627629551502</v>
      </c>
      <c r="E1460" s="9"/>
      <c r="F1460" s="9">
        <f ca="1">IFERROR(__xludf.DUMMYFUNCTION("""COMPUTED_VALUE"""),43847)</f>
        <v>43847</v>
      </c>
      <c r="G1460" s="9" t="str">
        <f ca="1">IFERROR(__xludf.DUMMYFUNCTION("""COMPUTED_VALUE"""),"1 USD = 154.5934 PKR")</f>
        <v>1 USD = 154.5934 PKR</v>
      </c>
      <c r="H1460" s="9" t="str">
        <f ca="1">IFERROR(__xludf.DUMMYFUNCTION("""COMPUTED_VALUE"""),"USD PKR rate for 17/01/2020")</f>
        <v>USD PKR rate for 17/01/2020</v>
      </c>
      <c r="I1460" s="9"/>
    </row>
    <row r="1461" spans="1:9" ht="14.25" customHeight="1" x14ac:dyDescent="0.3">
      <c r="A1461" s="6">
        <v>41178</v>
      </c>
      <c r="B1461" s="7">
        <v>94.787700000000001</v>
      </c>
      <c r="C1461" s="8">
        <f t="shared" si="11"/>
        <v>102.54187111691095</v>
      </c>
      <c r="D1461" s="9">
        <f t="shared" si="10"/>
        <v>65.735365462348767</v>
      </c>
      <c r="E1461" s="9"/>
      <c r="F1461" s="9">
        <f ca="1">IFERROR(__xludf.DUMMYFUNCTION("""COMPUTED_VALUE"""),43846)</f>
        <v>43846</v>
      </c>
      <c r="G1461" s="9" t="str">
        <f ca="1">IFERROR(__xludf.DUMMYFUNCTION("""COMPUTED_VALUE"""),"1 USD = 154.674 PKR")</f>
        <v>1 USD = 154.674 PKR</v>
      </c>
      <c r="H1461" s="9" t="str">
        <f ca="1">IFERROR(__xludf.DUMMYFUNCTION("""COMPUTED_VALUE"""),"USD PKR rate for 16/01/2020")</f>
        <v>USD PKR rate for 16/01/2020</v>
      </c>
      <c r="I1461" s="9"/>
    </row>
    <row r="1462" spans="1:9" ht="14.25" customHeight="1" x14ac:dyDescent="0.3">
      <c r="A1462" s="6">
        <v>41179</v>
      </c>
      <c r="B1462" s="7">
        <v>94.785799999999995</v>
      </c>
      <c r="C1462" s="8">
        <f t="shared" si="11"/>
        <v>102.56021070680721</v>
      </c>
      <c r="D1462" s="9">
        <f t="shared" si="10"/>
        <v>65.738103295146033</v>
      </c>
      <c r="E1462" s="9"/>
      <c r="F1462" s="9">
        <f ca="1">IFERROR(__xludf.DUMMYFUNCTION("""COMPUTED_VALUE"""),43845)</f>
        <v>43845</v>
      </c>
      <c r="G1462" s="9" t="str">
        <f ca="1">IFERROR(__xludf.DUMMYFUNCTION("""COMPUTED_VALUE"""),"1 USD = 154.7552 PKR")</f>
        <v>1 USD = 154.7552 PKR</v>
      </c>
      <c r="H1462" s="9" t="str">
        <f ca="1">IFERROR(__xludf.DUMMYFUNCTION("""COMPUTED_VALUE"""),"USD PKR rate for 15/01/2020")</f>
        <v>USD PKR rate for 15/01/2020</v>
      </c>
      <c r="I1462" s="9"/>
    </row>
    <row r="1463" spans="1:9" ht="14.25" customHeight="1" x14ac:dyDescent="0.3">
      <c r="A1463" s="6">
        <v>41180</v>
      </c>
      <c r="B1463" s="7">
        <v>94.839699999999993</v>
      </c>
      <c r="C1463" s="8">
        <f t="shared" si="11"/>
        <v>102.57855357673489</v>
      </c>
      <c r="D1463" s="9">
        <f t="shared" si="10"/>
        <v>65.740841127943298</v>
      </c>
      <c r="E1463" s="9"/>
      <c r="F1463" s="9">
        <f ca="1">IFERROR(__xludf.DUMMYFUNCTION("""COMPUTED_VALUE"""),43844)</f>
        <v>43844</v>
      </c>
      <c r="G1463" s="9" t="str">
        <f ca="1">IFERROR(__xludf.DUMMYFUNCTION("""COMPUTED_VALUE"""),"1 USD = 154.8747 PKR")</f>
        <v>1 USD = 154.8747 PKR</v>
      </c>
      <c r="H1463" s="9" t="str">
        <f ca="1">IFERROR(__xludf.DUMMYFUNCTION("""COMPUTED_VALUE"""),"USD PKR rate for 14/01/2020")</f>
        <v>USD PKR rate for 14/01/2020</v>
      </c>
      <c r="I1463" s="9"/>
    </row>
    <row r="1464" spans="1:9" ht="14.25" customHeight="1" x14ac:dyDescent="0.3">
      <c r="A1464" s="6">
        <v>41181</v>
      </c>
      <c r="B1464" s="7">
        <v>94.839699999999993</v>
      </c>
      <c r="C1464" s="8">
        <f t="shared" si="11"/>
        <v>102.5968997272806</v>
      </c>
      <c r="D1464" s="9">
        <f t="shared" si="10"/>
        <v>65.743578960740564</v>
      </c>
      <c r="E1464" s="9"/>
      <c r="F1464" s="9">
        <f ca="1">IFERROR(__xludf.DUMMYFUNCTION("""COMPUTED_VALUE"""),43843)</f>
        <v>43843</v>
      </c>
      <c r="G1464" s="9" t="str">
        <f ca="1">IFERROR(__xludf.DUMMYFUNCTION("""COMPUTED_VALUE"""),"1 USD = 154.8571 PKR")</f>
        <v>1 USD = 154.8571 PKR</v>
      </c>
      <c r="H1464" s="9" t="str">
        <f ca="1">IFERROR(__xludf.DUMMYFUNCTION("""COMPUTED_VALUE"""),"USD PKR rate for 13/01/2020")</f>
        <v>USD PKR rate for 13/01/2020</v>
      </c>
      <c r="I1464" s="9"/>
    </row>
    <row r="1465" spans="1:9" ht="14.25" customHeight="1" x14ac:dyDescent="0.3">
      <c r="A1465" s="6">
        <v>41182</v>
      </c>
      <c r="B1465" s="7">
        <v>95.010199999999998</v>
      </c>
      <c r="C1465" s="8">
        <f t="shared" si="11"/>
        <v>102.61524915903111</v>
      </c>
      <c r="D1465" s="9">
        <f t="shared" si="10"/>
        <v>65.746316793537829</v>
      </c>
      <c r="E1465" s="9"/>
      <c r="F1465" s="9">
        <f ca="1">IFERROR(__xludf.DUMMYFUNCTION("""COMPUTED_VALUE"""),43842)</f>
        <v>43842</v>
      </c>
      <c r="G1465" s="9" t="str">
        <f ca="1">IFERROR(__xludf.DUMMYFUNCTION("""COMPUTED_VALUE"""),"1 USD = 154.5898 PKR")</f>
        <v>1 USD = 154.5898 PKR</v>
      </c>
      <c r="H1465" s="9" t="str">
        <f ca="1">IFERROR(__xludf.DUMMYFUNCTION("""COMPUTED_VALUE"""),"USD PKR rate for 12/01/2020")</f>
        <v>USD PKR rate for 12/01/2020</v>
      </c>
      <c r="I1465" s="9"/>
    </row>
    <row r="1466" spans="1:9" ht="14.25" customHeight="1" x14ac:dyDescent="0.3">
      <c r="A1466" s="6">
        <v>41183</v>
      </c>
      <c r="B1466" s="7">
        <v>94.955200000000019</v>
      </c>
      <c r="C1466" s="8">
        <f t="shared" si="11"/>
        <v>102.63360187257311</v>
      </c>
      <c r="D1466" s="9">
        <f t="shared" si="10"/>
        <v>65.749054626335095</v>
      </c>
      <c r="E1466" s="9"/>
      <c r="F1466" s="9">
        <f ca="1">IFERROR(__xludf.DUMMYFUNCTION("""COMPUTED_VALUE"""),43841)</f>
        <v>43841</v>
      </c>
      <c r="G1466" s="9" t="str">
        <f ca="1">IFERROR(__xludf.DUMMYFUNCTION("""COMPUTED_VALUE"""),"1 USD = 154.515 PKR")</f>
        <v>1 USD = 154.515 PKR</v>
      </c>
      <c r="H1466" s="9" t="str">
        <f ca="1">IFERROR(__xludf.DUMMYFUNCTION("""COMPUTED_VALUE"""),"USD PKR rate for 11/01/2020")</f>
        <v>USD PKR rate for 11/01/2020</v>
      </c>
      <c r="I1466" s="9"/>
    </row>
    <row r="1467" spans="1:9" ht="14.25" customHeight="1" x14ac:dyDescent="0.3">
      <c r="A1467" s="6">
        <v>41184</v>
      </c>
      <c r="B1467" s="7">
        <v>94.976299999999995</v>
      </c>
      <c r="C1467" s="8">
        <f t="shared" si="11"/>
        <v>102.6519578684938</v>
      </c>
      <c r="D1467" s="9">
        <f t="shared" si="10"/>
        <v>65.751792459132361</v>
      </c>
      <c r="E1467" s="9"/>
      <c r="F1467" s="9">
        <f ca="1">IFERROR(__xludf.DUMMYFUNCTION("""COMPUTED_VALUE"""),43840)</f>
        <v>43840</v>
      </c>
      <c r="G1467" s="9" t="str">
        <f ca="1">IFERROR(__xludf.DUMMYFUNCTION("""COMPUTED_VALUE"""),"1 USD = 154.8751 PKR")</f>
        <v>1 USD = 154.8751 PKR</v>
      </c>
      <c r="H1467" s="9" t="str">
        <f ca="1">IFERROR(__xludf.DUMMYFUNCTION("""COMPUTED_VALUE"""),"USD PKR rate for 10/01/2020")</f>
        <v>USD PKR rate for 10/01/2020</v>
      </c>
      <c r="I1467" s="9"/>
    </row>
    <row r="1468" spans="1:9" ht="14.25" customHeight="1" x14ac:dyDescent="0.3">
      <c r="A1468" s="6">
        <v>41185</v>
      </c>
      <c r="B1468" s="7">
        <v>95.132500000000007</v>
      </c>
      <c r="C1468" s="8">
        <f t="shared" si="11"/>
        <v>102.67031714738009</v>
      </c>
      <c r="D1468" s="9">
        <f t="shared" si="10"/>
        <v>65.754530291929626</v>
      </c>
      <c r="E1468" s="9"/>
      <c r="F1468" s="9">
        <f ca="1">IFERROR(__xludf.DUMMYFUNCTION("""COMPUTED_VALUE"""),43839)</f>
        <v>43839</v>
      </c>
      <c r="G1468" s="9" t="str">
        <f ca="1">IFERROR(__xludf.DUMMYFUNCTION("""COMPUTED_VALUE"""),"1 USD = 154.6968 PKR")</f>
        <v>1 USD = 154.6968 PKR</v>
      </c>
      <c r="H1468" s="9" t="str">
        <f ca="1">IFERROR(__xludf.DUMMYFUNCTION("""COMPUTED_VALUE"""),"USD PKR rate for 09/01/2020")</f>
        <v>USD PKR rate for 09/01/2020</v>
      </c>
      <c r="I1468" s="9"/>
    </row>
    <row r="1469" spans="1:9" ht="14.25" customHeight="1" x14ac:dyDescent="0.3">
      <c r="A1469" s="6">
        <v>41186</v>
      </c>
      <c r="B1469" s="7">
        <v>95.463000000000008</v>
      </c>
      <c r="C1469" s="8">
        <f t="shared" si="11"/>
        <v>102.68867970981916</v>
      </c>
      <c r="D1469" s="9">
        <f t="shared" si="10"/>
        <v>65.757268124726892</v>
      </c>
      <c r="E1469" s="9"/>
      <c r="F1469" s="9">
        <f ca="1">IFERROR(__xludf.DUMMYFUNCTION("""COMPUTED_VALUE"""),43838)</f>
        <v>43838</v>
      </c>
      <c r="G1469" s="9" t="str">
        <f ca="1">IFERROR(__xludf.DUMMYFUNCTION("""COMPUTED_VALUE"""),"1 USD = 154.8982 PKR")</f>
        <v>1 USD = 154.8982 PKR</v>
      </c>
      <c r="H1469" s="9" t="str">
        <f ca="1">IFERROR(__xludf.DUMMYFUNCTION("""COMPUTED_VALUE"""),"USD PKR rate for 08/01/2020")</f>
        <v>USD PKR rate for 08/01/2020</v>
      </c>
      <c r="I1469" s="9"/>
    </row>
    <row r="1470" spans="1:9" ht="14.25" customHeight="1" x14ac:dyDescent="0.3">
      <c r="A1470" s="6">
        <v>41187</v>
      </c>
      <c r="B1470" s="7">
        <v>95.562600000000003</v>
      </c>
      <c r="C1470" s="8">
        <f t="shared" si="11"/>
        <v>102.70704555639827</v>
      </c>
      <c r="D1470" s="9">
        <f t="shared" si="10"/>
        <v>65.760005957524157</v>
      </c>
      <c r="E1470" s="9"/>
      <c r="F1470" s="9">
        <f ca="1">IFERROR(__xludf.DUMMYFUNCTION("""COMPUTED_VALUE"""),43837)</f>
        <v>43837</v>
      </c>
      <c r="G1470" s="9" t="str">
        <f ca="1">IFERROR(__xludf.DUMMYFUNCTION("""COMPUTED_VALUE"""),"1 USD = 155.0149 PKR")</f>
        <v>1 USD = 155.0149 PKR</v>
      </c>
      <c r="H1470" s="9" t="str">
        <f ca="1">IFERROR(__xludf.DUMMYFUNCTION("""COMPUTED_VALUE"""),"USD PKR rate for 07/01/2020")</f>
        <v>USD PKR rate for 07/01/2020</v>
      </c>
      <c r="I1470" s="9"/>
    </row>
    <row r="1471" spans="1:9" ht="14.25" customHeight="1" x14ac:dyDescent="0.3">
      <c r="A1471" s="6">
        <v>41188</v>
      </c>
      <c r="B1471" s="7">
        <v>95.4953</v>
      </c>
      <c r="C1471" s="8">
        <f t="shared" si="11"/>
        <v>102.72541468770478</v>
      </c>
      <c r="D1471" s="9">
        <f t="shared" si="10"/>
        <v>65.762743790321423</v>
      </c>
      <c r="E1471" s="9"/>
      <c r="F1471" s="9">
        <f ca="1">IFERROR(__xludf.DUMMYFUNCTION("""COMPUTED_VALUE"""),43836)</f>
        <v>43836</v>
      </c>
      <c r="G1471" s="9" t="str">
        <f ca="1">IFERROR(__xludf.DUMMYFUNCTION("""COMPUTED_VALUE"""),"1 USD = 155.0755 PKR")</f>
        <v>1 USD = 155.0755 PKR</v>
      </c>
      <c r="H1471" s="9" t="str">
        <f ca="1">IFERROR(__xludf.DUMMYFUNCTION("""COMPUTED_VALUE"""),"USD PKR rate for 06/01/2020")</f>
        <v>USD PKR rate for 06/01/2020</v>
      </c>
      <c r="I1471" s="9"/>
    </row>
    <row r="1472" spans="1:9" ht="14.25" customHeight="1" x14ac:dyDescent="0.3">
      <c r="A1472" s="6">
        <v>41189</v>
      </c>
      <c r="B1472" s="7">
        <v>95.477500000000006</v>
      </c>
      <c r="C1472" s="8">
        <f t="shared" si="11"/>
        <v>102.74378710432617</v>
      </c>
      <c r="D1472" s="9">
        <f t="shared" si="10"/>
        <v>65.765481623118689</v>
      </c>
      <c r="E1472" s="9"/>
      <c r="F1472" s="9">
        <f ca="1">IFERROR(__xludf.DUMMYFUNCTION("""COMPUTED_VALUE"""),43835)</f>
        <v>43835</v>
      </c>
      <c r="G1472" s="9" t="str">
        <f ca="1">IFERROR(__xludf.DUMMYFUNCTION("""COMPUTED_VALUE"""),"1 USD = 154.8891 PKR")</f>
        <v>1 USD = 154.8891 PKR</v>
      </c>
      <c r="H1472" s="9" t="str">
        <f ca="1">IFERROR(__xludf.DUMMYFUNCTION("""COMPUTED_VALUE"""),"USD PKR rate for 05/01/2020")</f>
        <v>USD PKR rate for 05/01/2020</v>
      </c>
      <c r="I1472" s="9"/>
    </row>
    <row r="1473" spans="1:9" ht="14.25" customHeight="1" x14ac:dyDescent="0.3">
      <c r="A1473" s="6">
        <v>41190</v>
      </c>
      <c r="B1473" s="7">
        <v>95.482699999999994</v>
      </c>
      <c r="C1473" s="8">
        <f t="shared" si="11"/>
        <v>102.76216280685003</v>
      </c>
      <c r="D1473" s="9">
        <f t="shared" si="10"/>
        <v>65.768219455915954</v>
      </c>
      <c r="E1473" s="9"/>
      <c r="F1473" s="9">
        <f ca="1">IFERROR(__xludf.DUMMYFUNCTION("""COMPUTED_VALUE"""),43834)</f>
        <v>43834</v>
      </c>
      <c r="G1473" s="9" t="str">
        <f ca="1">IFERROR(__xludf.DUMMYFUNCTION("""COMPUTED_VALUE"""),"1 USD = 154.894 PKR")</f>
        <v>1 USD = 154.894 PKR</v>
      </c>
      <c r="H1473" s="9" t="str">
        <f ca="1">IFERROR(__xludf.DUMMYFUNCTION("""COMPUTED_VALUE"""),"USD PKR rate for 04/01/2020")</f>
        <v>USD PKR rate for 04/01/2020</v>
      </c>
      <c r="I1473" s="9"/>
    </row>
    <row r="1474" spans="1:9" ht="14.25" customHeight="1" x14ac:dyDescent="0.3">
      <c r="A1474" s="6">
        <v>41191</v>
      </c>
      <c r="B1474" s="7">
        <v>95.6233</v>
      </c>
      <c r="C1474" s="8">
        <f t="shared" si="11"/>
        <v>102.78054179586402</v>
      </c>
      <c r="D1474" s="9">
        <f t="shared" si="10"/>
        <v>65.77095728871322</v>
      </c>
      <c r="E1474" s="9"/>
      <c r="F1474" s="9">
        <f ca="1">IFERROR(__xludf.DUMMYFUNCTION("""COMPUTED_VALUE"""),43833)</f>
        <v>43833</v>
      </c>
      <c r="G1474" s="9" t="str">
        <f ca="1">IFERROR(__xludf.DUMMYFUNCTION("""COMPUTED_VALUE"""),"1 USD = 154.894 PKR")</f>
        <v>1 USD = 154.894 PKR</v>
      </c>
      <c r="H1474" s="9" t="str">
        <f ca="1">IFERROR(__xludf.DUMMYFUNCTION("""COMPUTED_VALUE"""),"USD PKR rate for 03/01/2020")</f>
        <v>USD PKR rate for 03/01/2020</v>
      </c>
      <c r="I1474" s="9"/>
    </row>
    <row r="1475" spans="1:9" ht="14.25" customHeight="1" x14ac:dyDescent="0.3">
      <c r="A1475" s="6">
        <v>41192</v>
      </c>
      <c r="B1475" s="7">
        <v>95.442999999999998</v>
      </c>
      <c r="C1475" s="8">
        <f t="shared" si="11"/>
        <v>102.79892407195584</v>
      </c>
      <c r="D1475" s="9">
        <f t="shared" si="10"/>
        <v>65.773695121510485</v>
      </c>
      <c r="E1475" s="9"/>
      <c r="F1475" s="9">
        <f ca="1">IFERROR(__xludf.DUMMYFUNCTION("""COMPUTED_VALUE"""),43832)</f>
        <v>43832</v>
      </c>
      <c r="G1475" s="9" t="str">
        <f ca="1">IFERROR(__xludf.DUMMYFUNCTION("""COMPUTED_VALUE"""),"1 USD = 154.8376 PKR")</f>
        <v>1 USD = 154.8376 PKR</v>
      </c>
      <c r="H1475" s="9" t="str">
        <f ca="1">IFERROR(__xludf.DUMMYFUNCTION("""COMPUTED_VALUE"""),"USD PKR rate for 02/01/2020")</f>
        <v>USD PKR rate for 02/01/2020</v>
      </c>
      <c r="I1475" s="9"/>
    </row>
    <row r="1476" spans="1:9" ht="14.25" customHeight="1" x14ac:dyDescent="0.3">
      <c r="A1476" s="6">
        <v>41193</v>
      </c>
      <c r="B1476" s="7">
        <v>95.5732</v>
      </c>
      <c r="C1476" s="8">
        <f t="shared" si="11"/>
        <v>102.81730963571357</v>
      </c>
      <c r="D1476" s="9">
        <f t="shared" si="10"/>
        <v>65.776432954307751</v>
      </c>
      <c r="E1476" s="9"/>
      <c r="F1476" s="9">
        <f ca="1">IFERROR(__xludf.DUMMYFUNCTION("""COMPUTED_VALUE"""),43831)</f>
        <v>43831</v>
      </c>
      <c r="G1476" s="9" t="str">
        <f ca="1">IFERROR(__xludf.DUMMYFUNCTION("""COMPUTED_VALUE"""),"1 USD = 155.6624 PKR")</f>
        <v>1 USD = 155.6624 PKR</v>
      </c>
      <c r="H1476" s="9" t="str">
        <f ca="1">IFERROR(__xludf.DUMMYFUNCTION("""COMPUTED_VALUE"""),"USD PKR rate for 01/01/2020")</f>
        <v>USD PKR rate for 01/01/2020</v>
      </c>
      <c r="I1476" s="9"/>
    </row>
    <row r="1477" spans="1:9" ht="14.25" customHeight="1" x14ac:dyDescent="0.3">
      <c r="A1477" s="6">
        <v>41194</v>
      </c>
      <c r="B1477" s="7">
        <v>95.561600000000013</v>
      </c>
      <c r="C1477" s="8">
        <f t="shared" si="11"/>
        <v>102.83569848772515</v>
      </c>
      <c r="D1477" s="9">
        <f t="shared" si="10"/>
        <v>65.779170787105016</v>
      </c>
      <c r="E1477" s="9"/>
      <c r="F1477" s="9">
        <f ca="1">IFERROR(__xludf.DUMMYFUNCTION("""COMPUTED_VALUE"""),43830)</f>
        <v>43830</v>
      </c>
      <c r="G1477" s="9" t="str">
        <f ca="1">IFERROR(__xludf.DUMMYFUNCTION("""COMPUTED_VALUE"""),"1 USD = 154.8788 PKR")</f>
        <v>1 USD = 154.8788 PKR</v>
      </c>
      <c r="H1477" s="9" t="str">
        <f ca="1">IFERROR(__xludf.DUMMYFUNCTION("""COMPUTED_VALUE"""),"USD PKR rate for 31/12/2019")</f>
        <v>USD PKR rate for 31/12/2019</v>
      </c>
      <c r="I1477" s="9"/>
    </row>
    <row r="1478" spans="1:9" ht="14.25" customHeight="1" x14ac:dyDescent="0.3">
      <c r="A1478" s="6">
        <v>41195</v>
      </c>
      <c r="B1478" s="7">
        <v>95.563400000000001</v>
      </c>
      <c r="C1478" s="8">
        <f t="shared" si="11"/>
        <v>102.85409062857862</v>
      </c>
      <c r="D1478" s="9">
        <f t="shared" si="10"/>
        <v>65.781908619902282</v>
      </c>
      <c r="E1478" s="9"/>
      <c r="F1478" s="9">
        <f ca="1">IFERROR(__xludf.DUMMYFUNCTION("""COMPUTED_VALUE"""),43829)</f>
        <v>43829</v>
      </c>
      <c r="G1478" s="9" t="str">
        <f ca="1">IFERROR(__xludf.DUMMYFUNCTION("""COMPUTED_VALUE"""),"1 USD = 154.8875 PKR")</f>
        <v>1 USD = 154.8875 PKR</v>
      </c>
      <c r="H1478" s="9" t="str">
        <f ca="1">IFERROR(__xludf.DUMMYFUNCTION("""COMPUTED_VALUE"""),"USD PKR rate for 30/12/2019")</f>
        <v>USD PKR rate for 30/12/2019</v>
      </c>
      <c r="I1478" s="9"/>
    </row>
    <row r="1479" spans="1:9" ht="14.25" customHeight="1" x14ac:dyDescent="0.3">
      <c r="A1479" s="6">
        <v>41196</v>
      </c>
      <c r="B1479" s="7">
        <v>95.578500000000005</v>
      </c>
      <c r="C1479" s="8">
        <f t="shared" si="11"/>
        <v>102.87248605886224</v>
      </c>
      <c r="D1479" s="9">
        <f t="shared" si="10"/>
        <v>65.784646452699548</v>
      </c>
      <c r="E1479" s="9"/>
      <c r="F1479" s="9">
        <f ca="1">IFERROR(__xludf.DUMMYFUNCTION("""COMPUTED_VALUE"""),43828)</f>
        <v>43828</v>
      </c>
      <c r="G1479" s="9" t="str">
        <f ca="1">IFERROR(__xludf.DUMMYFUNCTION("""COMPUTED_VALUE"""),"1 USD = 154.8712 PKR")</f>
        <v>1 USD = 154.8712 PKR</v>
      </c>
      <c r="H1479" s="9" t="str">
        <f ca="1">IFERROR(__xludf.DUMMYFUNCTION("""COMPUTED_VALUE"""),"USD PKR rate for 29/12/2019")</f>
        <v>USD PKR rate for 29/12/2019</v>
      </c>
      <c r="I1479" s="9"/>
    </row>
    <row r="1480" spans="1:9" ht="14.25" customHeight="1" x14ac:dyDescent="0.3">
      <c r="A1480" s="6">
        <v>41197</v>
      </c>
      <c r="B1480" s="7">
        <v>95.451000000000008</v>
      </c>
      <c r="C1480" s="8">
        <f t="shared" si="11"/>
        <v>102.8908847791643</v>
      </c>
      <c r="D1480" s="9">
        <f t="shared" si="10"/>
        <v>65.787384285496813</v>
      </c>
      <c r="E1480" s="9"/>
      <c r="F1480" s="9">
        <f ca="1">IFERROR(__xludf.DUMMYFUNCTION("""COMPUTED_VALUE"""),43827)</f>
        <v>43827</v>
      </c>
      <c r="G1480" s="9" t="str">
        <f ca="1">IFERROR(__xludf.DUMMYFUNCTION("""COMPUTED_VALUE"""),"1 USD = 154.85 PKR")</f>
        <v>1 USD = 154.85 PKR</v>
      </c>
      <c r="H1480" s="9" t="str">
        <f ca="1">IFERROR(__xludf.DUMMYFUNCTION("""COMPUTED_VALUE"""),"USD PKR rate for 28/12/2019")</f>
        <v>USD PKR rate for 28/12/2019</v>
      </c>
      <c r="I1480" s="9"/>
    </row>
    <row r="1481" spans="1:9" ht="14.25" customHeight="1" x14ac:dyDescent="0.3">
      <c r="A1481" s="6">
        <v>41198</v>
      </c>
      <c r="B1481" s="7">
        <v>95.1858</v>
      </c>
      <c r="C1481" s="8">
        <f t="shared" si="11"/>
        <v>102.90928679007321</v>
      </c>
      <c r="D1481" s="9">
        <f t="shared" si="10"/>
        <v>65.790122118294079</v>
      </c>
      <c r="E1481" s="9"/>
      <c r="F1481" s="9">
        <f ca="1">IFERROR(__xludf.DUMMYFUNCTION("""COMPUTED_VALUE"""),43826)</f>
        <v>43826</v>
      </c>
      <c r="G1481" s="9" t="str">
        <f ca="1">IFERROR(__xludf.DUMMYFUNCTION("""COMPUTED_VALUE"""),"1 USD = 154.85 PKR")</f>
        <v>1 USD = 154.85 PKR</v>
      </c>
      <c r="H1481" s="9" t="str">
        <f ca="1">IFERROR(__xludf.DUMMYFUNCTION("""COMPUTED_VALUE"""),"USD PKR rate for 27/12/2019")</f>
        <v>USD PKR rate for 27/12/2019</v>
      </c>
      <c r="I1481" s="9"/>
    </row>
    <row r="1482" spans="1:9" ht="14.25" customHeight="1" x14ac:dyDescent="0.3">
      <c r="A1482" s="6">
        <v>41199</v>
      </c>
      <c r="B1482" s="7">
        <v>95.461699999999993</v>
      </c>
      <c r="C1482" s="8">
        <f t="shared" si="11"/>
        <v>102.92769209217752</v>
      </c>
      <c r="D1482" s="9">
        <f t="shared" si="10"/>
        <v>65.792859951091344</v>
      </c>
      <c r="E1482" s="9"/>
      <c r="F1482" s="9">
        <f ca="1">IFERROR(__xludf.DUMMYFUNCTION("""COMPUTED_VALUE"""),43825)</f>
        <v>43825</v>
      </c>
      <c r="G1482" s="9" t="str">
        <f ca="1">IFERROR(__xludf.DUMMYFUNCTION("""COMPUTED_VALUE"""),"1 USD = 154.7664 PKR")</f>
        <v>1 USD = 154.7664 PKR</v>
      </c>
      <c r="H1482" s="9" t="str">
        <f ca="1">IFERROR(__xludf.DUMMYFUNCTION("""COMPUTED_VALUE"""),"USD PKR rate for 26/12/2019")</f>
        <v>USD PKR rate for 26/12/2019</v>
      </c>
      <c r="I1482" s="9"/>
    </row>
    <row r="1483" spans="1:9" ht="14.25" customHeight="1" x14ac:dyDescent="0.3">
      <c r="A1483" s="6">
        <v>41200</v>
      </c>
      <c r="B1483" s="7">
        <v>95.545400000000001</v>
      </c>
      <c r="C1483" s="8">
        <f t="shared" si="11"/>
        <v>102.94610068606585</v>
      </c>
      <c r="D1483" s="9">
        <f t="shared" si="10"/>
        <v>65.79559778388861</v>
      </c>
      <c r="E1483" s="9"/>
      <c r="F1483" s="9">
        <f ca="1">IFERROR(__xludf.DUMMYFUNCTION("""COMPUTED_VALUE"""),43824)</f>
        <v>43824</v>
      </c>
      <c r="G1483" s="9" t="str">
        <f ca="1">IFERROR(__xludf.DUMMYFUNCTION("""COMPUTED_VALUE"""),"1 USD = 154.7581 PKR")</f>
        <v>1 USD = 154.7581 PKR</v>
      </c>
      <c r="H1483" s="9" t="str">
        <f ca="1">IFERROR(__xludf.DUMMYFUNCTION("""COMPUTED_VALUE"""),"USD PKR rate for 25/12/2019")</f>
        <v>USD PKR rate for 25/12/2019</v>
      </c>
      <c r="I1483" s="9"/>
    </row>
    <row r="1484" spans="1:9" ht="14.25" customHeight="1" x14ac:dyDescent="0.3">
      <c r="A1484" s="6">
        <v>41201</v>
      </c>
      <c r="B1484" s="7">
        <v>95.517600000000002</v>
      </c>
      <c r="C1484" s="8">
        <f t="shared" si="11"/>
        <v>102.96451257232683</v>
      </c>
      <c r="D1484" s="9">
        <f t="shared" si="10"/>
        <v>65.798335616685875</v>
      </c>
      <c r="E1484" s="9"/>
      <c r="F1484" s="9">
        <f ca="1">IFERROR(__xludf.DUMMYFUNCTION("""COMPUTED_VALUE"""),43823)</f>
        <v>43823</v>
      </c>
      <c r="G1484" s="9" t="str">
        <f ca="1">IFERROR(__xludf.DUMMYFUNCTION("""COMPUTED_VALUE"""),"1 USD = 154.8077 PKR")</f>
        <v>1 USD = 154.8077 PKR</v>
      </c>
      <c r="H1484" s="9" t="str">
        <f ca="1">IFERROR(__xludf.DUMMYFUNCTION("""COMPUTED_VALUE"""),"USD PKR rate for 24/12/2019")</f>
        <v>USD PKR rate for 24/12/2019</v>
      </c>
      <c r="I1484" s="9"/>
    </row>
    <row r="1485" spans="1:9" ht="14.25" customHeight="1" x14ac:dyDescent="0.3">
      <c r="A1485" s="6">
        <v>41202</v>
      </c>
      <c r="B1485" s="7">
        <v>95.565299999999993</v>
      </c>
      <c r="C1485" s="8">
        <f t="shared" si="11"/>
        <v>102.98292775154951</v>
      </c>
      <c r="D1485" s="9">
        <f t="shared" si="10"/>
        <v>65.801073449483141</v>
      </c>
      <c r="E1485" s="9"/>
      <c r="F1485" s="9">
        <f ca="1">IFERROR(__xludf.DUMMYFUNCTION("""COMPUTED_VALUE"""),43822)</f>
        <v>43822</v>
      </c>
      <c r="G1485" s="9" t="str">
        <f ca="1">IFERROR(__xludf.DUMMYFUNCTION("""COMPUTED_VALUE"""),"1 USD = 154.9349 PKR")</f>
        <v>1 USD = 154.9349 PKR</v>
      </c>
      <c r="H1485" s="9" t="str">
        <f ca="1">IFERROR(__xludf.DUMMYFUNCTION("""COMPUTED_VALUE"""),"USD PKR rate for 23/12/2019")</f>
        <v>USD PKR rate for 23/12/2019</v>
      </c>
      <c r="I1485" s="9"/>
    </row>
    <row r="1486" spans="1:9" ht="14.25" customHeight="1" x14ac:dyDescent="0.3">
      <c r="A1486" s="6">
        <v>41203</v>
      </c>
      <c r="B1486" s="7">
        <v>95.585499999999996</v>
      </c>
      <c r="C1486" s="8">
        <f t="shared" si="11"/>
        <v>103.00134622432273</v>
      </c>
      <c r="D1486" s="9">
        <f t="shared" si="10"/>
        <v>65.803811282280407</v>
      </c>
      <c r="E1486" s="9"/>
      <c r="F1486" s="9">
        <f ca="1">IFERROR(__xludf.DUMMYFUNCTION("""COMPUTED_VALUE"""),43821)</f>
        <v>43821</v>
      </c>
      <c r="G1486" s="9" t="str">
        <f ca="1">IFERROR(__xludf.DUMMYFUNCTION("""COMPUTED_VALUE"""),"1 USD = 154.5266 PKR")</f>
        <v>1 USD = 154.5266 PKR</v>
      </c>
      <c r="H1486" s="9" t="str">
        <f ca="1">IFERROR(__xludf.DUMMYFUNCTION("""COMPUTED_VALUE"""),"USD PKR rate for 22/12/2019")</f>
        <v>USD PKR rate for 22/12/2019</v>
      </c>
      <c r="I1486" s="9"/>
    </row>
    <row r="1487" spans="1:9" ht="14.25" customHeight="1" x14ac:dyDescent="0.3">
      <c r="A1487" s="6">
        <v>41204</v>
      </c>
      <c r="B1487" s="7">
        <v>95.493399999999994</v>
      </c>
      <c r="C1487" s="8">
        <f t="shared" si="11"/>
        <v>103.01976799123553</v>
      </c>
      <c r="D1487" s="9">
        <f t="shared" si="10"/>
        <v>65.806549115077672</v>
      </c>
      <c r="E1487" s="9"/>
      <c r="F1487" s="9">
        <f ca="1">IFERROR(__xludf.DUMMYFUNCTION("""COMPUTED_VALUE"""),43820)</f>
        <v>43820</v>
      </c>
      <c r="G1487" s="9" t="str">
        <f ca="1">IFERROR(__xludf.DUMMYFUNCTION("""COMPUTED_VALUE"""),"1 USD = 154.869 PKR")</f>
        <v>1 USD = 154.869 PKR</v>
      </c>
      <c r="H1487" s="9" t="str">
        <f ca="1">IFERROR(__xludf.DUMMYFUNCTION("""COMPUTED_VALUE"""),"USD PKR rate for 21/12/2019")</f>
        <v>USD PKR rate for 21/12/2019</v>
      </c>
      <c r="I1487" s="9"/>
    </row>
    <row r="1488" spans="1:9" ht="14.25" customHeight="1" x14ac:dyDescent="0.3">
      <c r="A1488" s="6">
        <v>41205</v>
      </c>
      <c r="B1488" s="7">
        <v>95.640799999999999</v>
      </c>
      <c r="C1488" s="8">
        <f t="shared" si="11"/>
        <v>103.03819305287708</v>
      </c>
      <c r="D1488" s="9">
        <f t="shared" si="10"/>
        <v>65.809286947874938</v>
      </c>
      <c r="E1488" s="9"/>
      <c r="F1488" s="9">
        <f ca="1">IFERROR(__xludf.DUMMYFUNCTION("""COMPUTED_VALUE"""),43819)</f>
        <v>43819</v>
      </c>
      <c r="G1488" s="9" t="str">
        <f ca="1">IFERROR(__xludf.DUMMYFUNCTION("""COMPUTED_VALUE"""),"1 USD = 154.869 PKR")</f>
        <v>1 USD = 154.869 PKR</v>
      </c>
      <c r="H1488" s="9" t="str">
        <f ca="1">IFERROR(__xludf.DUMMYFUNCTION("""COMPUTED_VALUE"""),"USD PKR rate for 20/12/2019")</f>
        <v>USD PKR rate for 20/12/2019</v>
      </c>
      <c r="I1488" s="9"/>
    </row>
    <row r="1489" spans="1:9" ht="14.25" customHeight="1" x14ac:dyDescent="0.3">
      <c r="A1489" s="6">
        <v>41206</v>
      </c>
      <c r="B1489" s="7">
        <v>95.511300000000006</v>
      </c>
      <c r="C1489" s="8">
        <f t="shared" si="11"/>
        <v>103.05662140983662</v>
      </c>
      <c r="D1489" s="9">
        <f t="shared" si="10"/>
        <v>65.812024780672203</v>
      </c>
      <c r="E1489" s="9"/>
      <c r="F1489" s="9">
        <f ca="1">IFERROR(__xludf.DUMMYFUNCTION("""COMPUTED_VALUE"""),43818)</f>
        <v>43818</v>
      </c>
      <c r="G1489" s="9" t="str">
        <f ca="1">IFERROR(__xludf.DUMMYFUNCTION("""COMPUTED_VALUE"""),"1 USD = 154.5412 PKR")</f>
        <v>1 USD = 154.5412 PKR</v>
      </c>
      <c r="H1489" s="9" t="str">
        <f ca="1">IFERROR(__xludf.DUMMYFUNCTION("""COMPUTED_VALUE"""),"USD PKR rate for 19/12/2019")</f>
        <v>USD PKR rate for 19/12/2019</v>
      </c>
      <c r="I1489" s="9"/>
    </row>
    <row r="1490" spans="1:9" ht="14.25" customHeight="1" x14ac:dyDescent="0.3">
      <c r="A1490" s="6">
        <v>41207</v>
      </c>
      <c r="B1490" s="7">
        <v>95.897199999999998</v>
      </c>
      <c r="C1490" s="8">
        <f t="shared" si="11"/>
        <v>103.07505306270365</v>
      </c>
      <c r="D1490" s="9">
        <f t="shared" si="10"/>
        <v>65.814762613469483</v>
      </c>
      <c r="E1490" s="9"/>
      <c r="F1490" s="9">
        <f ca="1">IFERROR(__xludf.DUMMYFUNCTION("""COMPUTED_VALUE"""),43817)</f>
        <v>43817</v>
      </c>
      <c r="G1490" s="9" t="str">
        <f ca="1">IFERROR(__xludf.DUMMYFUNCTION("""COMPUTED_VALUE"""),"1 USD = 154.9045 PKR")</f>
        <v>1 USD = 154.9045 PKR</v>
      </c>
      <c r="H1490" s="9" t="str">
        <f ca="1">IFERROR(__xludf.DUMMYFUNCTION("""COMPUTED_VALUE"""),"USD PKR rate for 18/12/2019")</f>
        <v>USD PKR rate for 18/12/2019</v>
      </c>
      <c r="I1490" s="9"/>
    </row>
    <row r="1491" spans="1:9" ht="14.25" customHeight="1" x14ac:dyDescent="0.3">
      <c r="A1491" s="6">
        <v>41208</v>
      </c>
      <c r="B1491" s="7">
        <v>95.805300000000003</v>
      </c>
      <c r="C1491" s="8">
        <f t="shared" si="11"/>
        <v>103.09348801206741</v>
      </c>
      <c r="D1491" s="9">
        <f t="shared" si="10"/>
        <v>65.817500446266749</v>
      </c>
      <c r="E1491" s="9"/>
      <c r="F1491" s="9">
        <f ca="1">IFERROR(__xludf.DUMMYFUNCTION("""COMPUTED_VALUE"""),43816)</f>
        <v>43816</v>
      </c>
      <c r="G1491" s="9" t="str">
        <f ca="1">IFERROR(__xludf.DUMMYFUNCTION("""COMPUTED_VALUE"""),"1 USD = 155.0349 PKR")</f>
        <v>1 USD = 155.0349 PKR</v>
      </c>
      <c r="H1491" s="9" t="str">
        <f ca="1">IFERROR(__xludf.DUMMYFUNCTION("""COMPUTED_VALUE"""),"USD PKR rate for 17/12/2019")</f>
        <v>USD PKR rate for 17/12/2019</v>
      </c>
      <c r="I1491" s="9"/>
    </row>
    <row r="1492" spans="1:9" ht="14.25" customHeight="1" x14ac:dyDescent="0.3">
      <c r="A1492" s="6">
        <v>41209</v>
      </c>
      <c r="B1492" s="7">
        <v>95.825000000000003</v>
      </c>
      <c r="C1492" s="8">
        <f t="shared" si="11"/>
        <v>103.11192625851761</v>
      </c>
      <c r="D1492" s="9">
        <f t="shared" si="10"/>
        <v>65.820238279064014</v>
      </c>
      <c r="E1492" s="9"/>
      <c r="F1492" s="9">
        <f ca="1">IFERROR(__xludf.DUMMYFUNCTION("""COMPUTED_VALUE"""),43815)</f>
        <v>43815</v>
      </c>
      <c r="G1492" s="9" t="str">
        <f ca="1">IFERROR(__xludf.DUMMYFUNCTION("""COMPUTED_VALUE"""),"1 USD = 155.0374 PKR")</f>
        <v>1 USD = 155.0374 PKR</v>
      </c>
      <c r="H1492" s="9" t="str">
        <f ca="1">IFERROR(__xludf.DUMMYFUNCTION("""COMPUTED_VALUE"""),"USD PKR rate for 16/12/2019")</f>
        <v>USD PKR rate for 16/12/2019</v>
      </c>
      <c r="I1492" s="9"/>
    </row>
    <row r="1493" spans="1:9" ht="14.25" customHeight="1" x14ac:dyDescent="0.3">
      <c r="A1493" s="6">
        <v>41210</v>
      </c>
      <c r="B1493" s="7">
        <v>95.802400000000006</v>
      </c>
      <c r="C1493" s="8">
        <f t="shared" si="11"/>
        <v>103.13036780264392</v>
      </c>
      <c r="D1493" s="9">
        <f t="shared" si="10"/>
        <v>65.82297611186128</v>
      </c>
      <c r="E1493" s="9"/>
      <c r="F1493" s="9">
        <f ca="1">IFERROR(__xludf.DUMMYFUNCTION("""COMPUTED_VALUE"""),43814)</f>
        <v>43814</v>
      </c>
      <c r="G1493" s="9" t="str">
        <f ca="1">IFERROR(__xludf.DUMMYFUNCTION("""COMPUTED_VALUE"""),"1 USD = 154.9854 PKR")</f>
        <v>1 USD = 154.9854 PKR</v>
      </c>
      <c r="H1493" s="9" t="str">
        <f ca="1">IFERROR(__xludf.DUMMYFUNCTION("""COMPUTED_VALUE"""),"USD PKR rate for 15/12/2019")</f>
        <v>USD PKR rate for 15/12/2019</v>
      </c>
      <c r="I1493" s="9"/>
    </row>
    <row r="1494" spans="1:9" ht="14.25" customHeight="1" x14ac:dyDescent="0.3">
      <c r="A1494" s="6">
        <v>41211</v>
      </c>
      <c r="B1494" s="7">
        <v>95.877899999999997</v>
      </c>
      <c r="C1494" s="8">
        <f t="shared" si="11"/>
        <v>103.148812645036</v>
      </c>
      <c r="D1494" s="9">
        <f t="shared" si="10"/>
        <v>65.825713944658546</v>
      </c>
      <c r="E1494" s="9"/>
      <c r="F1494" s="9">
        <f ca="1">IFERROR(__xludf.DUMMYFUNCTION("""COMPUTED_VALUE"""),43813)</f>
        <v>43813</v>
      </c>
      <c r="G1494" s="9" t="str">
        <f ca="1">IFERROR(__xludf.DUMMYFUNCTION("""COMPUTED_VALUE"""),"1 USD = 154.9525 PKR")</f>
        <v>1 USD = 154.9525 PKR</v>
      </c>
      <c r="H1494" s="9" t="str">
        <f ca="1">IFERROR(__xludf.DUMMYFUNCTION("""COMPUTED_VALUE"""),"USD PKR rate for 14/12/2019")</f>
        <v>USD PKR rate for 14/12/2019</v>
      </c>
      <c r="I1494" s="9"/>
    </row>
    <row r="1495" spans="1:9" ht="14.25" customHeight="1" x14ac:dyDescent="0.3">
      <c r="A1495" s="6">
        <v>41212</v>
      </c>
      <c r="B1495" s="7">
        <v>95.765799999999999</v>
      </c>
      <c r="C1495" s="8">
        <f t="shared" si="11"/>
        <v>103.167260786284</v>
      </c>
      <c r="D1495" s="9">
        <f t="shared" si="10"/>
        <v>65.828451777455811</v>
      </c>
      <c r="E1495" s="9"/>
      <c r="F1495" s="9">
        <f ca="1">IFERROR(__xludf.DUMMYFUNCTION("""COMPUTED_VALUE"""),43812)</f>
        <v>43812</v>
      </c>
      <c r="G1495" s="9" t="str">
        <f ca="1">IFERROR(__xludf.DUMMYFUNCTION("""COMPUTED_VALUE"""),"1 USD = 154.9525 PKR")</f>
        <v>1 USD = 154.9525 PKR</v>
      </c>
      <c r="H1495" s="9" t="str">
        <f ca="1">IFERROR(__xludf.DUMMYFUNCTION("""COMPUTED_VALUE"""),"USD PKR rate for 13/12/2019")</f>
        <v>USD PKR rate for 13/12/2019</v>
      </c>
      <c r="I1495" s="9"/>
    </row>
    <row r="1496" spans="1:9" ht="14.25" customHeight="1" x14ac:dyDescent="0.3">
      <c r="A1496" s="6">
        <v>41213</v>
      </c>
      <c r="B1496" s="7">
        <v>95.878600000000006</v>
      </c>
      <c r="C1496" s="8">
        <f t="shared" si="11"/>
        <v>103.18571222697777</v>
      </c>
      <c r="D1496" s="9">
        <f t="shared" si="10"/>
        <v>65.831189610253077</v>
      </c>
      <c r="E1496" s="9"/>
      <c r="F1496" s="9">
        <f ca="1">IFERROR(__xludf.DUMMYFUNCTION("""COMPUTED_VALUE"""),43811)</f>
        <v>43811</v>
      </c>
      <c r="G1496" s="9" t="str">
        <f ca="1">IFERROR(__xludf.DUMMYFUNCTION("""COMPUTED_VALUE"""),"1 USD = 154.9758 PKR")</f>
        <v>1 USD = 154.9758 PKR</v>
      </c>
      <c r="H1496" s="9" t="str">
        <f ca="1">IFERROR(__xludf.DUMMYFUNCTION("""COMPUTED_VALUE"""),"USD PKR rate for 12/12/2019")</f>
        <v>USD PKR rate for 12/12/2019</v>
      </c>
      <c r="I1496" s="9"/>
    </row>
    <row r="1497" spans="1:9" ht="14.25" customHeight="1" x14ac:dyDescent="0.3">
      <c r="A1497" s="6">
        <v>41214</v>
      </c>
      <c r="B1497" s="7">
        <v>95.689899999999994</v>
      </c>
      <c r="C1497" s="8">
        <f t="shared" si="11"/>
        <v>103.20416696770744</v>
      </c>
      <c r="D1497" s="9">
        <f t="shared" si="10"/>
        <v>65.833927443050342</v>
      </c>
      <c r="E1497" s="9"/>
      <c r="F1497" s="9">
        <f ca="1">IFERROR(__xludf.DUMMYFUNCTION("""COMPUTED_VALUE"""),43810)</f>
        <v>43810</v>
      </c>
      <c r="G1497" s="9" t="str">
        <f ca="1">IFERROR(__xludf.DUMMYFUNCTION("""COMPUTED_VALUE"""),"1 USD = 155.0374 PKR")</f>
        <v>1 USD = 155.0374 PKR</v>
      </c>
      <c r="H1497" s="9" t="str">
        <f ca="1">IFERROR(__xludf.DUMMYFUNCTION("""COMPUTED_VALUE"""),"USD PKR rate for 11/12/2019")</f>
        <v>USD PKR rate for 11/12/2019</v>
      </c>
      <c r="I1497" s="9"/>
    </row>
    <row r="1498" spans="1:9" ht="14.25" customHeight="1" x14ac:dyDescent="0.3">
      <c r="A1498" s="6">
        <v>41215</v>
      </c>
      <c r="B1498" s="7">
        <v>95.934600000000003</v>
      </c>
      <c r="C1498" s="8">
        <f t="shared" si="11"/>
        <v>103.22262500906321</v>
      </c>
      <c r="D1498" s="9">
        <f t="shared" si="10"/>
        <v>65.836665275847608</v>
      </c>
      <c r="E1498" s="9"/>
      <c r="F1498" s="9">
        <f ca="1">IFERROR(__xludf.DUMMYFUNCTION("""COMPUTED_VALUE"""),43809)</f>
        <v>43809</v>
      </c>
      <c r="G1498" s="9" t="str">
        <f ca="1">IFERROR(__xludf.DUMMYFUNCTION("""COMPUTED_VALUE"""),"1 USD = 154.9973 PKR")</f>
        <v>1 USD = 154.9973 PKR</v>
      </c>
      <c r="H1498" s="9" t="str">
        <f ca="1">IFERROR(__xludf.DUMMYFUNCTION("""COMPUTED_VALUE"""),"USD PKR rate for 10/12/2019")</f>
        <v>USD PKR rate for 10/12/2019</v>
      </c>
      <c r="I1498" s="9"/>
    </row>
    <row r="1499" spans="1:9" ht="14.25" customHeight="1" x14ac:dyDescent="0.3">
      <c r="A1499" s="6">
        <v>41216</v>
      </c>
      <c r="B1499" s="7">
        <v>95.789500000000004</v>
      </c>
      <c r="C1499" s="8">
        <f t="shared" si="11"/>
        <v>103.24108635163542</v>
      </c>
      <c r="D1499" s="9">
        <f t="shared" si="10"/>
        <v>65.839403108644873</v>
      </c>
      <c r="E1499" s="9"/>
      <c r="F1499" s="9">
        <f ca="1">IFERROR(__xludf.DUMMYFUNCTION("""COMPUTED_VALUE"""),43808)</f>
        <v>43808</v>
      </c>
      <c r="G1499" s="9" t="str">
        <f ca="1">IFERROR(__xludf.DUMMYFUNCTION("""COMPUTED_VALUE"""),"1 USD = 155.0584 PKR")</f>
        <v>1 USD = 155.0584 PKR</v>
      </c>
      <c r="H1499" s="9" t="str">
        <f ca="1">IFERROR(__xludf.DUMMYFUNCTION("""COMPUTED_VALUE"""),"USD PKR rate for 09/12/2019")</f>
        <v>USD PKR rate for 09/12/2019</v>
      </c>
      <c r="I1499" s="9"/>
    </row>
    <row r="1500" spans="1:9" ht="14.25" customHeight="1" x14ac:dyDescent="0.3">
      <c r="A1500" s="6">
        <v>41217</v>
      </c>
      <c r="B1500" s="7">
        <v>95.906000000000006</v>
      </c>
      <c r="C1500" s="8">
        <f t="shared" si="11"/>
        <v>103.25955099601445</v>
      </c>
      <c r="D1500" s="9">
        <f t="shared" si="10"/>
        <v>65.842140941442139</v>
      </c>
      <c r="E1500" s="9"/>
      <c r="F1500" s="9">
        <f ca="1">IFERROR(__xludf.DUMMYFUNCTION("""COMPUTED_VALUE"""),43807)</f>
        <v>43807</v>
      </c>
      <c r="G1500" s="9" t="str">
        <f ca="1">IFERROR(__xludf.DUMMYFUNCTION("""COMPUTED_VALUE"""),"1 USD = 154.91 PKR")</f>
        <v>1 USD = 154.91 PKR</v>
      </c>
      <c r="H1500" s="9" t="str">
        <f ca="1">IFERROR(__xludf.DUMMYFUNCTION("""COMPUTED_VALUE"""),"USD PKR rate for 08/12/2019")</f>
        <v>USD PKR rate for 08/12/2019</v>
      </c>
      <c r="I1500" s="9"/>
    </row>
    <row r="1501" spans="1:9" ht="14.25" customHeight="1" x14ac:dyDescent="0.3">
      <c r="A1501" s="6">
        <v>41218</v>
      </c>
      <c r="B1501" s="7">
        <v>96.112000000000009</v>
      </c>
      <c r="C1501" s="8">
        <f t="shared" si="11"/>
        <v>103.27801894279085</v>
      </c>
      <c r="D1501" s="9">
        <f t="shared" si="10"/>
        <v>65.844878774239405</v>
      </c>
      <c r="E1501" s="9"/>
      <c r="F1501" s="9">
        <f ca="1">IFERROR(__xludf.DUMMYFUNCTION("""COMPUTED_VALUE"""),43806)</f>
        <v>43806</v>
      </c>
      <c r="G1501" s="9" t="str">
        <f ca="1">IFERROR(__xludf.DUMMYFUNCTION("""COMPUTED_VALUE"""),"1 USD = 154.7799 PKR")</f>
        <v>1 USD = 154.7799 PKR</v>
      </c>
      <c r="H1501" s="9" t="str">
        <f ca="1">IFERROR(__xludf.DUMMYFUNCTION("""COMPUTED_VALUE"""),"USD PKR rate for 07/12/2019")</f>
        <v>USD PKR rate for 07/12/2019</v>
      </c>
      <c r="I1501" s="9"/>
    </row>
    <row r="1502" spans="1:9" ht="14.25" customHeight="1" x14ac:dyDescent="0.3">
      <c r="A1502" s="6">
        <v>41219</v>
      </c>
      <c r="B1502" s="7">
        <v>96.188199999999995</v>
      </c>
      <c r="C1502" s="8">
        <f t="shared" si="11"/>
        <v>103.29649019255527</v>
      </c>
      <c r="D1502" s="9">
        <f t="shared" si="10"/>
        <v>65.84761660703667</v>
      </c>
      <c r="E1502" s="9"/>
      <c r="F1502" s="9">
        <f ca="1">IFERROR(__xludf.DUMMYFUNCTION("""COMPUTED_VALUE"""),43805)</f>
        <v>43805</v>
      </c>
      <c r="G1502" s="9" t="str">
        <f ca="1">IFERROR(__xludf.DUMMYFUNCTION("""COMPUTED_VALUE"""),"1 USD = 154.7799 PKR")</f>
        <v>1 USD = 154.7799 PKR</v>
      </c>
      <c r="H1502" s="9" t="str">
        <f ca="1">IFERROR(__xludf.DUMMYFUNCTION("""COMPUTED_VALUE"""),"USD PKR rate for 06/12/2019")</f>
        <v>USD PKR rate for 06/12/2019</v>
      </c>
      <c r="I1502" s="9"/>
    </row>
    <row r="1503" spans="1:9" ht="14.25" customHeight="1" x14ac:dyDescent="0.3">
      <c r="A1503" s="6">
        <v>41220</v>
      </c>
      <c r="B1503" s="7">
        <v>96.036600000000007</v>
      </c>
      <c r="C1503" s="8">
        <f t="shared" si="11"/>
        <v>103.31496474589832</v>
      </c>
      <c r="D1503" s="9">
        <f t="shared" si="10"/>
        <v>65.850354439833936</v>
      </c>
      <c r="E1503" s="9"/>
      <c r="F1503" s="9">
        <f ca="1">IFERROR(__xludf.DUMMYFUNCTION("""COMPUTED_VALUE"""),43804)</f>
        <v>43804</v>
      </c>
      <c r="G1503" s="9" t="str">
        <f ca="1">IFERROR(__xludf.DUMMYFUNCTION("""COMPUTED_VALUE"""),"1 USD = 155.0375 PKR")</f>
        <v>1 USD = 155.0375 PKR</v>
      </c>
      <c r="H1503" s="9" t="str">
        <f ca="1">IFERROR(__xludf.DUMMYFUNCTION("""COMPUTED_VALUE"""),"USD PKR rate for 05/12/2019")</f>
        <v>USD PKR rate for 05/12/2019</v>
      </c>
      <c r="I1503" s="9"/>
    </row>
    <row r="1504" spans="1:9" ht="14.25" customHeight="1" x14ac:dyDescent="0.3">
      <c r="A1504" s="6">
        <v>41221</v>
      </c>
      <c r="B1504" s="7">
        <v>95.991200000000021</v>
      </c>
      <c r="C1504" s="8">
        <f t="shared" si="11"/>
        <v>103.33344260341106</v>
      </c>
      <c r="D1504" s="9">
        <f t="shared" si="10"/>
        <v>65.853092272631201</v>
      </c>
      <c r="E1504" s="9"/>
      <c r="F1504" s="9">
        <f ca="1">IFERROR(__xludf.DUMMYFUNCTION("""COMPUTED_VALUE"""),43803)</f>
        <v>43803</v>
      </c>
      <c r="G1504" s="9" t="str">
        <f ca="1">IFERROR(__xludf.DUMMYFUNCTION("""COMPUTED_VALUE"""),"1 USD = 155.1407 PKR")</f>
        <v>1 USD = 155.1407 PKR</v>
      </c>
      <c r="H1504" s="9" t="str">
        <f ca="1">IFERROR(__xludf.DUMMYFUNCTION("""COMPUTED_VALUE"""),"USD PKR rate for 04/12/2019")</f>
        <v>USD PKR rate for 04/12/2019</v>
      </c>
      <c r="I1504" s="9"/>
    </row>
    <row r="1505" spans="1:9" ht="14.25" customHeight="1" x14ac:dyDescent="0.3">
      <c r="A1505" s="6">
        <v>41222</v>
      </c>
      <c r="B1505" s="7">
        <v>96.037899999999993</v>
      </c>
      <c r="C1505" s="8">
        <f t="shared" si="11"/>
        <v>103.35192376568432</v>
      </c>
      <c r="D1505" s="9">
        <f t="shared" si="10"/>
        <v>65.855830105428467</v>
      </c>
      <c r="E1505" s="9"/>
      <c r="F1505" s="9">
        <f ca="1">IFERROR(__xludf.DUMMYFUNCTION("""COMPUTED_VALUE"""),43802)</f>
        <v>43802</v>
      </c>
      <c r="G1505" s="9" t="str">
        <f ca="1">IFERROR(__xludf.DUMMYFUNCTION("""COMPUTED_VALUE"""),"1 USD = 155.2042 PKR")</f>
        <v>1 USD = 155.2042 PKR</v>
      </c>
      <c r="H1505" s="9" t="str">
        <f ca="1">IFERROR(__xludf.DUMMYFUNCTION("""COMPUTED_VALUE"""),"USD PKR rate for 03/12/2019")</f>
        <v>USD PKR rate for 03/12/2019</v>
      </c>
      <c r="I1505" s="9"/>
    </row>
    <row r="1506" spans="1:9" ht="14.25" customHeight="1" x14ac:dyDescent="0.3">
      <c r="A1506" s="6">
        <v>41223</v>
      </c>
      <c r="B1506" s="7">
        <v>95.938599999999994</v>
      </c>
      <c r="C1506" s="8">
        <f t="shared" si="11"/>
        <v>103.37040823330921</v>
      </c>
      <c r="D1506" s="9">
        <f t="shared" si="10"/>
        <v>65.858567938225733</v>
      </c>
      <c r="E1506" s="9"/>
      <c r="F1506" s="9">
        <f ca="1">IFERROR(__xludf.DUMMYFUNCTION("""COMPUTED_VALUE"""),43801)</f>
        <v>43801</v>
      </c>
      <c r="G1506" s="9" t="str">
        <f ca="1">IFERROR(__xludf.DUMMYFUNCTION("""COMPUTED_VALUE"""),"1 USD = 155.2677 PKR")</f>
        <v>1 USD = 155.2677 PKR</v>
      </c>
      <c r="H1506" s="9" t="str">
        <f ca="1">IFERROR(__xludf.DUMMYFUNCTION("""COMPUTED_VALUE"""),"USD PKR rate for 02/12/2019")</f>
        <v>USD PKR rate for 02/12/2019</v>
      </c>
      <c r="I1506" s="9"/>
    </row>
    <row r="1507" spans="1:9" ht="14.25" customHeight="1" x14ac:dyDescent="0.3">
      <c r="A1507" s="6">
        <v>41224</v>
      </c>
      <c r="B1507" s="7">
        <v>95.993799999999993</v>
      </c>
      <c r="C1507" s="8">
        <f t="shared" si="11"/>
        <v>103.38889600687682</v>
      </c>
      <c r="D1507" s="9">
        <f t="shared" si="10"/>
        <v>65.861305771022998</v>
      </c>
      <c r="E1507" s="9"/>
      <c r="F1507" s="9">
        <f ca="1">IFERROR(__xludf.DUMMYFUNCTION("""COMPUTED_VALUE"""),43800)</f>
        <v>43800</v>
      </c>
      <c r="G1507" s="9" t="str">
        <f ca="1">IFERROR(__xludf.DUMMYFUNCTION("""COMPUTED_VALUE"""),"1 USD = 155.0243 PKR")</f>
        <v>1 USD = 155.0243 PKR</v>
      </c>
      <c r="H1507" s="9" t="str">
        <f ca="1">IFERROR(__xludf.DUMMYFUNCTION("""COMPUTED_VALUE"""),"USD PKR rate for 01/12/2019")</f>
        <v>USD PKR rate for 01/12/2019</v>
      </c>
      <c r="I1507" s="9"/>
    </row>
    <row r="1508" spans="1:9" ht="14.25" customHeight="1" x14ac:dyDescent="0.3">
      <c r="A1508" s="6">
        <v>41225</v>
      </c>
      <c r="B1508" s="7">
        <v>95.920900000000017</v>
      </c>
      <c r="C1508" s="8">
        <f t="shared" si="11"/>
        <v>103.40738708697845</v>
      </c>
      <c r="D1508" s="9">
        <f t="shared" si="10"/>
        <v>65.864043603820264</v>
      </c>
      <c r="E1508" s="9"/>
      <c r="F1508" s="9">
        <f ca="1">IFERROR(__xludf.DUMMYFUNCTION("""COMPUTED_VALUE"""),43799)</f>
        <v>43799</v>
      </c>
      <c r="G1508" s="9" t="str">
        <f ca="1">IFERROR(__xludf.DUMMYFUNCTION("""COMPUTED_VALUE"""),"1 USD = 154.9318 PKR")</f>
        <v>1 USD = 154.9318 PKR</v>
      </c>
      <c r="H1508" s="9" t="str">
        <f ca="1">IFERROR(__xludf.DUMMYFUNCTION("""COMPUTED_VALUE"""),"USD PKR rate for 30/11/2019")</f>
        <v>USD PKR rate for 30/11/2019</v>
      </c>
      <c r="I1508" s="9"/>
    </row>
    <row r="1509" spans="1:9" ht="14.25" customHeight="1" x14ac:dyDescent="0.3">
      <c r="A1509" s="6">
        <v>41226</v>
      </c>
      <c r="B1509" s="7">
        <v>95.983199999999997</v>
      </c>
      <c r="C1509" s="8">
        <f t="shared" si="11"/>
        <v>103.42588147420548</v>
      </c>
      <c r="D1509" s="9">
        <f t="shared" si="10"/>
        <v>65.866781436617529</v>
      </c>
      <c r="E1509" s="9"/>
      <c r="F1509" s="9">
        <f ca="1">IFERROR(__xludf.DUMMYFUNCTION("""COMPUTED_VALUE"""),43798)</f>
        <v>43798</v>
      </c>
      <c r="G1509" s="9" t="str">
        <f ca="1">IFERROR(__xludf.DUMMYFUNCTION("""COMPUTED_VALUE"""),"1 USD = 155.369 PKR")</f>
        <v>1 USD = 155.369 PKR</v>
      </c>
      <c r="H1509" s="9" t="str">
        <f ca="1">IFERROR(__xludf.DUMMYFUNCTION("""COMPUTED_VALUE"""),"USD PKR rate for 29/11/2019")</f>
        <v>USD PKR rate for 29/11/2019</v>
      </c>
      <c r="I1509" s="9"/>
    </row>
    <row r="1510" spans="1:9" ht="14.25" customHeight="1" x14ac:dyDescent="0.3">
      <c r="A1510" s="6">
        <v>41227</v>
      </c>
      <c r="B1510" s="7">
        <v>95.985600000000005</v>
      </c>
      <c r="C1510" s="8">
        <f t="shared" si="11"/>
        <v>103.44437916914937</v>
      </c>
      <c r="D1510" s="9">
        <f t="shared" si="10"/>
        <v>65.869519269414795</v>
      </c>
      <c r="E1510" s="9"/>
      <c r="F1510" s="9">
        <f ca="1">IFERROR(__xludf.DUMMYFUNCTION("""COMPUTED_VALUE"""),43797)</f>
        <v>43797</v>
      </c>
      <c r="G1510" s="9" t="str">
        <f ca="1">IFERROR(__xludf.DUMMYFUNCTION("""COMPUTED_VALUE"""),"1 USD = 155.2627 PKR")</f>
        <v>1 USD = 155.2627 PKR</v>
      </c>
      <c r="H1510" s="9" t="str">
        <f ca="1">IFERROR(__xludf.DUMMYFUNCTION("""COMPUTED_VALUE"""),"USD PKR rate for 28/11/2019")</f>
        <v>USD PKR rate for 28/11/2019</v>
      </c>
      <c r="I1510" s="9"/>
    </row>
    <row r="1511" spans="1:9" ht="14.25" customHeight="1" x14ac:dyDescent="0.3">
      <c r="A1511" s="6">
        <v>41228</v>
      </c>
      <c r="B1511" s="7">
        <v>95.790700000000001</v>
      </c>
      <c r="C1511" s="8">
        <f t="shared" si="11"/>
        <v>103.46288017240174</v>
      </c>
      <c r="D1511" s="9">
        <f t="shared" si="10"/>
        <v>65.87225710221206</v>
      </c>
      <c r="E1511" s="9"/>
      <c r="F1511" s="9">
        <f ca="1">IFERROR(__xludf.DUMMYFUNCTION("""COMPUTED_VALUE"""),43796)</f>
        <v>43796</v>
      </c>
      <c r="G1511" s="9" t="str">
        <f ca="1">IFERROR(__xludf.DUMMYFUNCTION("""COMPUTED_VALUE"""),"1 USD = 155.2959 PKR")</f>
        <v>1 USD = 155.2959 PKR</v>
      </c>
      <c r="H1511" s="9" t="str">
        <f ca="1">IFERROR(__xludf.DUMMYFUNCTION("""COMPUTED_VALUE"""),"USD PKR rate for 27/11/2019")</f>
        <v>USD PKR rate for 27/11/2019</v>
      </c>
      <c r="I1511" s="9"/>
    </row>
    <row r="1512" spans="1:9" ht="14.25" customHeight="1" x14ac:dyDescent="0.3">
      <c r="A1512" s="6">
        <v>41229</v>
      </c>
      <c r="B1512" s="7">
        <v>95.919799999999995</v>
      </c>
      <c r="C1512" s="8">
        <f t="shared" si="11"/>
        <v>103.48138448455416</v>
      </c>
      <c r="D1512" s="9">
        <f t="shared" si="10"/>
        <v>65.874994935009326</v>
      </c>
      <c r="E1512" s="9"/>
      <c r="F1512" s="9">
        <f ca="1">IFERROR(__xludf.DUMMYFUNCTION("""COMPUTED_VALUE"""),43795)</f>
        <v>43795</v>
      </c>
      <c r="G1512" s="9" t="str">
        <f ca="1">IFERROR(__xludf.DUMMYFUNCTION("""COMPUTED_VALUE"""),"1 USD = 155.3993 PKR")</f>
        <v>1 USD = 155.3993 PKR</v>
      </c>
      <c r="H1512" s="9" t="str">
        <f ca="1">IFERROR(__xludf.DUMMYFUNCTION("""COMPUTED_VALUE"""),"USD PKR rate for 26/11/2019")</f>
        <v>USD PKR rate for 26/11/2019</v>
      </c>
      <c r="I1512" s="9"/>
    </row>
    <row r="1513" spans="1:9" ht="14.25" customHeight="1" x14ac:dyDescent="0.3">
      <c r="A1513" s="6">
        <v>41230</v>
      </c>
      <c r="B1513" s="7">
        <v>95.967100000000002</v>
      </c>
      <c r="C1513" s="8">
        <f t="shared" si="11"/>
        <v>103.4998921061986</v>
      </c>
      <c r="D1513" s="9">
        <f t="shared" si="10"/>
        <v>65.877732767806592</v>
      </c>
      <c r="E1513" s="9"/>
      <c r="F1513" s="9">
        <f ca="1">IFERROR(__xludf.DUMMYFUNCTION("""COMPUTED_VALUE"""),43794)</f>
        <v>43794</v>
      </c>
      <c r="G1513" s="9" t="str">
        <f ca="1">IFERROR(__xludf.DUMMYFUNCTION("""COMPUTED_VALUE"""),"1 USD = 155.7901 PKR")</f>
        <v>1 USD = 155.7901 PKR</v>
      </c>
      <c r="H1513" s="9" t="str">
        <f ca="1">IFERROR(__xludf.DUMMYFUNCTION("""COMPUTED_VALUE"""),"USD PKR rate for 25/11/2019")</f>
        <v>USD PKR rate for 25/11/2019</v>
      </c>
      <c r="I1513" s="9"/>
    </row>
    <row r="1514" spans="1:9" ht="14.25" customHeight="1" x14ac:dyDescent="0.3">
      <c r="A1514" s="6">
        <v>41231</v>
      </c>
      <c r="B1514" s="7">
        <v>95.875500000000002</v>
      </c>
      <c r="C1514" s="8">
        <f t="shared" si="11"/>
        <v>103.5184030379269</v>
      </c>
      <c r="D1514" s="9">
        <f t="shared" si="10"/>
        <v>65.880470600603857</v>
      </c>
      <c r="E1514" s="9"/>
      <c r="F1514" s="9">
        <f ca="1">IFERROR(__xludf.DUMMYFUNCTION("""COMPUTED_VALUE"""),43793)</f>
        <v>43793</v>
      </c>
      <c r="G1514" s="9" t="str">
        <f ca="1">IFERROR(__xludf.DUMMYFUNCTION("""COMPUTED_VALUE"""),"1 USD = 155.3886 PKR")</f>
        <v>1 USD = 155.3886 PKR</v>
      </c>
      <c r="H1514" s="9" t="str">
        <f ca="1">IFERROR(__xludf.DUMMYFUNCTION("""COMPUTED_VALUE"""),"USD PKR rate for 24/11/2019")</f>
        <v>USD PKR rate for 24/11/2019</v>
      </c>
      <c r="I1514" s="9"/>
    </row>
    <row r="1515" spans="1:9" ht="14.25" customHeight="1" x14ac:dyDescent="0.3">
      <c r="A1515" s="6">
        <v>41232</v>
      </c>
      <c r="B1515" s="7">
        <v>96.170300000000012</v>
      </c>
      <c r="C1515" s="8">
        <f t="shared" si="11"/>
        <v>103.53691728033102</v>
      </c>
      <c r="D1515" s="9">
        <f t="shared" si="10"/>
        <v>65.883208433401123</v>
      </c>
      <c r="E1515" s="9"/>
      <c r="F1515" s="9">
        <f ca="1">IFERROR(__xludf.DUMMYFUNCTION("""COMPUTED_VALUE"""),43792)</f>
        <v>43792</v>
      </c>
      <c r="G1515" s="9" t="str">
        <f ca="1">IFERROR(__xludf.DUMMYFUNCTION("""COMPUTED_VALUE"""),"1 USD = 155.5 PKR")</f>
        <v>1 USD = 155.5 PKR</v>
      </c>
      <c r="H1515" s="9" t="str">
        <f ca="1">IFERROR(__xludf.DUMMYFUNCTION("""COMPUTED_VALUE"""),"USD PKR rate for 23/11/2019")</f>
        <v>USD PKR rate for 23/11/2019</v>
      </c>
      <c r="I1515" s="9"/>
    </row>
    <row r="1516" spans="1:9" ht="14.25" customHeight="1" x14ac:dyDescent="0.3">
      <c r="A1516" s="6">
        <v>41233</v>
      </c>
      <c r="B1516" s="7">
        <v>96.091499999999996</v>
      </c>
      <c r="C1516" s="8">
        <f t="shared" si="11"/>
        <v>103.55543483400314</v>
      </c>
      <c r="D1516" s="9">
        <f t="shared" si="10"/>
        <v>65.885946266198388</v>
      </c>
      <c r="E1516" s="9"/>
      <c r="F1516" s="9">
        <f ca="1">IFERROR(__xludf.DUMMYFUNCTION("""COMPUTED_VALUE"""),43791)</f>
        <v>43791</v>
      </c>
      <c r="G1516" s="9" t="str">
        <f ca="1">IFERROR(__xludf.DUMMYFUNCTION("""COMPUTED_VALUE"""),"1 USD = 155.5 PKR")</f>
        <v>1 USD = 155.5 PKR</v>
      </c>
      <c r="H1516" s="9" t="str">
        <f ca="1">IFERROR(__xludf.DUMMYFUNCTION("""COMPUTED_VALUE"""),"USD PKR rate for 22/11/2019")</f>
        <v>USD PKR rate for 22/11/2019</v>
      </c>
      <c r="I1516" s="9"/>
    </row>
    <row r="1517" spans="1:9" ht="14.25" customHeight="1" x14ac:dyDescent="0.3">
      <c r="A1517" s="6">
        <v>41234</v>
      </c>
      <c r="B1517" s="7">
        <v>95.813699999999997</v>
      </c>
      <c r="C1517" s="8">
        <f t="shared" si="11"/>
        <v>103.57395569953542</v>
      </c>
      <c r="D1517" s="9">
        <f t="shared" si="10"/>
        <v>65.888684098995654</v>
      </c>
      <c r="E1517" s="9"/>
      <c r="F1517" s="9">
        <f ca="1">IFERROR(__xludf.DUMMYFUNCTION("""COMPUTED_VALUE"""),43790)</f>
        <v>43790</v>
      </c>
      <c r="G1517" s="9" t="str">
        <f ca="1">IFERROR(__xludf.DUMMYFUNCTION("""COMPUTED_VALUE"""),"1 USD = 155.296 PKR")</f>
        <v>1 USD = 155.296 PKR</v>
      </c>
      <c r="H1517" s="9" t="str">
        <f ca="1">IFERROR(__xludf.DUMMYFUNCTION("""COMPUTED_VALUE"""),"USD PKR rate for 21/11/2019")</f>
        <v>USD PKR rate for 21/11/2019</v>
      </c>
      <c r="I1517" s="9"/>
    </row>
    <row r="1518" spans="1:9" ht="14.25" customHeight="1" x14ac:dyDescent="0.3">
      <c r="A1518" s="6">
        <v>41235</v>
      </c>
      <c r="B1518" s="7">
        <v>96.005799999999994</v>
      </c>
      <c r="C1518" s="8">
        <f t="shared" si="11"/>
        <v>103.59247987752023</v>
      </c>
      <c r="D1518" s="9">
        <f t="shared" si="10"/>
        <v>65.89142193179292</v>
      </c>
      <c r="E1518" s="9"/>
      <c r="F1518" s="9">
        <f ca="1">IFERROR(__xludf.DUMMYFUNCTION("""COMPUTED_VALUE"""),43789)</f>
        <v>43789</v>
      </c>
      <c r="G1518" s="9" t="str">
        <f ca="1">IFERROR(__xludf.DUMMYFUNCTION("""COMPUTED_VALUE"""),"1 USD = 155.8771 PKR")</f>
        <v>1 USD = 155.8771 PKR</v>
      </c>
      <c r="H1518" s="9" t="str">
        <f ca="1">IFERROR(__xludf.DUMMYFUNCTION("""COMPUTED_VALUE"""),"USD PKR rate for 20/11/2019")</f>
        <v>USD PKR rate for 20/11/2019</v>
      </c>
      <c r="I1518" s="9"/>
    </row>
    <row r="1519" spans="1:9" ht="14.25" customHeight="1" x14ac:dyDescent="0.3">
      <c r="A1519" s="6">
        <v>41236</v>
      </c>
      <c r="B1519" s="7">
        <v>95.793700000000001</v>
      </c>
      <c r="C1519" s="8">
        <f t="shared" si="11"/>
        <v>103.61100736854996</v>
      </c>
      <c r="D1519" s="9">
        <f t="shared" si="10"/>
        <v>65.894159764590185</v>
      </c>
      <c r="E1519" s="9"/>
      <c r="F1519" s="9">
        <f ca="1">IFERROR(__xludf.DUMMYFUNCTION("""COMPUTED_VALUE"""),43788)</f>
        <v>43788</v>
      </c>
      <c r="G1519" s="9" t="str">
        <f ca="1">IFERROR(__xludf.DUMMYFUNCTION("""COMPUTED_VALUE"""),"1 USD = 155.8719 PKR")</f>
        <v>1 USD = 155.8719 PKR</v>
      </c>
      <c r="H1519" s="9" t="str">
        <f ca="1">IFERROR(__xludf.DUMMYFUNCTION("""COMPUTED_VALUE"""),"USD PKR rate for 19/11/2019")</f>
        <v>USD PKR rate for 19/11/2019</v>
      </c>
      <c r="I1519" s="9"/>
    </row>
    <row r="1520" spans="1:9" ht="14.25" customHeight="1" x14ac:dyDescent="0.3">
      <c r="A1520" s="6">
        <v>41237</v>
      </c>
      <c r="B1520" s="7">
        <v>96.026499999999999</v>
      </c>
      <c r="C1520" s="8">
        <f t="shared" si="11"/>
        <v>103.6295381732172</v>
      </c>
      <c r="D1520" s="9">
        <f t="shared" si="10"/>
        <v>65.896897597387451</v>
      </c>
      <c r="E1520" s="9"/>
      <c r="F1520" s="9">
        <f ca="1">IFERROR(__xludf.DUMMYFUNCTION("""COMPUTED_VALUE"""),43787)</f>
        <v>43787</v>
      </c>
      <c r="G1520" s="9" t="str">
        <f ca="1">IFERROR(__xludf.DUMMYFUNCTION("""COMPUTED_VALUE"""),"1 USD = 155.87 PKR")</f>
        <v>1 USD = 155.87 PKR</v>
      </c>
      <c r="H1520" s="9" t="str">
        <f ca="1">IFERROR(__xludf.DUMMYFUNCTION("""COMPUTED_VALUE"""),"USD PKR rate for 18/11/2019")</f>
        <v>USD PKR rate for 18/11/2019</v>
      </c>
      <c r="I1520" s="9"/>
    </row>
    <row r="1521" spans="1:9" ht="14.25" customHeight="1" x14ac:dyDescent="0.3">
      <c r="A1521" s="6">
        <v>41238</v>
      </c>
      <c r="B1521" s="7">
        <v>95.916799999999995</v>
      </c>
      <c r="C1521" s="8">
        <f t="shared" si="11"/>
        <v>103.64807229211446</v>
      </c>
      <c r="D1521" s="9">
        <f t="shared" si="10"/>
        <v>65.899635430184716</v>
      </c>
      <c r="E1521" s="9"/>
      <c r="F1521" s="9">
        <f ca="1">IFERROR(__xludf.DUMMYFUNCTION("""COMPUTED_VALUE"""),43786)</f>
        <v>43786</v>
      </c>
      <c r="G1521" s="9" t="str">
        <f ca="1">IFERROR(__xludf.DUMMYFUNCTION("""COMPUTED_VALUE"""),"1 USD = 155.1279 PKR")</f>
        <v>1 USD = 155.1279 PKR</v>
      </c>
      <c r="H1521" s="9" t="str">
        <f ca="1">IFERROR(__xludf.DUMMYFUNCTION("""COMPUTED_VALUE"""),"USD PKR rate for 17/11/2019")</f>
        <v>USD PKR rate for 17/11/2019</v>
      </c>
      <c r="I1521" s="9"/>
    </row>
    <row r="1522" spans="1:9" ht="14.25" customHeight="1" x14ac:dyDescent="0.3">
      <c r="A1522" s="6">
        <v>41239</v>
      </c>
      <c r="B1522" s="7">
        <v>95.911100000000005</v>
      </c>
      <c r="C1522" s="8">
        <f t="shared" si="11"/>
        <v>103.66660972583466</v>
      </c>
      <c r="D1522" s="9">
        <f t="shared" si="10"/>
        <v>65.902373262981982</v>
      </c>
      <c r="E1522" s="9"/>
      <c r="F1522" s="9">
        <f ca="1">IFERROR(__xludf.DUMMYFUNCTION("""COMPUTED_VALUE"""),43785)</f>
        <v>43785</v>
      </c>
      <c r="G1522" s="9" t="str">
        <f ca="1">IFERROR(__xludf.DUMMYFUNCTION("""COMPUTED_VALUE"""),"1 USD = 155.4939 PKR")</f>
        <v>1 USD = 155.4939 PKR</v>
      </c>
      <c r="H1522" s="9" t="str">
        <f ca="1">IFERROR(__xludf.DUMMYFUNCTION("""COMPUTED_VALUE"""),"USD PKR rate for 16/11/2019")</f>
        <v>USD PKR rate for 16/11/2019</v>
      </c>
      <c r="I1522" s="9"/>
    </row>
    <row r="1523" spans="1:9" ht="14.25" customHeight="1" x14ac:dyDescent="0.3">
      <c r="A1523" s="6">
        <v>41240</v>
      </c>
      <c r="B1523" s="7">
        <v>96.074700000000007</v>
      </c>
      <c r="C1523" s="8">
        <f t="shared" si="11"/>
        <v>103.68515047497061</v>
      </c>
      <c r="D1523" s="9">
        <f t="shared" si="10"/>
        <v>65.905111095779247</v>
      </c>
      <c r="E1523" s="9"/>
      <c r="F1523" s="9">
        <f ca="1">IFERROR(__xludf.DUMMYFUNCTION("""COMPUTED_VALUE"""),43784)</f>
        <v>43784</v>
      </c>
      <c r="G1523" s="9" t="str">
        <f ca="1">IFERROR(__xludf.DUMMYFUNCTION("""COMPUTED_VALUE"""),"1 USD = 155.4939 PKR")</f>
        <v>1 USD = 155.4939 PKR</v>
      </c>
      <c r="H1523" s="9" t="str">
        <f ca="1">IFERROR(__xludf.DUMMYFUNCTION("""COMPUTED_VALUE"""),"USD PKR rate for 15/11/2019")</f>
        <v>USD PKR rate for 15/11/2019</v>
      </c>
      <c r="I1523" s="9"/>
    </row>
    <row r="1524" spans="1:9" ht="14.25" customHeight="1" x14ac:dyDescent="0.3">
      <c r="A1524" s="6">
        <v>41241</v>
      </c>
      <c r="B1524" s="7">
        <v>96.378100000000003</v>
      </c>
      <c r="C1524" s="8">
        <f t="shared" si="11"/>
        <v>103.70369454011524</v>
      </c>
      <c r="D1524" s="9">
        <f t="shared" si="10"/>
        <v>65.907848928576513</v>
      </c>
      <c r="E1524" s="9"/>
      <c r="F1524" s="9">
        <f ca="1">IFERROR(__xludf.DUMMYFUNCTION("""COMPUTED_VALUE"""),43783)</f>
        <v>43783</v>
      </c>
      <c r="G1524" s="9" t="str">
        <f ca="1">IFERROR(__xludf.DUMMYFUNCTION("""COMPUTED_VALUE"""),"1 USD = 155.9044 PKR")</f>
        <v>1 USD = 155.9044 PKR</v>
      </c>
      <c r="H1524" s="9" t="str">
        <f ca="1">IFERROR(__xludf.DUMMYFUNCTION("""COMPUTED_VALUE"""),"USD PKR rate for 14/11/2019")</f>
        <v>USD PKR rate for 14/11/2019</v>
      </c>
      <c r="I1524" s="9"/>
    </row>
    <row r="1525" spans="1:9" ht="14.25" customHeight="1" x14ac:dyDescent="0.3">
      <c r="A1525" s="6">
        <v>41242</v>
      </c>
      <c r="B1525" s="7">
        <v>96.560500000000005</v>
      </c>
      <c r="C1525" s="8">
        <f t="shared" si="11"/>
        <v>103.72224192186162</v>
      </c>
      <c r="D1525" s="9">
        <f t="shared" si="10"/>
        <v>65.910586761373779</v>
      </c>
      <c r="E1525" s="9"/>
      <c r="F1525" s="9">
        <f ca="1">IFERROR(__xludf.DUMMYFUNCTION("""COMPUTED_VALUE"""),43782)</f>
        <v>43782</v>
      </c>
      <c r="G1525" s="9" t="str">
        <f ca="1">IFERROR(__xludf.DUMMYFUNCTION("""COMPUTED_VALUE"""),"1 USD = 155.7924 PKR")</f>
        <v>1 USD = 155.7924 PKR</v>
      </c>
      <c r="H1525" s="9" t="str">
        <f ca="1">IFERROR(__xludf.DUMMYFUNCTION("""COMPUTED_VALUE"""),"USD PKR rate for 13/11/2019")</f>
        <v>USD PKR rate for 13/11/2019</v>
      </c>
      <c r="I1525" s="9"/>
    </row>
    <row r="1526" spans="1:9" ht="14.25" customHeight="1" x14ac:dyDescent="0.3">
      <c r="A1526" s="6">
        <v>41243</v>
      </c>
      <c r="B1526" s="7">
        <v>96.632000000000005</v>
      </c>
      <c r="C1526" s="8">
        <f t="shared" si="11"/>
        <v>103.74079262080294</v>
      </c>
      <c r="D1526" s="9">
        <f t="shared" si="10"/>
        <v>65.913324594171044</v>
      </c>
      <c r="E1526" s="9"/>
      <c r="F1526" s="9">
        <f ca="1">IFERROR(__xludf.DUMMYFUNCTION("""COMPUTED_VALUE"""),43781)</f>
        <v>43781</v>
      </c>
      <c r="G1526" s="9" t="str">
        <f ca="1">IFERROR(__xludf.DUMMYFUNCTION("""COMPUTED_VALUE"""),"1 USD = 155.9288 PKR")</f>
        <v>1 USD = 155.9288 PKR</v>
      </c>
      <c r="H1526" s="9" t="str">
        <f ca="1">IFERROR(__xludf.DUMMYFUNCTION("""COMPUTED_VALUE"""),"USD PKR rate for 12/11/2019")</f>
        <v>USD PKR rate for 12/11/2019</v>
      </c>
      <c r="I1526" s="9"/>
    </row>
    <row r="1527" spans="1:9" ht="14.25" customHeight="1" x14ac:dyDescent="0.3">
      <c r="A1527" s="6">
        <v>41244</v>
      </c>
      <c r="B1527" s="7">
        <v>96.665300000000002</v>
      </c>
      <c r="C1527" s="8">
        <f t="shared" si="11"/>
        <v>103.75934663753247</v>
      </c>
      <c r="D1527" s="9">
        <f t="shared" si="10"/>
        <v>65.91606242696831</v>
      </c>
      <c r="E1527" s="9"/>
      <c r="F1527" s="9">
        <f ca="1">IFERROR(__xludf.DUMMYFUNCTION("""COMPUTED_VALUE"""),43780)</f>
        <v>43780</v>
      </c>
      <c r="G1527" s="9" t="str">
        <f ca="1">IFERROR(__xludf.DUMMYFUNCTION("""COMPUTED_VALUE"""),"1 USD = 155.9039 PKR")</f>
        <v>1 USD = 155.9039 PKR</v>
      </c>
      <c r="H1527" s="9" t="str">
        <f ca="1">IFERROR(__xludf.DUMMYFUNCTION("""COMPUTED_VALUE"""),"USD PKR rate for 11/11/2019")</f>
        <v>USD PKR rate for 11/11/2019</v>
      </c>
      <c r="I1527" s="9"/>
    </row>
    <row r="1528" spans="1:9" ht="14.25" customHeight="1" x14ac:dyDescent="0.3">
      <c r="A1528" s="6">
        <v>41245</v>
      </c>
      <c r="B1528" s="7">
        <v>96.597300000000004</v>
      </c>
      <c r="C1528" s="8">
        <f t="shared" si="11"/>
        <v>103.77790397264359</v>
      </c>
      <c r="D1528" s="9">
        <f t="shared" si="10"/>
        <v>65.918800259765575</v>
      </c>
      <c r="E1528" s="9"/>
      <c r="F1528" s="9">
        <f ca="1">IFERROR(__xludf.DUMMYFUNCTION("""COMPUTED_VALUE"""),43779)</f>
        <v>43779</v>
      </c>
      <c r="G1528" s="9" t="str">
        <f ca="1">IFERROR(__xludf.DUMMYFUNCTION("""COMPUTED_VALUE"""),"1 USD = 156.1016 PKR")</f>
        <v>1 USD = 156.1016 PKR</v>
      </c>
      <c r="H1528" s="9" t="str">
        <f ca="1">IFERROR(__xludf.DUMMYFUNCTION("""COMPUTED_VALUE"""),"USD PKR rate for 10/11/2019")</f>
        <v>USD PKR rate for 10/11/2019</v>
      </c>
      <c r="I1528" s="9"/>
    </row>
    <row r="1529" spans="1:9" ht="14.25" customHeight="1" x14ac:dyDescent="0.3">
      <c r="A1529" s="6">
        <v>41246</v>
      </c>
      <c r="B1529" s="7">
        <v>96.568100000000001</v>
      </c>
      <c r="C1529" s="8">
        <f t="shared" si="11"/>
        <v>103.79646462672979</v>
      </c>
      <c r="D1529" s="9">
        <f t="shared" si="10"/>
        <v>65.921538092562841</v>
      </c>
      <c r="E1529" s="9"/>
      <c r="F1529" s="9">
        <f ca="1">IFERROR(__xludf.DUMMYFUNCTION("""COMPUTED_VALUE"""),43778)</f>
        <v>43778</v>
      </c>
      <c r="G1529" s="9" t="str">
        <f ca="1">IFERROR(__xludf.DUMMYFUNCTION("""COMPUTED_VALUE"""),"1 USD = 156 PKR")</f>
        <v>1 USD = 156 PKR</v>
      </c>
      <c r="H1529" s="9" t="str">
        <f ca="1">IFERROR(__xludf.DUMMYFUNCTION("""COMPUTED_VALUE"""),"USD PKR rate for 09/11/2019")</f>
        <v>USD PKR rate for 09/11/2019</v>
      </c>
      <c r="I1529" s="9"/>
    </row>
    <row r="1530" spans="1:9" ht="14.25" customHeight="1" x14ac:dyDescent="0.3">
      <c r="A1530" s="6">
        <v>41247</v>
      </c>
      <c r="B1530" s="7">
        <v>96.585999999999999</v>
      </c>
      <c r="C1530" s="8">
        <f t="shared" si="11"/>
        <v>103.81502860038459</v>
      </c>
      <c r="D1530" s="9">
        <f t="shared" si="10"/>
        <v>65.924275925360106</v>
      </c>
      <c r="E1530" s="9"/>
      <c r="F1530" s="9">
        <f ca="1">IFERROR(__xludf.DUMMYFUNCTION("""COMPUTED_VALUE"""),43777)</f>
        <v>43777</v>
      </c>
      <c r="G1530" s="9" t="str">
        <f ca="1">IFERROR(__xludf.DUMMYFUNCTION("""COMPUTED_VALUE"""),"1 USD = 156 PKR")</f>
        <v>1 USD = 156 PKR</v>
      </c>
      <c r="H1530" s="9" t="str">
        <f ca="1">IFERROR(__xludf.DUMMYFUNCTION("""COMPUTED_VALUE"""),"USD PKR rate for 08/11/2019")</f>
        <v>USD PKR rate for 08/11/2019</v>
      </c>
      <c r="I1530" s="9"/>
    </row>
    <row r="1531" spans="1:9" ht="14.25" customHeight="1" x14ac:dyDescent="0.3">
      <c r="A1531" s="6">
        <v>41248</v>
      </c>
      <c r="B1531" s="7">
        <v>96.645899999999997</v>
      </c>
      <c r="C1531" s="8">
        <f t="shared" si="11"/>
        <v>103.83359589420186</v>
      </c>
      <c r="D1531" s="9">
        <f t="shared" si="10"/>
        <v>65.927013758157372</v>
      </c>
      <c r="E1531" s="9"/>
      <c r="F1531" s="9">
        <f ca="1">IFERROR(__xludf.DUMMYFUNCTION("""COMPUTED_VALUE"""),43776)</f>
        <v>43776</v>
      </c>
      <c r="G1531" s="9" t="str">
        <f ca="1">IFERROR(__xludf.DUMMYFUNCTION("""COMPUTED_VALUE"""),"1 USD = 156.0379 PKR")</f>
        <v>1 USD = 156.0379 PKR</v>
      </c>
      <c r="H1531" s="9" t="str">
        <f ca="1">IFERROR(__xludf.DUMMYFUNCTION("""COMPUTED_VALUE"""),"USD PKR rate for 07/11/2019")</f>
        <v>USD PKR rate for 07/11/2019</v>
      </c>
      <c r="I1531" s="9"/>
    </row>
    <row r="1532" spans="1:9" ht="14.25" customHeight="1" x14ac:dyDescent="0.3">
      <c r="A1532" s="6">
        <v>41249</v>
      </c>
      <c r="B1532" s="7">
        <v>96.661199999999994</v>
      </c>
      <c r="C1532" s="8">
        <f t="shared" si="11"/>
        <v>103.85216650877533</v>
      </c>
      <c r="D1532" s="9">
        <f t="shared" si="10"/>
        <v>65.929751590954638</v>
      </c>
      <c r="E1532" s="9"/>
      <c r="F1532" s="9">
        <f ca="1">IFERROR(__xludf.DUMMYFUNCTION("""COMPUTED_VALUE"""),43775)</f>
        <v>43775</v>
      </c>
      <c r="G1532" s="9" t="str">
        <f ca="1">IFERROR(__xludf.DUMMYFUNCTION("""COMPUTED_VALUE"""),"1 USD = 156.1589 PKR")</f>
        <v>1 USD = 156.1589 PKR</v>
      </c>
      <c r="H1532" s="9" t="str">
        <f ca="1">IFERROR(__xludf.DUMMYFUNCTION("""COMPUTED_VALUE"""),"USD PKR rate for 06/11/2019")</f>
        <v>USD PKR rate for 06/11/2019</v>
      </c>
      <c r="I1532" s="9"/>
    </row>
    <row r="1533" spans="1:9" ht="14.25" customHeight="1" x14ac:dyDescent="0.3">
      <c r="A1533" s="6">
        <v>41250</v>
      </c>
      <c r="B1533" s="7">
        <v>96.781300000000002</v>
      </c>
      <c r="C1533" s="8">
        <f t="shared" si="11"/>
        <v>103.87074044469894</v>
      </c>
      <c r="D1533" s="9">
        <f t="shared" ref="D1533:D1787" si="12">(A1533-$A$3)/365.2524</f>
        <v>65.932489423751903</v>
      </c>
      <c r="E1533" s="9"/>
      <c r="F1533" s="9">
        <f ca="1">IFERROR(__xludf.DUMMYFUNCTION("""COMPUTED_VALUE"""),43774)</f>
        <v>43774</v>
      </c>
      <c r="G1533" s="9" t="str">
        <f ca="1">IFERROR(__xludf.DUMMYFUNCTION("""COMPUTED_VALUE"""),"1 USD = 156.108 PKR")</f>
        <v>1 USD = 156.108 PKR</v>
      </c>
      <c r="H1533" s="9" t="str">
        <f ca="1">IFERROR(__xludf.DUMMYFUNCTION("""COMPUTED_VALUE"""),"USD PKR rate for 05/11/2019")</f>
        <v>USD PKR rate for 05/11/2019</v>
      </c>
      <c r="I1533" s="9"/>
    </row>
    <row r="1534" spans="1:9" ht="14.25" customHeight="1" x14ac:dyDescent="0.3">
      <c r="A1534" s="6">
        <v>41251</v>
      </c>
      <c r="B1534" s="7">
        <v>96.786900000000017</v>
      </c>
      <c r="C1534" s="8">
        <f t="shared" ref="C1534:C1788" si="13">(1+$C$1)^D1534*$C$3</f>
        <v>103.88931770256664</v>
      </c>
      <c r="D1534" s="9">
        <f t="shared" si="12"/>
        <v>65.935227256549169</v>
      </c>
      <c r="E1534" s="9"/>
      <c r="F1534" s="9">
        <f ca="1">IFERROR(__xludf.DUMMYFUNCTION("""COMPUTED_VALUE"""),43773)</f>
        <v>43773</v>
      </c>
      <c r="G1534" s="9" t="str">
        <f ca="1">IFERROR(__xludf.DUMMYFUNCTION("""COMPUTED_VALUE"""),"1 USD = 155.6252 PKR")</f>
        <v>1 USD = 155.6252 PKR</v>
      </c>
      <c r="H1534" s="9" t="str">
        <f ca="1">IFERROR(__xludf.DUMMYFUNCTION("""COMPUTED_VALUE"""),"USD PKR rate for 04/11/2019")</f>
        <v>USD PKR rate for 04/11/2019</v>
      </c>
      <c r="I1534" s="9"/>
    </row>
    <row r="1535" spans="1:9" ht="14.25" customHeight="1" x14ac:dyDescent="0.3">
      <c r="A1535" s="6">
        <v>41252</v>
      </c>
      <c r="B1535" s="7">
        <v>96.841899999999995</v>
      </c>
      <c r="C1535" s="8">
        <f t="shared" si="13"/>
        <v>103.90789828297264</v>
      </c>
      <c r="D1535" s="9">
        <f t="shared" si="12"/>
        <v>65.937965089346434</v>
      </c>
      <c r="E1535" s="9"/>
      <c r="F1535" s="9">
        <f ca="1">IFERROR(__xludf.DUMMYFUNCTION("""COMPUTED_VALUE"""),43772)</f>
        <v>43772</v>
      </c>
      <c r="G1535" s="9" t="str">
        <f ca="1">IFERROR(__xludf.DUMMYFUNCTION("""COMPUTED_VALUE"""),"1 USD = 154.9576 PKR")</f>
        <v>1 USD = 154.9576 PKR</v>
      </c>
      <c r="H1535" s="9" t="str">
        <f ca="1">IFERROR(__xludf.DUMMYFUNCTION("""COMPUTED_VALUE"""),"USD PKR rate for 03/11/2019")</f>
        <v>USD PKR rate for 03/11/2019</v>
      </c>
      <c r="I1535" s="9"/>
    </row>
    <row r="1536" spans="1:9" ht="14.25" customHeight="1" x14ac:dyDescent="0.3">
      <c r="A1536" s="6">
        <v>41253</v>
      </c>
      <c r="B1536" s="7">
        <v>96.954999999999998</v>
      </c>
      <c r="C1536" s="8">
        <f t="shared" si="13"/>
        <v>103.92648218651114</v>
      </c>
      <c r="D1536" s="9">
        <f t="shared" si="12"/>
        <v>65.9407029221437</v>
      </c>
      <c r="E1536" s="9"/>
      <c r="F1536" s="9">
        <f ca="1">IFERROR(__xludf.DUMMYFUNCTION("""COMPUTED_VALUE"""),43771)</f>
        <v>43771</v>
      </c>
      <c r="G1536" s="9" t="str">
        <f ca="1">IFERROR(__xludf.DUMMYFUNCTION("""COMPUTED_VALUE"""),"1 USD = 154.9622 PKR")</f>
        <v>1 USD = 154.9622 PKR</v>
      </c>
      <c r="H1536" s="9" t="str">
        <f ca="1">IFERROR(__xludf.DUMMYFUNCTION("""COMPUTED_VALUE"""),"USD PKR rate for 02/11/2019")</f>
        <v>USD PKR rate for 02/11/2019</v>
      </c>
      <c r="I1536" s="9"/>
    </row>
    <row r="1537" spans="1:9" ht="14.25" customHeight="1" x14ac:dyDescent="0.3">
      <c r="A1537" s="6">
        <v>41254</v>
      </c>
      <c r="B1537" s="7">
        <v>97.015300000000011</v>
      </c>
      <c r="C1537" s="8">
        <f t="shared" si="13"/>
        <v>103.94506941377648</v>
      </c>
      <c r="D1537" s="9">
        <f t="shared" si="12"/>
        <v>65.943440754940966</v>
      </c>
      <c r="E1537" s="9"/>
      <c r="F1537" s="9">
        <f ca="1">IFERROR(__xludf.DUMMYFUNCTION("""COMPUTED_VALUE"""),43770)</f>
        <v>43770</v>
      </c>
      <c r="G1537" s="9" t="str">
        <f ca="1">IFERROR(__xludf.DUMMYFUNCTION("""COMPUTED_VALUE"""),"1 USD = 154.9578 PKR")</f>
        <v>1 USD = 154.9578 PKR</v>
      </c>
      <c r="H1537" s="9" t="str">
        <f ca="1">IFERROR(__xludf.DUMMYFUNCTION("""COMPUTED_VALUE"""),"USD PKR rate for 01/11/2019")</f>
        <v>USD PKR rate for 01/11/2019</v>
      </c>
      <c r="I1537" s="9"/>
    </row>
    <row r="1538" spans="1:9" ht="14.25" customHeight="1" x14ac:dyDescent="0.3">
      <c r="A1538" s="6">
        <v>41255</v>
      </c>
      <c r="B1538" s="7">
        <v>97.100700000000003</v>
      </c>
      <c r="C1538" s="8">
        <f t="shared" si="13"/>
        <v>103.96365996536311</v>
      </c>
      <c r="D1538" s="9">
        <f t="shared" si="12"/>
        <v>65.946178587738231</v>
      </c>
      <c r="E1538" s="9"/>
      <c r="F1538" s="9">
        <f ca="1">IFERROR(__xludf.DUMMYFUNCTION("""COMPUTED_VALUE"""),43769)</f>
        <v>43769</v>
      </c>
      <c r="G1538" s="9" t="str">
        <f ca="1">IFERROR(__xludf.DUMMYFUNCTION("""COMPUTED_VALUE"""),"1 USD = 155.5016 PKR")</f>
        <v>1 USD = 155.5016 PKR</v>
      </c>
      <c r="H1538" s="9" t="str">
        <f ca="1">IFERROR(__xludf.DUMMYFUNCTION("""COMPUTED_VALUE"""),"USD PKR rate for 31/10/2019")</f>
        <v>USD PKR rate for 31/10/2019</v>
      </c>
      <c r="I1538" s="9"/>
    </row>
    <row r="1539" spans="1:9" ht="14.25" customHeight="1" x14ac:dyDescent="0.3">
      <c r="A1539" s="6">
        <v>41256</v>
      </c>
      <c r="B1539" s="7">
        <v>97.401600000000002</v>
      </c>
      <c r="C1539" s="8">
        <f t="shared" si="13"/>
        <v>103.98225384186549</v>
      </c>
      <c r="D1539" s="9">
        <f t="shared" si="12"/>
        <v>65.948916420535497</v>
      </c>
      <c r="E1539" s="9"/>
      <c r="F1539" s="9">
        <f ca="1">IFERROR(__xludf.DUMMYFUNCTION("""COMPUTED_VALUE"""),43768)</f>
        <v>43768</v>
      </c>
      <c r="G1539" s="9" t="str">
        <f ca="1">IFERROR(__xludf.DUMMYFUNCTION("""COMPUTED_VALUE"""),"1 USD = 155.6027 PKR")</f>
        <v>1 USD = 155.6027 PKR</v>
      </c>
      <c r="H1539" s="9" t="str">
        <f ca="1">IFERROR(__xludf.DUMMYFUNCTION("""COMPUTED_VALUE"""),"USD PKR rate for 30/10/2019")</f>
        <v>USD PKR rate for 30/10/2019</v>
      </c>
      <c r="I1539" s="9"/>
    </row>
    <row r="1540" spans="1:9" ht="14.25" customHeight="1" x14ac:dyDescent="0.3">
      <c r="A1540" s="6">
        <v>41257</v>
      </c>
      <c r="B1540" s="7">
        <v>97.504000000000005</v>
      </c>
      <c r="C1540" s="8">
        <f t="shared" si="13"/>
        <v>104.00085104387847</v>
      </c>
      <c r="D1540" s="9">
        <f t="shared" si="12"/>
        <v>65.951654253332762</v>
      </c>
      <c r="E1540" s="9"/>
      <c r="F1540" s="9">
        <f ca="1">IFERROR(__xludf.DUMMYFUNCTION("""COMPUTED_VALUE"""),43767)</f>
        <v>43767</v>
      </c>
      <c r="G1540" s="9" t="str">
        <f ca="1">IFERROR(__xludf.DUMMYFUNCTION("""COMPUTED_VALUE"""),"1 USD = 155.6793 PKR")</f>
        <v>1 USD = 155.6793 PKR</v>
      </c>
      <c r="H1540" s="9" t="str">
        <f ca="1">IFERROR(__xludf.DUMMYFUNCTION("""COMPUTED_VALUE"""),"USD PKR rate for 29/10/2019")</f>
        <v>USD PKR rate for 29/10/2019</v>
      </c>
      <c r="I1540" s="9"/>
    </row>
    <row r="1541" spans="1:9" ht="14.25" customHeight="1" x14ac:dyDescent="0.3">
      <c r="A1541" s="6">
        <v>41258</v>
      </c>
      <c r="B1541" s="7">
        <v>97.646699999999996</v>
      </c>
      <c r="C1541" s="8">
        <f t="shared" si="13"/>
        <v>104.01945157199673</v>
      </c>
      <c r="D1541" s="9">
        <f t="shared" si="12"/>
        <v>65.954392086130028</v>
      </c>
      <c r="E1541" s="9"/>
      <c r="F1541" s="9">
        <f ca="1">IFERROR(__xludf.DUMMYFUNCTION("""COMPUTED_VALUE"""),43766)</f>
        <v>43766</v>
      </c>
      <c r="G1541" s="9" t="str">
        <f ca="1">IFERROR(__xludf.DUMMYFUNCTION("""COMPUTED_VALUE"""),"1 USD = 155.8548 PKR")</f>
        <v>1 USD = 155.8548 PKR</v>
      </c>
      <c r="H1541" s="9" t="str">
        <f ca="1">IFERROR(__xludf.DUMMYFUNCTION("""COMPUTED_VALUE"""),"USD PKR rate for 28/10/2019")</f>
        <v>USD PKR rate for 28/10/2019</v>
      </c>
      <c r="I1541" s="9"/>
    </row>
    <row r="1542" spans="1:9" ht="14.25" customHeight="1" x14ac:dyDescent="0.3">
      <c r="A1542" s="6">
        <v>41259</v>
      </c>
      <c r="B1542" s="7">
        <v>97.494699999999995</v>
      </c>
      <c r="C1542" s="8">
        <f t="shared" si="13"/>
        <v>104.03805542681512</v>
      </c>
      <c r="D1542" s="9">
        <f t="shared" si="12"/>
        <v>65.957129918927293</v>
      </c>
      <c r="E1542" s="9"/>
      <c r="F1542" s="9">
        <f ca="1">IFERROR(__xludf.DUMMYFUNCTION("""COMPUTED_VALUE"""),43765)</f>
        <v>43765</v>
      </c>
      <c r="G1542" s="9" t="str">
        <f ca="1">IFERROR(__xludf.DUMMYFUNCTION("""COMPUTED_VALUE"""),"1 USD = 156.1919 PKR")</f>
        <v>1 USD = 156.1919 PKR</v>
      </c>
      <c r="H1542" s="9" t="str">
        <f ca="1">IFERROR(__xludf.DUMMYFUNCTION("""COMPUTED_VALUE"""),"USD PKR rate for 27/10/2019")</f>
        <v>USD PKR rate for 27/10/2019</v>
      </c>
      <c r="I1542" s="9"/>
    </row>
    <row r="1543" spans="1:9" ht="14.25" customHeight="1" x14ac:dyDescent="0.3">
      <c r="A1543" s="6">
        <v>41260</v>
      </c>
      <c r="B1543" s="7">
        <v>97.847000000000008</v>
      </c>
      <c r="C1543" s="8">
        <f t="shared" si="13"/>
        <v>104.05666260892863</v>
      </c>
      <c r="D1543" s="9">
        <f t="shared" si="12"/>
        <v>65.959867751724559</v>
      </c>
      <c r="E1543" s="9"/>
      <c r="F1543" s="9">
        <f ca="1">IFERROR(__xludf.DUMMYFUNCTION("""COMPUTED_VALUE"""),43764)</f>
        <v>43764</v>
      </c>
      <c r="G1543" s="9" t="str">
        <f ca="1">IFERROR(__xludf.DUMMYFUNCTION("""COMPUTED_VALUE"""),"1 USD = 155.7999 PKR")</f>
        <v>1 USD = 155.7999 PKR</v>
      </c>
      <c r="H1543" s="9" t="str">
        <f ca="1">IFERROR(__xludf.DUMMYFUNCTION("""COMPUTED_VALUE"""),"USD PKR rate for 26/10/2019")</f>
        <v>USD PKR rate for 26/10/2019</v>
      </c>
      <c r="I1543" s="9"/>
    </row>
    <row r="1544" spans="1:9" ht="14.25" customHeight="1" x14ac:dyDescent="0.3">
      <c r="A1544" s="6">
        <v>41261</v>
      </c>
      <c r="B1544" s="7">
        <v>97.751099999999994</v>
      </c>
      <c r="C1544" s="8">
        <f t="shared" si="13"/>
        <v>104.07527311893236</v>
      </c>
      <c r="D1544" s="9">
        <f t="shared" si="12"/>
        <v>65.962605584521825</v>
      </c>
      <c r="E1544" s="9"/>
      <c r="F1544" s="9">
        <f ca="1">IFERROR(__xludf.DUMMYFUNCTION("""COMPUTED_VALUE"""),43763)</f>
        <v>43763</v>
      </c>
      <c r="G1544" s="9" t="str">
        <f ca="1">IFERROR(__xludf.DUMMYFUNCTION("""COMPUTED_VALUE"""),"1 USD = 155.794 PKR")</f>
        <v>1 USD = 155.794 PKR</v>
      </c>
      <c r="H1544" s="9" t="str">
        <f ca="1">IFERROR(__xludf.DUMMYFUNCTION("""COMPUTED_VALUE"""),"USD PKR rate for 25/10/2019")</f>
        <v>USD PKR rate for 25/10/2019</v>
      </c>
      <c r="I1544" s="9"/>
    </row>
    <row r="1545" spans="1:9" ht="14.25" customHeight="1" x14ac:dyDescent="0.3">
      <c r="A1545" s="6">
        <v>41262</v>
      </c>
      <c r="B1545" s="7">
        <v>97.946200000000019</v>
      </c>
      <c r="C1545" s="8">
        <f t="shared" si="13"/>
        <v>104.09388695742152</v>
      </c>
      <c r="D1545" s="9">
        <f t="shared" si="12"/>
        <v>65.96534341731909</v>
      </c>
      <c r="E1545" s="9"/>
      <c r="F1545" s="9">
        <f ca="1">IFERROR(__xludf.DUMMYFUNCTION("""COMPUTED_VALUE"""),43762)</f>
        <v>43762</v>
      </c>
      <c r="G1545" s="9" t="str">
        <f ca="1">IFERROR(__xludf.DUMMYFUNCTION("""COMPUTED_VALUE"""),"1 USD = 155.9723 PKR")</f>
        <v>1 USD = 155.9723 PKR</v>
      </c>
      <c r="H1545" s="9" t="str">
        <f ca="1">IFERROR(__xludf.DUMMYFUNCTION("""COMPUTED_VALUE"""),"USD PKR rate for 24/10/2019")</f>
        <v>USD PKR rate for 24/10/2019</v>
      </c>
      <c r="I1545" s="9"/>
    </row>
    <row r="1546" spans="1:9" ht="14.25" customHeight="1" x14ac:dyDescent="0.3">
      <c r="A1546" s="6">
        <v>41263</v>
      </c>
      <c r="B1546" s="7">
        <v>97.50930000000001</v>
      </c>
      <c r="C1546" s="8">
        <f t="shared" si="13"/>
        <v>104.11250412499133</v>
      </c>
      <c r="D1546" s="9">
        <f t="shared" si="12"/>
        <v>65.968081250116356</v>
      </c>
      <c r="E1546" s="9"/>
      <c r="F1546" s="9">
        <f ca="1">IFERROR(__xludf.DUMMYFUNCTION("""COMPUTED_VALUE"""),43761)</f>
        <v>43761</v>
      </c>
      <c r="G1546" s="9" t="str">
        <f ca="1">IFERROR(__xludf.DUMMYFUNCTION("""COMPUTED_VALUE"""),"1 USD = 156.0434 PKR")</f>
        <v>1 USD = 156.0434 PKR</v>
      </c>
      <c r="H1546" s="9" t="str">
        <f ca="1">IFERROR(__xludf.DUMMYFUNCTION("""COMPUTED_VALUE"""),"USD PKR rate for 23/10/2019")</f>
        <v>USD PKR rate for 23/10/2019</v>
      </c>
      <c r="I1546" s="9"/>
    </row>
    <row r="1547" spans="1:9" ht="14.25" customHeight="1" x14ac:dyDescent="0.3">
      <c r="A1547" s="6">
        <v>41264</v>
      </c>
      <c r="B1547" s="7">
        <v>97.727699999999999</v>
      </c>
      <c r="C1547" s="8">
        <f t="shared" si="13"/>
        <v>104.13112462223728</v>
      </c>
      <c r="D1547" s="9">
        <f t="shared" si="12"/>
        <v>65.970819082913621</v>
      </c>
      <c r="E1547" s="9"/>
      <c r="F1547" s="9">
        <f ca="1">IFERROR(__xludf.DUMMYFUNCTION("""COMPUTED_VALUE"""),43760)</f>
        <v>43760</v>
      </c>
      <c r="G1547" s="9" t="str">
        <f ca="1">IFERROR(__xludf.DUMMYFUNCTION("""COMPUTED_VALUE"""),"1 USD = 156.3183 PKR")</f>
        <v>1 USD = 156.3183 PKR</v>
      </c>
      <c r="H1547" s="9" t="str">
        <f ca="1">IFERROR(__xludf.DUMMYFUNCTION("""COMPUTED_VALUE"""),"USD PKR rate for 22/10/2019")</f>
        <v>USD PKR rate for 22/10/2019</v>
      </c>
      <c r="I1547" s="9"/>
    </row>
    <row r="1548" spans="1:9" ht="14.25" customHeight="1" x14ac:dyDescent="0.3">
      <c r="A1548" s="6">
        <v>41265</v>
      </c>
      <c r="B1548" s="7">
        <v>97.563100000000006</v>
      </c>
      <c r="C1548" s="8">
        <f t="shared" si="13"/>
        <v>104.14974844975477</v>
      </c>
      <c r="D1548" s="9">
        <f t="shared" si="12"/>
        <v>65.973556915710887</v>
      </c>
      <c r="E1548" s="9"/>
      <c r="F1548" s="9">
        <f ca="1">IFERROR(__xludf.DUMMYFUNCTION("""COMPUTED_VALUE"""),43759)</f>
        <v>43759</v>
      </c>
      <c r="G1548" s="9" t="str">
        <f ca="1">IFERROR(__xludf.DUMMYFUNCTION("""COMPUTED_VALUE"""),"1 USD = 155.9964 PKR")</f>
        <v>1 USD = 155.9964 PKR</v>
      </c>
      <c r="H1548" s="9" t="str">
        <f ca="1">IFERROR(__xludf.DUMMYFUNCTION("""COMPUTED_VALUE"""),"USD PKR rate for 21/10/2019")</f>
        <v>USD PKR rate for 21/10/2019</v>
      </c>
      <c r="I1548" s="9"/>
    </row>
    <row r="1549" spans="1:9" ht="14.25" customHeight="1" x14ac:dyDescent="0.3">
      <c r="A1549" s="6">
        <v>41266</v>
      </c>
      <c r="B1549" s="7">
        <v>97.639600000000002</v>
      </c>
      <c r="C1549" s="8">
        <f t="shared" si="13"/>
        <v>104.16837560813956</v>
      </c>
      <c r="D1549" s="9">
        <f t="shared" si="12"/>
        <v>65.976294748508153</v>
      </c>
      <c r="E1549" s="9"/>
      <c r="F1549" s="9">
        <f ca="1">IFERROR(__xludf.DUMMYFUNCTION("""COMPUTED_VALUE"""),43758)</f>
        <v>43758</v>
      </c>
      <c r="G1549" s="9" t="str">
        <f ca="1">IFERROR(__xludf.DUMMYFUNCTION("""COMPUTED_VALUE"""),"1 USD = 156.2746 PKR")</f>
        <v>1 USD = 156.2746 PKR</v>
      </c>
      <c r="H1549" s="9" t="str">
        <f ca="1">IFERROR(__xludf.DUMMYFUNCTION("""COMPUTED_VALUE"""),"USD PKR rate for 20/10/2019")</f>
        <v>USD PKR rate for 20/10/2019</v>
      </c>
      <c r="I1549" s="9"/>
    </row>
    <row r="1550" spans="1:9" ht="14.25" customHeight="1" x14ac:dyDescent="0.3">
      <c r="A1550" s="6">
        <v>41267</v>
      </c>
      <c r="B1550" s="7">
        <v>97.664599999999993</v>
      </c>
      <c r="C1550" s="8">
        <f t="shared" si="13"/>
        <v>104.18700609798732</v>
      </c>
      <c r="D1550" s="9">
        <f t="shared" si="12"/>
        <v>65.979032581305418</v>
      </c>
      <c r="E1550" s="9"/>
      <c r="F1550" s="9">
        <f ca="1">IFERROR(__xludf.DUMMYFUNCTION("""COMPUTED_VALUE"""),43757)</f>
        <v>43757</v>
      </c>
      <c r="G1550" s="9" t="str">
        <f ca="1">IFERROR(__xludf.DUMMYFUNCTION("""COMPUTED_VALUE"""),"1 USD = 155.9492 PKR")</f>
        <v>1 USD = 155.9492 PKR</v>
      </c>
      <c r="H1550" s="9" t="str">
        <f ca="1">IFERROR(__xludf.DUMMYFUNCTION("""COMPUTED_VALUE"""),"USD PKR rate for 19/10/2019")</f>
        <v>USD PKR rate for 19/10/2019</v>
      </c>
      <c r="I1550" s="9"/>
    </row>
    <row r="1551" spans="1:9" ht="14.25" customHeight="1" x14ac:dyDescent="0.3">
      <c r="A1551" s="6">
        <v>41268</v>
      </c>
      <c r="B1551" s="7">
        <v>97.614199999999997</v>
      </c>
      <c r="C1551" s="8">
        <f t="shared" si="13"/>
        <v>104.20563991989388</v>
      </c>
      <c r="D1551" s="9">
        <f t="shared" si="12"/>
        <v>65.981770414102684</v>
      </c>
      <c r="E1551" s="9"/>
      <c r="F1551" s="9">
        <f ca="1">IFERROR(__xludf.DUMMYFUNCTION("""COMPUTED_VALUE"""),43756)</f>
        <v>43756</v>
      </c>
      <c r="G1551" s="9" t="str">
        <f ca="1">IFERROR(__xludf.DUMMYFUNCTION("""COMPUTED_VALUE"""),"1 USD = 155.9492 PKR")</f>
        <v>1 USD = 155.9492 PKR</v>
      </c>
      <c r="H1551" s="9" t="str">
        <f ca="1">IFERROR(__xludf.DUMMYFUNCTION("""COMPUTED_VALUE"""),"USD PKR rate for 18/10/2019")</f>
        <v>USD PKR rate for 18/10/2019</v>
      </c>
      <c r="I1551" s="9"/>
    </row>
    <row r="1552" spans="1:9" ht="14.25" customHeight="1" x14ac:dyDescent="0.3">
      <c r="A1552" s="6">
        <v>41269</v>
      </c>
      <c r="B1552" s="7">
        <v>97.5167</v>
      </c>
      <c r="C1552" s="8">
        <f t="shared" si="13"/>
        <v>104.22427707445517</v>
      </c>
      <c r="D1552" s="9">
        <f t="shared" si="12"/>
        <v>65.984508246899949</v>
      </c>
      <c r="E1552" s="9"/>
      <c r="F1552" s="9">
        <f ca="1">IFERROR(__xludf.DUMMYFUNCTION("""COMPUTED_VALUE"""),43755)</f>
        <v>43755</v>
      </c>
      <c r="G1552" s="9" t="str">
        <f ca="1">IFERROR(__xludf.DUMMYFUNCTION("""COMPUTED_VALUE"""),"1 USD = 156.0388 PKR")</f>
        <v>1 USD = 156.0388 PKR</v>
      </c>
      <c r="H1552" s="9" t="str">
        <f ca="1">IFERROR(__xludf.DUMMYFUNCTION("""COMPUTED_VALUE"""),"USD PKR rate for 17/10/2019")</f>
        <v>USD PKR rate for 17/10/2019</v>
      </c>
      <c r="I1552" s="9"/>
    </row>
    <row r="1553" spans="1:9" ht="14.25" customHeight="1" x14ac:dyDescent="0.3">
      <c r="A1553" s="6">
        <v>41270</v>
      </c>
      <c r="B1553" s="7">
        <v>97.624700000000004</v>
      </c>
      <c r="C1553" s="8">
        <f t="shared" si="13"/>
        <v>104.24291756226724</v>
      </c>
      <c r="D1553" s="9">
        <f t="shared" si="12"/>
        <v>65.987246079697215</v>
      </c>
      <c r="E1553" s="9"/>
      <c r="F1553" s="9">
        <f ca="1">IFERROR(__xludf.DUMMYFUNCTION("""COMPUTED_VALUE"""),43754)</f>
        <v>43754</v>
      </c>
      <c r="G1553" s="9" t="str">
        <f ca="1">IFERROR(__xludf.DUMMYFUNCTION("""COMPUTED_VALUE"""),"1 USD = 156.0696 PKR")</f>
        <v>1 USD = 156.0696 PKR</v>
      </c>
      <c r="H1553" s="9" t="str">
        <f ca="1">IFERROR(__xludf.DUMMYFUNCTION("""COMPUTED_VALUE"""),"USD PKR rate for 16/10/2019")</f>
        <v>USD PKR rate for 16/10/2019</v>
      </c>
      <c r="I1553" s="9"/>
    </row>
    <row r="1554" spans="1:9" ht="14.25" customHeight="1" x14ac:dyDescent="0.3">
      <c r="A1554" s="6">
        <v>41271</v>
      </c>
      <c r="B1554" s="7">
        <v>97.44380000000001</v>
      </c>
      <c r="C1554" s="8">
        <f t="shared" si="13"/>
        <v>104.26156138392622</v>
      </c>
      <c r="D1554" s="9">
        <f t="shared" si="12"/>
        <v>65.98998391249448</v>
      </c>
      <c r="E1554" s="9"/>
      <c r="F1554" s="9">
        <f ca="1">IFERROR(__xludf.DUMMYFUNCTION("""COMPUTED_VALUE"""),43753)</f>
        <v>43753</v>
      </c>
      <c r="G1554" s="9" t="str">
        <f ca="1">IFERROR(__xludf.DUMMYFUNCTION("""COMPUTED_VALUE"""),"1 USD = 156.33 PKR")</f>
        <v>1 USD = 156.33 PKR</v>
      </c>
      <c r="H1554" s="9" t="str">
        <f ca="1">IFERROR(__xludf.DUMMYFUNCTION("""COMPUTED_VALUE"""),"USD PKR rate for 15/10/2019")</f>
        <v>USD PKR rate for 15/10/2019</v>
      </c>
      <c r="I1554" s="9"/>
    </row>
    <row r="1555" spans="1:9" ht="14.25" customHeight="1" x14ac:dyDescent="0.3">
      <c r="A1555" s="6">
        <v>41272</v>
      </c>
      <c r="B1555" s="7">
        <v>97.402500000000003</v>
      </c>
      <c r="C1555" s="8">
        <f t="shared" si="13"/>
        <v>104.2802085400284</v>
      </c>
      <c r="D1555" s="9">
        <f t="shared" si="12"/>
        <v>65.992721745291746</v>
      </c>
      <c r="E1555" s="9"/>
      <c r="F1555" s="9">
        <f ca="1">IFERROR(__xludf.DUMMYFUNCTION("""COMPUTED_VALUE"""),43752)</f>
        <v>43752</v>
      </c>
      <c r="G1555" s="9" t="str">
        <f ca="1">IFERROR(__xludf.DUMMYFUNCTION("""COMPUTED_VALUE"""),"1 USD = 156.8138 PKR")</f>
        <v>1 USD = 156.8138 PKR</v>
      </c>
      <c r="H1555" s="9" t="str">
        <f ca="1">IFERROR(__xludf.DUMMYFUNCTION("""COMPUTED_VALUE"""),"USD PKR rate for 14/10/2019")</f>
        <v>USD PKR rate for 14/10/2019</v>
      </c>
      <c r="I1555" s="9"/>
    </row>
    <row r="1556" spans="1:9" ht="14.25" customHeight="1" x14ac:dyDescent="0.3">
      <c r="A1556" s="6">
        <v>41273</v>
      </c>
      <c r="B1556" s="7">
        <v>97.249100000000013</v>
      </c>
      <c r="C1556" s="8">
        <f t="shared" si="13"/>
        <v>104.29885903117014</v>
      </c>
      <c r="D1556" s="9">
        <f t="shared" si="12"/>
        <v>65.995459578089012</v>
      </c>
      <c r="E1556" s="9"/>
      <c r="F1556" s="9">
        <f ca="1">IFERROR(__xludf.DUMMYFUNCTION("""COMPUTED_VALUE"""),43751)</f>
        <v>43751</v>
      </c>
      <c r="G1556" s="9" t="str">
        <f ca="1">IFERROR(__xludf.DUMMYFUNCTION("""COMPUTED_VALUE"""),"1 USD = 156.7781 PKR")</f>
        <v>1 USD = 156.7781 PKR</v>
      </c>
      <c r="H1556" s="9" t="str">
        <f ca="1">IFERROR(__xludf.DUMMYFUNCTION("""COMPUTED_VALUE"""),"USD PKR rate for 13/10/2019")</f>
        <v>USD PKR rate for 13/10/2019</v>
      </c>
      <c r="I1556" s="9"/>
    </row>
    <row r="1557" spans="1:9" ht="14.25" customHeight="1" x14ac:dyDescent="0.3">
      <c r="A1557" s="6">
        <v>41274</v>
      </c>
      <c r="B1557" s="7">
        <v>97.119600000000005</v>
      </c>
      <c r="C1557" s="8">
        <f t="shared" si="13"/>
        <v>104.31751285794778</v>
      </c>
      <c r="D1557" s="9">
        <f t="shared" si="12"/>
        <v>65.998197410886277</v>
      </c>
      <c r="E1557" s="9"/>
      <c r="F1557" s="9">
        <f ca="1">IFERROR(__xludf.DUMMYFUNCTION("""COMPUTED_VALUE"""),43750)</f>
        <v>43750</v>
      </c>
      <c r="G1557" s="9" t="str">
        <f ca="1">IFERROR(__xludf.DUMMYFUNCTION("""COMPUTED_VALUE"""),"1 USD = 156.5003 PKR")</f>
        <v>1 USD = 156.5003 PKR</v>
      </c>
      <c r="H1557" s="9" t="str">
        <f ca="1">IFERROR(__xludf.DUMMYFUNCTION("""COMPUTED_VALUE"""),"USD PKR rate for 12/10/2019")</f>
        <v>USD PKR rate for 12/10/2019</v>
      </c>
      <c r="I1557" s="9"/>
    </row>
    <row r="1558" spans="1:9" ht="14.25" customHeight="1" x14ac:dyDescent="0.3">
      <c r="A1558" s="6">
        <v>41275</v>
      </c>
      <c r="B1558" s="7">
        <v>97.160499999999999</v>
      </c>
      <c r="C1558" s="8">
        <f t="shared" si="13"/>
        <v>104.33617002095812</v>
      </c>
      <c r="D1558" s="9">
        <f t="shared" si="12"/>
        <v>66.000935243683543</v>
      </c>
      <c r="E1558" s="9"/>
      <c r="F1558" s="9">
        <f ca="1">IFERROR(__xludf.DUMMYFUNCTION("""COMPUTED_VALUE"""),43749)</f>
        <v>43749</v>
      </c>
      <c r="G1558" s="9" t="str">
        <f ca="1">IFERROR(__xludf.DUMMYFUNCTION("""COMPUTED_VALUE"""),"1 USD = 156.5003 PKR")</f>
        <v>1 USD = 156.5003 PKR</v>
      </c>
      <c r="H1558" s="9" t="str">
        <f ca="1">IFERROR(__xludf.DUMMYFUNCTION("""COMPUTED_VALUE"""),"USD PKR rate for 11/10/2019")</f>
        <v>USD PKR rate for 11/10/2019</v>
      </c>
      <c r="I1558" s="9"/>
    </row>
    <row r="1559" spans="1:9" ht="14.25" customHeight="1" x14ac:dyDescent="0.3">
      <c r="A1559" s="6">
        <v>41276</v>
      </c>
      <c r="B1559" s="7">
        <v>97.502200000000002</v>
      </c>
      <c r="C1559" s="8">
        <f t="shared" si="13"/>
        <v>104.35483052079776</v>
      </c>
      <c r="D1559" s="9">
        <f t="shared" si="12"/>
        <v>66.003673076480808</v>
      </c>
      <c r="E1559" s="9"/>
      <c r="F1559" s="9">
        <f ca="1">IFERROR(__xludf.DUMMYFUNCTION("""COMPUTED_VALUE"""),43748)</f>
        <v>43748</v>
      </c>
      <c r="G1559" s="9" t="str">
        <f ca="1">IFERROR(__xludf.DUMMYFUNCTION("""COMPUTED_VALUE"""),"1 USD = 156.5905 PKR")</f>
        <v>1 USD = 156.5905 PKR</v>
      </c>
      <c r="H1559" s="9" t="str">
        <f ca="1">IFERROR(__xludf.DUMMYFUNCTION("""COMPUTED_VALUE"""),"USD PKR rate for 10/10/2019")</f>
        <v>USD PKR rate for 10/10/2019</v>
      </c>
      <c r="I1559" s="9"/>
    </row>
    <row r="1560" spans="1:9" ht="14.25" customHeight="1" x14ac:dyDescent="0.3">
      <c r="A1560" s="6">
        <v>41277</v>
      </c>
      <c r="B1560" s="7">
        <v>97.679100000000005</v>
      </c>
      <c r="C1560" s="8">
        <f t="shared" si="13"/>
        <v>104.37349435806345</v>
      </c>
      <c r="D1560" s="9">
        <f t="shared" si="12"/>
        <v>66.006410909278074</v>
      </c>
      <c r="E1560" s="9"/>
      <c r="F1560" s="9">
        <f ca="1">IFERROR(__xludf.DUMMYFUNCTION("""COMPUTED_VALUE"""),43747)</f>
        <v>43747</v>
      </c>
      <c r="G1560" s="9" t="str">
        <f ca="1">IFERROR(__xludf.DUMMYFUNCTION("""COMPUTED_VALUE"""),"1 USD = 156.9081 PKR")</f>
        <v>1 USD = 156.9081 PKR</v>
      </c>
      <c r="H1560" s="9" t="str">
        <f ca="1">IFERROR(__xludf.DUMMYFUNCTION("""COMPUTED_VALUE"""),"USD PKR rate for 09/10/2019")</f>
        <v>USD PKR rate for 09/10/2019</v>
      </c>
      <c r="I1560" s="9"/>
    </row>
    <row r="1561" spans="1:9" ht="14.25" customHeight="1" x14ac:dyDescent="0.3">
      <c r="A1561" s="6">
        <v>41278</v>
      </c>
      <c r="B1561" s="7">
        <v>97.810100000000006</v>
      </c>
      <c r="C1561" s="8">
        <f t="shared" si="13"/>
        <v>104.39216153335214</v>
      </c>
      <c r="D1561" s="9">
        <f t="shared" si="12"/>
        <v>66.00914874207534</v>
      </c>
      <c r="E1561" s="9"/>
      <c r="F1561" s="9">
        <f ca="1">IFERROR(__xludf.DUMMYFUNCTION("""COMPUTED_VALUE"""),43746)</f>
        <v>43746</v>
      </c>
      <c r="G1561" s="9" t="str">
        <f ca="1">IFERROR(__xludf.DUMMYFUNCTION("""COMPUTED_VALUE"""),"1 USD = 156.7777 PKR")</f>
        <v>1 USD = 156.7777 PKR</v>
      </c>
      <c r="H1561" s="9" t="str">
        <f ca="1">IFERROR(__xludf.DUMMYFUNCTION("""COMPUTED_VALUE"""),"USD PKR rate for 08/10/2019")</f>
        <v>USD PKR rate for 08/10/2019</v>
      </c>
      <c r="I1561" s="9"/>
    </row>
    <row r="1562" spans="1:9" ht="14.25" customHeight="1" x14ac:dyDescent="0.3">
      <c r="A1562" s="6">
        <v>41279</v>
      </c>
      <c r="B1562" s="7">
        <v>97.79770000000002</v>
      </c>
      <c r="C1562" s="8">
        <f t="shared" si="13"/>
        <v>104.41083204726078</v>
      </c>
      <c r="D1562" s="9">
        <f t="shared" si="12"/>
        <v>66.011886574872605</v>
      </c>
      <c r="E1562" s="9"/>
      <c r="F1562" s="9">
        <f ca="1">IFERROR(__xludf.DUMMYFUNCTION("""COMPUTED_VALUE"""),43745)</f>
        <v>43745</v>
      </c>
      <c r="G1562" s="9" t="str">
        <f ca="1">IFERROR(__xludf.DUMMYFUNCTION("""COMPUTED_VALUE"""),"1 USD = 156.5332 PKR")</f>
        <v>1 USD = 156.5332 PKR</v>
      </c>
      <c r="H1562" s="9" t="str">
        <f ca="1">IFERROR(__xludf.DUMMYFUNCTION("""COMPUTED_VALUE"""),"USD PKR rate for 07/10/2019")</f>
        <v>USD PKR rate for 07/10/2019</v>
      </c>
      <c r="I1562" s="9"/>
    </row>
    <row r="1563" spans="1:9" ht="14.25" customHeight="1" x14ac:dyDescent="0.3">
      <c r="A1563" s="6">
        <v>41280</v>
      </c>
      <c r="B1563" s="7">
        <v>97.706800000000001</v>
      </c>
      <c r="C1563" s="8">
        <f t="shared" si="13"/>
        <v>104.42950590038652</v>
      </c>
      <c r="D1563" s="9">
        <f t="shared" si="12"/>
        <v>66.014624407669871</v>
      </c>
      <c r="E1563" s="9"/>
      <c r="F1563" s="9">
        <f ca="1">IFERROR(__xludf.DUMMYFUNCTION("""COMPUTED_VALUE"""),43744)</f>
        <v>43744</v>
      </c>
      <c r="G1563" s="9" t="str">
        <f ca="1">IFERROR(__xludf.DUMMYFUNCTION("""COMPUTED_VALUE"""),"1 USD = 156.8802 PKR")</f>
        <v>1 USD = 156.8802 PKR</v>
      </c>
      <c r="H1563" s="9" t="str">
        <f ca="1">IFERROR(__xludf.DUMMYFUNCTION("""COMPUTED_VALUE"""),"USD PKR rate for 06/10/2019")</f>
        <v>USD PKR rate for 06/10/2019</v>
      </c>
      <c r="I1563" s="9"/>
    </row>
    <row r="1564" spans="1:9" ht="14.25" customHeight="1" x14ac:dyDescent="0.3">
      <c r="A1564" s="6">
        <v>41281</v>
      </c>
      <c r="B1564" s="7">
        <v>97.554599999999994</v>
      </c>
      <c r="C1564" s="8">
        <f t="shared" si="13"/>
        <v>104.44818309332655</v>
      </c>
      <c r="D1564" s="9">
        <f t="shared" si="12"/>
        <v>66.017362240467136</v>
      </c>
      <c r="E1564" s="9"/>
      <c r="F1564" s="9">
        <f ca="1">IFERROR(__xludf.DUMMYFUNCTION("""COMPUTED_VALUE"""),43743)</f>
        <v>43743</v>
      </c>
      <c r="G1564" s="9" t="str">
        <f ca="1">IFERROR(__xludf.DUMMYFUNCTION("""COMPUTED_VALUE"""),"1 USD = 157.1047 PKR")</f>
        <v>1 USD = 157.1047 PKR</v>
      </c>
      <c r="H1564" s="9" t="str">
        <f ca="1">IFERROR(__xludf.DUMMYFUNCTION("""COMPUTED_VALUE"""),"USD PKR rate for 05/10/2019")</f>
        <v>USD PKR rate for 05/10/2019</v>
      </c>
      <c r="I1564" s="9"/>
    </row>
    <row r="1565" spans="1:9" ht="14.25" customHeight="1" x14ac:dyDescent="0.3">
      <c r="A1565" s="6">
        <v>41282</v>
      </c>
      <c r="B1565" s="7">
        <v>97.536900000000017</v>
      </c>
      <c r="C1565" s="8">
        <f t="shared" si="13"/>
        <v>104.46686362667825</v>
      </c>
      <c r="D1565" s="9">
        <f t="shared" si="12"/>
        <v>66.020100073264402</v>
      </c>
      <c r="E1565" s="9"/>
      <c r="F1565" s="9">
        <f ca="1">IFERROR(__xludf.DUMMYFUNCTION("""COMPUTED_VALUE"""),43742)</f>
        <v>43742</v>
      </c>
      <c r="G1565" s="9" t="str">
        <f ca="1">IFERROR(__xludf.DUMMYFUNCTION("""COMPUTED_VALUE"""),"1 USD = 156.3755 PKR")</f>
        <v>1 USD = 156.3755 PKR</v>
      </c>
      <c r="H1565" s="9" t="str">
        <f ca="1">IFERROR(__xludf.DUMMYFUNCTION("""COMPUTED_VALUE"""),"USD PKR rate for 04/10/2019")</f>
        <v>USD PKR rate for 04/10/2019</v>
      </c>
      <c r="I1565" s="9"/>
    </row>
    <row r="1566" spans="1:9" ht="14.25" customHeight="1" x14ac:dyDescent="0.3">
      <c r="A1566" s="6">
        <v>41283</v>
      </c>
      <c r="B1566" s="7">
        <v>97.290999999999997</v>
      </c>
      <c r="C1566" s="8">
        <f t="shared" si="13"/>
        <v>104.48554750103887</v>
      </c>
      <c r="D1566" s="9">
        <f t="shared" si="12"/>
        <v>66.022837906061667</v>
      </c>
      <c r="E1566" s="9"/>
      <c r="F1566" s="9">
        <f ca="1">IFERROR(__xludf.DUMMYFUNCTION("""COMPUTED_VALUE"""),43741)</f>
        <v>43741</v>
      </c>
      <c r="G1566" s="9" t="str">
        <f ca="1">IFERROR(__xludf.DUMMYFUNCTION("""COMPUTED_VALUE"""),"1 USD = 156.6739 PKR")</f>
        <v>1 USD = 156.6739 PKR</v>
      </c>
      <c r="H1566" s="9" t="str">
        <f ca="1">IFERROR(__xludf.DUMMYFUNCTION("""COMPUTED_VALUE"""),"USD PKR rate for 03/10/2019")</f>
        <v>USD PKR rate for 03/10/2019</v>
      </c>
      <c r="I1566" s="9"/>
    </row>
    <row r="1567" spans="1:9" ht="14.25" customHeight="1" x14ac:dyDescent="0.3">
      <c r="A1567" s="6">
        <v>41284</v>
      </c>
      <c r="B1567" s="7">
        <v>96.703299999999999</v>
      </c>
      <c r="C1567" s="8">
        <f t="shared" si="13"/>
        <v>104.50423471700621</v>
      </c>
      <c r="D1567" s="9">
        <f t="shared" si="12"/>
        <v>66.025575738858933</v>
      </c>
      <c r="E1567" s="9"/>
      <c r="F1567" s="9">
        <f ca="1">IFERROR(__xludf.DUMMYFUNCTION("""COMPUTED_VALUE"""),43740)</f>
        <v>43740</v>
      </c>
      <c r="G1567" s="9" t="str">
        <f ca="1">IFERROR(__xludf.DUMMYFUNCTION("""COMPUTED_VALUE"""),"1 USD = 156.3269 PKR")</f>
        <v>1 USD = 156.3269 PKR</v>
      </c>
      <c r="H1567" s="9" t="str">
        <f ca="1">IFERROR(__xludf.DUMMYFUNCTION("""COMPUTED_VALUE"""),"USD PKR rate for 02/10/2019")</f>
        <v>USD PKR rate for 02/10/2019</v>
      </c>
      <c r="I1567" s="9"/>
    </row>
    <row r="1568" spans="1:9" ht="14.25" customHeight="1" x14ac:dyDescent="0.3">
      <c r="A1568" s="6">
        <v>41285</v>
      </c>
      <c r="B1568" s="7">
        <v>97.340199999999996</v>
      </c>
      <c r="C1568" s="8">
        <f t="shared" si="13"/>
        <v>104.52292527517781</v>
      </c>
      <c r="D1568" s="9">
        <f t="shared" si="12"/>
        <v>66.028313571656199</v>
      </c>
      <c r="E1568" s="9"/>
      <c r="F1568" s="9">
        <f ca="1">IFERROR(__xludf.DUMMYFUNCTION("""COMPUTED_VALUE"""),43739)</f>
        <v>43739</v>
      </c>
      <c r="G1568" s="9" t="str">
        <f ca="1">IFERROR(__xludf.DUMMYFUNCTION("""COMPUTED_VALUE"""),"1 USD = 156.3626 PKR")</f>
        <v>1 USD = 156.3626 PKR</v>
      </c>
      <c r="H1568" s="9" t="str">
        <f ca="1">IFERROR(__xludf.DUMMYFUNCTION("""COMPUTED_VALUE"""),"USD PKR rate for 01/10/2019")</f>
        <v>USD PKR rate for 01/10/2019</v>
      </c>
      <c r="I1568" s="9"/>
    </row>
    <row r="1569" spans="1:9" ht="14.25" customHeight="1" x14ac:dyDescent="0.3">
      <c r="A1569" s="6">
        <v>41286</v>
      </c>
      <c r="B1569" s="7">
        <v>97.308300000000003</v>
      </c>
      <c r="C1569" s="8">
        <f t="shared" si="13"/>
        <v>104.54161917615139</v>
      </c>
      <c r="D1569" s="9">
        <f t="shared" si="12"/>
        <v>66.031051404453464</v>
      </c>
      <c r="E1569" s="9"/>
      <c r="F1569" s="9">
        <f ca="1">IFERROR(__xludf.DUMMYFUNCTION("""COMPUTED_VALUE"""),43738)</f>
        <v>43738</v>
      </c>
      <c r="G1569" s="9" t="str">
        <f ca="1">IFERROR(__xludf.DUMMYFUNCTION("""COMPUTED_VALUE"""),"1 USD = 157.2309 PKR")</f>
        <v>1 USD = 157.2309 PKR</v>
      </c>
      <c r="H1569" s="9" t="str">
        <f ca="1">IFERROR(__xludf.DUMMYFUNCTION("""COMPUTED_VALUE"""),"USD PKR rate for 30/09/2019")</f>
        <v>USD PKR rate for 30/09/2019</v>
      </c>
      <c r="I1569" s="9"/>
    </row>
    <row r="1570" spans="1:9" ht="14.25" customHeight="1" x14ac:dyDescent="0.3">
      <c r="A1570" s="6">
        <v>41287</v>
      </c>
      <c r="B1570" s="7">
        <v>97.186700000000002</v>
      </c>
      <c r="C1570" s="8">
        <f t="shared" si="13"/>
        <v>104.56031642052483</v>
      </c>
      <c r="D1570" s="9">
        <f t="shared" si="12"/>
        <v>66.03378923725073</v>
      </c>
      <c r="E1570" s="9"/>
      <c r="F1570" s="9">
        <f ca="1">IFERROR(__xludf.DUMMYFUNCTION("""COMPUTED_VALUE"""),43737)</f>
        <v>43737</v>
      </c>
      <c r="G1570" s="9" t="str">
        <f ca="1">IFERROR(__xludf.DUMMYFUNCTION("""COMPUTED_VALUE"""),"1 USD = 156.7505 PKR")</f>
        <v>1 USD = 156.7505 PKR</v>
      </c>
      <c r="H1570" s="9" t="str">
        <f ca="1">IFERROR(__xludf.DUMMYFUNCTION("""COMPUTED_VALUE"""),"USD PKR rate for 29/09/2019")</f>
        <v>USD PKR rate for 29/09/2019</v>
      </c>
      <c r="I1570" s="9"/>
    </row>
    <row r="1571" spans="1:9" ht="14.25" customHeight="1" x14ac:dyDescent="0.3">
      <c r="A1571" s="6">
        <v>41288</v>
      </c>
      <c r="B1571" s="7">
        <v>97.291100000000014</v>
      </c>
      <c r="C1571" s="8">
        <f t="shared" si="13"/>
        <v>104.5790170088961</v>
      </c>
      <c r="D1571" s="9">
        <f t="shared" si="12"/>
        <v>66.036527070047995</v>
      </c>
      <c r="E1571" s="9"/>
      <c r="F1571" s="9">
        <f ca="1">IFERROR(__xludf.DUMMYFUNCTION("""COMPUTED_VALUE"""),43736)</f>
        <v>43736</v>
      </c>
      <c r="G1571" s="9" t="str">
        <f ca="1">IFERROR(__xludf.DUMMYFUNCTION("""COMPUTED_VALUE"""),"1 USD = 156.8249 PKR")</f>
        <v>1 USD = 156.8249 PKR</v>
      </c>
      <c r="H1571" s="9" t="str">
        <f ca="1">IFERROR(__xludf.DUMMYFUNCTION("""COMPUTED_VALUE"""),"USD PKR rate for 28/09/2019")</f>
        <v>USD PKR rate for 28/09/2019</v>
      </c>
      <c r="I1571" s="9"/>
    </row>
    <row r="1572" spans="1:9" ht="14.25" customHeight="1" x14ac:dyDescent="0.3">
      <c r="A1572" s="6">
        <v>41289</v>
      </c>
      <c r="B1572" s="7">
        <v>97.308899999999994</v>
      </c>
      <c r="C1572" s="8">
        <f t="shared" si="13"/>
        <v>104.59772094186327</v>
      </c>
      <c r="D1572" s="9">
        <f t="shared" si="12"/>
        <v>66.039264902845261</v>
      </c>
      <c r="E1572" s="9"/>
      <c r="F1572" s="9">
        <f ca="1">IFERROR(__xludf.DUMMYFUNCTION("""COMPUTED_VALUE"""),43735)</f>
        <v>43735</v>
      </c>
      <c r="G1572" s="9" t="str">
        <f ca="1">IFERROR(__xludf.DUMMYFUNCTION("""COMPUTED_VALUE"""),"1 USD = 156.85 PKR")</f>
        <v>1 USD = 156.85 PKR</v>
      </c>
      <c r="H1572" s="9" t="str">
        <f ca="1">IFERROR(__xludf.DUMMYFUNCTION("""COMPUTED_VALUE"""),"USD PKR rate for 27/09/2019")</f>
        <v>USD PKR rate for 27/09/2019</v>
      </c>
      <c r="I1572" s="9"/>
    </row>
    <row r="1573" spans="1:9" ht="14.25" customHeight="1" x14ac:dyDescent="0.3">
      <c r="A1573" s="6">
        <v>41290</v>
      </c>
      <c r="B1573" s="7">
        <v>97.667000000000002</v>
      </c>
      <c r="C1573" s="8">
        <f t="shared" si="13"/>
        <v>104.6164282200245</v>
      </c>
      <c r="D1573" s="9">
        <f t="shared" si="12"/>
        <v>66.042002735642527</v>
      </c>
      <c r="E1573" s="9"/>
      <c r="F1573" s="9">
        <f ca="1">IFERROR(__xludf.DUMMYFUNCTION("""COMPUTED_VALUE"""),43734)</f>
        <v>43734</v>
      </c>
      <c r="G1573" s="9" t="str">
        <f ca="1">IFERROR(__xludf.DUMMYFUNCTION("""COMPUTED_VALUE"""),"1 USD = 157.2829 PKR")</f>
        <v>1 USD = 157.2829 PKR</v>
      </c>
      <c r="H1573" s="9" t="str">
        <f ca="1">IFERROR(__xludf.DUMMYFUNCTION("""COMPUTED_VALUE"""),"USD PKR rate for 26/09/2019")</f>
        <v>USD PKR rate for 26/09/2019</v>
      </c>
      <c r="I1573" s="9"/>
    </row>
    <row r="1574" spans="1:9" ht="14.25" customHeight="1" x14ac:dyDescent="0.3">
      <c r="A1574" s="6">
        <v>41291</v>
      </c>
      <c r="B1574" s="7">
        <v>97.882800000000003</v>
      </c>
      <c r="C1574" s="8">
        <f t="shared" si="13"/>
        <v>104.63513884397813</v>
      </c>
      <c r="D1574" s="9">
        <f t="shared" si="12"/>
        <v>66.044740568439792</v>
      </c>
      <c r="E1574" s="9"/>
      <c r="F1574" s="9">
        <f ca="1">IFERROR(__xludf.DUMMYFUNCTION("""COMPUTED_VALUE"""),43733)</f>
        <v>43733</v>
      </c>
      <c r="G1574" s="9" t="str">
        <f ca="1">IFERROR(__xludf.DUMMYFUNCTION("""COMPUTED_VALUE"""),"1 USD = 156.6557 PKR")</f>
        <v>1 USD = 156.6557 PKR</v>
      </c>
      <c r="H1574" s="9" t="str">
        <f ca="1">IFERROR(__xludf.DUMMYFUNCTION("""COMPUTED_VALUE"""),"USD PKR rate for 25/09/2019")</f>
        <v>USD PKR rate for 25/09/2019</v>
      </c>
      <c r="I1574" s="9"/>
    </row>
    <row r="1575" spans="1:9" ht="14.25" customHeight="1" x14ac:dyDescent="0.3">
      <c r="A1575" s="6">
        <v>41292</v>
      </c>
      <c r="B1575" s="7">
        <v>97.833200000000019</v>
      </c>
      <c r="C1575" s="8">
        <f t="shared" si="13"/>
        <v>104.65385281432241</v>
      </c>
      <c r="D1575" s="9">
        <f t="shared" si="12"/>
        <v>66.047478401237058</v>
      </c>
      <c r="E1575" s="9"/>
      <c r="F1575" s="9">
        <f ca="1">IFERROR(__xludf.DUMMYFUNCTION("""COMPUTED_VALUE"""),43732)</f>
        <v>43732</v>
      </c>
      <c r="G1575" s="9" t="str">
        <f ca="1">IFERROR(__xludf.DUMMYFUNCTION("""COMPUTED_VALUE"""),"1 USD = 156.5612 PKR")</f>
        <v>1 USD = 156.5612 PKR</v>
      </c>
      <c r="H1575" s="9" t="str">
        <f ca="1">IFERROR(__xludf.DUMMYFUNCTION("""COMPUTED_VALUE"""),"USD PKR rate for 24/09/2019")</f>
        <v>USD PKR rate for 24/09/2019</v>
      </c>
      <c r="I1575" s="9"/>
    </row>
    <row r="1576" spans="1:9" ht="14.25" customHeight="1" x14ac:dyDescent="0.3">
      <c r="A1576" s="6">
        <v>41293</v>
      </c>
      <c r="B1576" s="7">
        <v>97.713800000000006</v>
      </c>
      <c r="C1576" s="8">
        <f t="shared" si="13"/>
        <v>104.67257013165603</v>
      </c>
      <c r="D1576" s="9">
        <f t="shared" si="12"/>
        <v>66.050216234034323</v>
      </c>
      <c r="E1576" s="9"/>
      <c r="F1576" s="9">
        <f ca="1">IFERROR(__xludf.DUMMYFUNCTION("""COMPUTED_VALUE"""),43731)</f>
        <v>43731</v>
      </c>
      <c r="G1576" s="9" t="str">
        <f ca="1">IFERROR(__xludf.DUMMYFUNCTION("""COMPUTED_VALUE"""),"1 USD = 156.6813 PKR")</f>
        <v>1 USD = 156.6813 PKR</v>
      </c>
      <c r="H1576" s="9" t="str">
        <f ca="1">IFERROR(__xludf.DUMMYFUNCTION("""COMPUTED_VALUE"""),"USD PKR rate for 23/09/2019")</f>
        <v>USD PKR rate for 23/09/2019</v>
      </c>
      <c r="I1576" s="9"/>
    </row>
    <row r="1577" spans="1:9" ht="14.25" customHeight="1" x14ac:dyDescent="0.3">
      <c r="A1577" s="6">
        <v>41294</v>
      </c>
      <c r="B1577" s="7">
        <v>97.833200000000019</v>
      </c>
      <c r="C1577" s="8">
        <f t="shared" si="13"/>
        <v>104.69129079657755</v>
      </c>
      <c r="D1577" s="9">
        <f t="shared" si="12"/>
        <v>66.052954066831589</v>
      </c>
      <c r="E1577" s="9"/>
      <c r="F1577" s="9">
        <f ca="1">IFERROR(__xludf.DUMMYFUNCTION("""COMPUTED_VALUE"""),43730)</f>
        <v>43730</v>
      </c>
      <c r="G1577" s="9" t="str">
        <f ca="1">IFERROR(__xludf.DUMMYFUNCTION("""COMPUTED_VALUE"""),"1 USD = 156.3868 PKR")</f>
        <v>1 USD = 156.3868 PKR</v>
      </c>
      <c r="H1577" s="9" t="str">
        <f ca="1">IFERROR(__xludf.DUMMYFUNCTION("""COMPUTED_VALUE"""),"USD PKR rate for 22/09/2019")</f>
        <v>USD PKR rate for 22/09/2019</v>
      </c>
      <c r="I1577" s="9"/>
    </row>
    <row r="1578" spans="1:9" ht="14.25" customHeight="1" x14ac:dyDescent="0.3">
      <c r="A1578" s="6">
        <v>41295</v>
      </c>
      <c r="B1578" s="7">
        <v>97.838000000000008</v>
      </c>
      <c r="C1578" s="8">
        <f t="shared" si="13"/>
        <v>104.71001480968562</v>
      </c>
      <c r="D1578" s="9">
        <f t="shared" si="12"/>
        <v>66.055691899628854</v>
      </c>
      <c r="E1578" s="9"/>
      <c r="F1578" s="9">
        <f ca="1">IFERROR(__xludf.DUMMYFUNCTION("""COMPUTED_VALUE"""),43729)</f>
        <v>43729</v>
      </c>
      <c r="G1578" s="9" t="str">
        <f ca="1">IFERROR(__xludf.DUMMYFUNCTION("""COMPUTED_VALUE"""),"1 USD = 156.8341 PKR")</f>
        <v>1 USD = 156.8341 PKR</v>
      </c>
      <c r="H1578" s="9" t="str">
        <f ca="1">IFERROR(__xludf.DUMMYFUNCTION("""COMPUTED_VALUE"""),"USD PKR rate for 21/09/2019")</f>
        <v>USD PKR rate for 21/09/2019</v>
      </c>
      <c r="I1578" s="9"/>
    </row>
    <row r="1579" spans="1:9" ht="14.25" customHeight="1" x14ac:dyDescent="0.3">
      <c r="A1579" s="6">
        <v>41296</v>
      </c>
      <c r="B1579" s="7">
        <v>97.811000000000007</v>
      </c>
      <c r="C1579" s="8">
        <f t="shared" si="13"/>
        <v>104.72874217157911</v>
      </c>
      <c r="D1579" s="9">
        <f t="shared" si="12"/>
        <v>66.05842973242612</v>
      </c>
      <c r="E1579" s="9"/>
      <c r="F1579" s="9">
        <f ca="1">IFERROR(__xludf.DUMMYFUNCTION("""COMPUTED_VALUE"""),43728)</f>
        <v>43728</v>
      </c>
      <c r="G1579" s="9" t="str">
        <f ca="1">IFERROR(__xludf.DUMMYFUNCTION("""COMPUTED_VALUE"""),"1 USD = 156.8341 PKR")</f>
        <v>1 USD = 156.8341 PKR</v>
      </c>
      <c r="H1579" s="9" t="str">
        <f ca="1">IFERROR(__xludf.DUMMYFUNCTION("""COMPUTED_VALUE"""),"USD PKR rate for 20/09/2019")</f>
        <v>USD PKR rate for 20/09/2019</v>
      </c>
      <c r="I1579" s="9"/>
    </row>
    <row r="1580" spans="1:9" ht="14.25" customHeight="1" x14ac:dyDescent="0.3">
      <c r="A1580" s="6">
        <v>41297</v>
      </c>
      <c r="B1580" s="7">
        <v>97.773499999999999</v>
      </c>
      <c r="C1580" s="8">
        <f t="shared" si="13"/>
        <v>104.74747288285695</v>
      </c>
      <c r="D1580" s="9">
        <f t="shared" si="12"/>
        <v>66.061167565223386</v>
      </c>
      <c r="E1580" s="9"/>
      <c r="F1580" s="9">
        <f ca="1">IFERROR(__xludf.DUMMYFUNCTION("""COMPUTED_VALUE"""),43727)</f>
        <v>43727</v>
      </c>
      <c r="G1580" s="9" t="str">
        <f ca="1">IFERROR(__xludf.DUMMYFUNCTION("""COMPUTED_VALUE"""),"1 USD = 156.7838 PKR")</f>
        <v>1 USD = 156.7838 PKR</v>
      </c>
      <c r="H1580" s="9" t="str">
        <f ca="1">IFERROR(__xludf.DUMMYFUNCTION("""COMPUTED_VALUE"""),"USD PKR rate for 19/09/2019")</f>
        <v>USD PKR rate for 19/09/2019</v>
      </c>
      <c r="I1580" s="9"/>
    </row>
    <row r="1581" spans="1:9" ht="14.25" customHeight="1" x14ac:dyDescent="0.3">
      <c r="A1581" s="6">
        <v>41298</v>
      </c>
      <c r="B1581" s="7">
        <v>97.686400000000006</v>
      </c>
      <c r="C1581" s="8">
        <f t="shared" si="13"/>
        <v>104.76620694411815</v>
      </c>
      <c r="D1581" s="9">
        <f t="shared" si="12"/>
        <v>66.063905398020651</v>
      </c>
      <c r="E1581" s="9"/>
      <c r="F1581" s="9">
        <f ca="1">IFERROR(__xludf.DUMMYFUNCTION("""COMPUTED_VALUE"""),43726)</f>
        <v>43726</v>
      </c>
      <c r="G1581" s="9" t="str">
        <f ca="1">IFERROR(__xludf.DUMMYFUNCTION("""COMPUTED_VALUE"""),"1 USD = 156.8648 PKR")</f>
        <v>1 USD = 156.8648 PKR</v>
      </c>
      <c r="H1581" s="9" t="str">
        <f ca="1">IFERROR(__xludf.DUMMYFUNCTION("""COMPUTED_VALUE"""),"USD PKR rate for 18/09/2019")</f>
        <v>USD PKR rate for 18/09/2019</v>
      </c>
      <c r="I1581" s="9"/>
    </row>
    <row r="1582" spans="1:9" ht="14.25" customHeight="1" x14ac:dyDescent="0.3">
      <c r="A1582" s="6">
        <v>41299</v>
      </c>
      <c r="B1582" s="7">
        <v>97.744600000000005</v>
      </c>
      <c r="C1582" s="8">
        <f t="shared" si="13"/>
        <v>104.78494435596187</v>
      </c>
      <c r="D1582" s="9">
        <f t="shared" si="12"/>
        <v>66.066643230817917</v>
      </c>
      <c r="E1582" s="9"/>
      <c r="F1582" s="9">
        <f ca="1">IFERROR(__xludf.DUMMYFUNCTION("""COMPUTED_VALUE"""),43725)</f>
        <v>43725</v>
      </c>
      <c r="G1582" s="9" t="str">
        <f ca="1">IFERROR(__xludf.DUMMYFUNCTION("""COMPUTED_VALUE"""),"1 USD = 156.5701 PKR")</f>
        <v>1 USD = 156.5701 PKR</v>
      </c>
      <c r="H1582" s="9" t="str">
        <f ca="1">IFERROR(__xludf.DUMMYFUNCTION("""COMPUTED_VALUE"""),"USD PKR rate for 17/09/2019")</f>
        <v>USD PKR rate for 17/09/2019</v>
      </c>
      <c r="I1582" s="9"/>
    </row>
    <row r="1583" spans="1:9" ht="14.25" customHeight="1" x14ac:dyDescent="0.3">
      <c r="A1583" s="6">
        <v>41300</v>
      </c>
      <c r="B1583" s="7">
        <v>97.706500000000005</v>
      </c>
      <c r="C1583" s="8">
        <f t="shared" si="13"/>
        <v>104.80368511898736</v>
      </c>
      <c r="D1583" s="9">
        <f t="shared" si="12"/>
        <v>66.069381063615182</v>
      </c>
      <c r="E1583" s="9"/>
      <c r="F1583" s="9">
        <f ca="1">IFERROR(__xludf.DUMMYFUNCTION("""COMPUTED_VALUE"""),43724)</f>
        <v>43724</v>
      </c>
      <c r="G1583" s="9" t="str">
        <f ca="1">IFERROR(__xludf.DUMMYFUNCTION("""COMPUTED_VALUE"""),"1 USD = 155.7462 PKR")</f>
        <v>1 USD = 155.7462 PKR</v>
      </c>
      <c r="H1583" s="9" t="str">
        <f ca="1">IFERROR(__xludf.DUMMYFUNCTION("""COMPUTED_VALUE"""),"USD PKR rate for 16/09/2019")</f>
        <v>USD PKR rate for 16/09/2019</v>
      </c>
      <c r="I1583" s="9"/>
    </row>
    <row r="1584" spans="1:9" ht="14.25" customHeight="1" x14ac:dyDescent="0.3">
      <c r="A1584" s="6">
        <v>41301</v>
      </c>
      <c r="B1584" s="7">
        <v>97.742400000000018</v>
      </c>
      <c r="C1584" s="8">
        <f t="shared" si="13"/>
        <v>104.82242923379387</v>
      </c>
      <c r="D1584" s="9">
        <f t="shared" si="12"/>
        <v>66.072118896412448</v>
      </c>
      <c r="E1584" s="9"/>
      <c r="F1584" s="9">
        <f ca="1">IFERROR(__xludf.DUMMYFUNCTION("""COMPUTED_VALUE"""),43723)</f>
        <v>43723</v>
      </c>
      <c r="G1584" s="9" t="str">
        <f ca="1">IFERROR(__xludf.DUMMYFUNCTION("""COMPUTED_VALUE"""),"1 USD = 156.5289 PKR")</f>
        <v>1 USD = 156.5289 PKR</v>
      </c>
      <c r="H1584" s="9" t="str">
        <f ca="1">IFERROR(__xludf.DUMMYFUNCTION("""COMPUTED_VALUE"""),"USD PKR rate for 15/09/2019")</f>
        <v>USD PKR rate for 15/09/2019</v>
      </c>
      <c r="I1584" s="9"/>
    </row>
    <row r="1585" spans="1:9" ht="14.25" customHeight="1" x14ac:dyDescent="0.3">
      <c r="A1585" s="6">
        <v>41302</v>
      </c>
      <c r="B1585" s="7">
        <v>97.747500000000002</v>
      </c>
      <c r="C1585" s="8">
        <f t="shared" si="13"/>
        <v>104.84117670098108</v>
      </c>
      <c r="D1585" s="9">
        <f t="shared" si="12"/>
        <v>66.074856729209714</v>
      </c>
      <c r="E1585" s="9"/>
      <c r="F1585" s="9">
        <f ca="1">IFERROR(__xludf.DUMMYFUNCTION("""COMPUTED_VALUE"""),43722)</f>
        <v>43722</v>
      </c>
      <c r="G1585" s="9" t="str">
        <f ca="1">IFERROR(__xludf.DUMMYFUNCTION("""COMPUTED_VALUE"""),"1 USD = 156.6502 PKR")</f>
        <v>1 USD = 156.6502 PKR</v>
      </c>
      <c r="H1585" s="9" t="str">
        <f ca="1">IFERROR(__xludf.DUMMYFUNCTION("""COMPUTED_VALUE"""),"USD PKR rate for 14/09/2019")</f>
        <v>USD PKR rate for 14/09/2019</v>
      </c>
      <c r="I1585" s="9"/>
    </row>
    <row r="1586" spans="1:9" ht="14.25" customHeight="1" x14ac:dyDescent="0.3">
      <c r="A1586" s="6">
        <v>41303</v>
      </c>
      <c r="B1586" s="7">
        <v>97.612200000000001</v>
      </c>
      <c r="C1586" s="8">
        <f t="shared" si="13"/>
        <v>104.85992752114845</v>
      </c>
      <c r="D1586" s="9">
        <f t="shared" si="12"/>
        <v>66.077594562006979</v>
      </c>
      <c r="E1586" s="9"/>
      <c r="F1586" s="9">
        <f ca="1">IFERROR(__xludf.DUMMYFUNCTION("""COMPUTED_VALUE"""),43721)</f>
        <v>43721</v>
      </c>
      <c r="G1586" s="9" t="str">
        <f ca="1">IFERROR(__xludf.DUMMYFUNCTION("""COMPUTED_VALUE"""),"1 USD = 156.6501 PKR")</f>
        <v>1 USD = 156.6501 PKR</v>
      </c>
      <c r="H1586" s="9" t="str">
        <f ca="1">IFERROR(__xludf.DUMMYFUNCTION("""COMPUTED_VALUE"""),"USD PKR rate for 13/09/2019")</f>
        <v>USD PKR rate for 13/09/2019</v>
      </c>
      <c r="I1586" s="9"/>
    </row>
    <row r="1587" spans="1:9" ht="14.25" customHeight="1" x14ac:dyDescent="0.3">
      <c r="A1587" s="6">
        <v>41304</v>
      </c>
      <c r="B1587" s="7">
        <v>97.674700000000001</v>
      </c>
      <c r="C1587" s="8">
        <f t="shared" si="13"/>
        <v>104.87868169489566</v>
      </c>
      <c r="D1587" s="9">
        <f t="shared" si="12"/>
        <v>66.080332394804245</v>
      </c>
      <c r="E1587" s="9"/>
      <c r="F1587" s="9">
        <f ca="1">IFERROR(__xludf.DUMMYFUNCTION("""COMPUTED_VALUE"""),43720)</f>
        <v>43720</v>
      </c>
      <c r="G1587" s="9" t="str">
        <f ca="1">IFERROR(__xludf.DUMMYFUNCTION("""COMPUTED_VALUE"""),"1 USD = 156.705 PKR")</f>
        <v>1 USD = 156.705 PKR</v>
      </c>
      <c r="H1587" s="9" t="str">
        <f ca="1">IFERROR(__xludf.DUMMYFUNCTION("""COMPUTED_VALUE"""),"USD PKR rate for 12/09/2019")</f>
        <v>USD PKR rate for 12/09/2019</v>
      </c>
      <c r="I1587" s="9"/>
    </row>
    <row r="1588" spans="1:9" ht="14.25" customHeight="1" x14ac:dyDescent="0.3">
      <c r="A1588" s="6">
        <v>41305</v>
      </c>
      <c r="B1588" s="7">
        <v>97.495800000000003</v>
      </c>
      <c r="C1588" s="8">
        <f t="shared" si="13"/>
        <v>104.89743922282251</v>
      </c>
      <c r="D1588" s="9">
        <f t="shared" si="12"/>
        <v>66.08307022760151</v>
      </c>
      <c r="E1588" s="9"/>
      <c r="F1588" s="9">
        <f ca="1">IFERROR(__xludf.DUMMYFUNCTION("""COMPUTED_VALUE"""),43719)</f>
        <v>43719</v>
      </c>
      <c r="G1588" s="9" t="str">
        <f ca="1">IFERROR(__xludf.DUMMYFUNCTION("""COMPUTED_VALUE"""),"1 USD = 156.5053 PKR")</f>
        <v>1 USD = 156.5053 PKR</v>
      </c>
      <c r="H1588" s="9" t="str">
        <f ca="1">IFERROR(__xludf.DUMMYFUNCTION("""COMPUTED_VALUE"""),"USD PKR rate for 11/09/2019")</f>
        <v>USD PKR rate for 11/09/2019</v>
      </c>
      <c r="I1588" s="9"/>
    </row>
    <row r="1589" spans="1:9" ht="14.25" customHeight="1" x14ac:dyDescent="0.3">
      <c r="A1589" s="6">
        <v>41306</v>
      </c>
      <c r="B1589" s="7">
        <v>98.023799999999994</v>
      </c>
      <c r="C1589" s="8">
        <f t="shared" si="13"/>
        <v>104.91620010552887</v>
      </c>
      <c r="D1589" s="9">
        <f t="shared" si="12"/>
        <v>66.085808060398776</v>
      </c>
      <c r="E1589" s="9"/>
      <c r="F1589" s="9">
        <f ca="1">IFERROR(__xludf.DUMMYFUNCTION("""COMPUTED_VALUE"""),43718)</f>
        <v>43718</v>
      </c>
      <c r="G1589" s="9" t="str">
        <f ca="1">IFERROR(__xludf.DUMMYFUNCTION("""COMPUTED_VALUE"""),"1 USD = 156.7281 PKR")</f>
        <v>1 USD = 156.7281 PKR</v>
      </c>
      <c r="H1589" s="9" t="str">
        <f ca="1">IFERROR(__xludf.DUMMYFUNCTION("""COMPUTED_VALUE"""),"USD PKR rate for 10/09/2019")</f>
        <v>USD PKR rate for 10/09/2019</v>
      </c>
      <c r="I1589" s="9"/>
    </row>
    <row r="1590" spans="1:9" ht="14.25" customHeight="1" x14ac:dyDescent="0.3">
      <c r="A1590" s="6">
        <v>41307</v>
      </c>
      <c r="B1590" s="7">
        <v>98.073600000000013</v>
      </c>
      <c r="C1590" s="8">
        <f t="shared" si="13"/>
        <v>104.93496434361477</v>
      </c>
      <c r="D1590" s="9">
        <f t="shared" si="12"/>
        <v>66.088545893196041</v>
      </c>
      <c r="E1590" s="9"/>
      <c r="F1590" s="9">
        <f ca="1">IFERROR(__xludf.DUMMYFUNCTION("""COMPUTED_VALUE"""),43717)</f>
        <v>43717</v>
      </c>
      <c r="G1590" s="9" t="str">
        <f ca="1">IFERROR(__xludf.DUMMYFUNCTION("""COMPUTED_VALUE"""),"1 USD = 156.4615 PKR")</f>
        <v>1 USD = 156.4615 PKR</v>
      </c>
      <c r="H1590" s="9" t="str">
        <f ca="1">IFERROR(__xludf.DUMMYFUNCTION("""COMPUTED_VALUE"""),"USD PKR rate for 09/09/2019")</f>
        <v>USD PKR rate for 09/09/2019</v>
      </c>
      <c r="I1590" s="9"/>
    </row>
    <row r="1591" spans="1:9" ht="14.25" customHeight="1" x14ac:dyDescent="0.3">
      <c r="A1591" s="6">
        <v>41308</v>
      </c>
      <c r="B1591" s="7">
        <v>97.770300000000006</v>
      </c>
      <c r="C1591" s="8">
        <f t="shared" si="13"/>
        <v>104.9537319376803</v>
      </c>
      <c r="D1591" s="9">
        <f t="shared" si="12"/>
        <v>66.091283725993307</v>
      </c>
      <c r="E1591" s="9"/>
      <c r="F1591" s="9">
        <f ca="1">IFERROR(__xludf.DUMMYFUNCTION("""COMPUTED_VALUE"""),43716)</f>
        <v>43716</v>
      </c>
      <c r="G1591" s="9" t="str">
        <f ca="1">IFERROR(__xludf.DUMMYFUNCTION("""COMPUTED_VALUE"""),"1 USD = 155.6493 PKR")</f>
        <v>1 USD = 155.6493 PKR</v>
      </c>
      <c r="H1591" s="9" t="str">
        <f ca="1">IFERROR(__xludf.DUMMYFUNCTION("""COMPUTED_VALUE"""),"USD PKR rate for 08/09/2019")</f>
        <v>USD PKR rate for 08/09/2019</v>
      </c>
      <c r="I1591" s="9"/>
    </row>
    <row r="1592" spans="1:9" ht="14.25" customHeight="1" x14ac:dyDescent="0.3">
      <c r="A1592" s="6">
        <v>41309</v>
      </c>
      <c r="B1592" s="7">
        <v>97.927300000000002</v>
      </c>
      <c r="C1592" s="8">
        <f t="shared" si="13"/>
        <v>104.97250288832566</v>
      </c>
      <c r="D1592" s="9">
        <f t="shared" si="12"/>
        <v>66.094021558790573</v>
      </c>
      <c r="E1592" s="9"/>
      <c r="F1592" s="9">
        <f ca="1">IFERROR(__xludf.DUMMYFUNCTION("""COMPUTED_VALUE"""),43715)</f>
        <v>43715</v>
      </c>
      <c r="G1592" s="9" t="str">
        <f ca="1">IFERROR(__xludf.DUMMYFUNCTION("""COMPUTED_VALUE"""),"1 USD = 156.2194 PKR")</f>
        <v>1 USD = 156.2194 PKR</v>
      </c>
      <c r="H1592" s="9" t="str">
        <f ca="1">IFERROR(__xludf.DUMMYFUNCTION("""COMPUTED_VALUE"""),"USD PKR rate for 07/09/2019")</f>
        <v>USD PKR rate for 07/09/2019</v>
      </c>
      <c r="I1592" s="9"/>
    </row>
    <row r="1593" spans="1:9" ht="14.25" customHeight="1" x14ac:dyDescent="0.3">
      <c r="A1593" s="6">
        <v>41310</v>
      </c>
      <c r="B1593" s="7">
        <v>97.725000000000009</v>
      </c>
      <c r="C1593" s="8">
        <f t="shared" si="13"/>
        <v>104.99127719615115</v>
      </c>
      <c r="D1593" s="9">
        <f t="shared" si="12"/>
        <v>66.096759391587838</v>
      </c>
      <c r="E1593" s="9"/>
      <c r="F1593" s="9">
        <f ca="1">IFERROR(__xludf.DUMMYFUNCTION("""COMPUTED_VALUE"""),43714)</f>
        <v>43714</v>
      </c>
      <c r="G1593" s="9" t="str">
        <f ca="1">IFERROR(__xludf.DUMMYFUNCTION("""COMPUTED_VALUE"""),"1 USD = 156.2187 PKR")</f>
        <v>1 USD = 156.2187 PKR</v>
      </c>
      <c r="H1593" s="9" t="str">
        <f ca="1">IFERROR(__xludf.DUMMYFUNCTION("""COMPUTED_VALUE"""),"USD PKR rate for 06/09/2019")</f>
        <v>USD PKR rate for 06/09/2019</v>
      </c>
      <c r="I1593" s="9"/>
    </row>
    <row r="1594" spans="1:9" ht="14.25" customHeight="1" x14ac:dyDescent="0.3">
      <c r="A1594" s="6">
        <v>41311</v>
      </c>
      <c r="B1594" s="7">
        <v>97.953199999999995</v>
      </c>
      <c r="C1594" s="8">
        <f t="shared" si="13"/>
        <v>105.01005486175731</v>
      </c>
      <c r="D1594" s="9">
        <f t="shared" si="12"/>
        <v>66.099497224385104</v>
      </c>
      <c r="E1594" s="9"/>
      <c r="F1594" s="9">
        <f ca="1">IFERROR(__xludf.DUMMYFUNCTION("""COMPUTED_VALUE"""),43713)</f>
        <v>43713</v>
      </c>
      <c r="G1594" s="9" t="str">
        <f ca="1">IFERROR(__xludf.DUMMYFUNCTION("""COMPUTED_VALUE"""),"1 USD = 156.8851 PKR")</f>
        <v>1 USD = 156.8851 PKR</v>
      </c>
      <c r="H1594" s="9" t="str">
        <f ca="1">IFERROR(__xludf.DUMMYFUNCTION("""COMPUTED_VALUE"""),"USD PKR rate for 05/09/2019")</f>
        <v>USD PKR rate for 05/09/2019</v>
      </c>
      <c r="I1594" s="9"/>
    </row>
    <row r="1595" spans="1:9" ht="14.25" customHeight="1" x14ac:dyDescent="0.3">
      <c r="A1595" s="6">
        <v>41312</v>
      </c>
      <c r="B1595" s="7">
        <v>98.13130000000001</v>
      </c>
      <c r="C1595" s="8">
        <f t="shared" si="13"/>
        <v>105.0288358857446</v>
      </c>
      <c r="D1595" s="9">
        <f t="shared" si="12"/>
        <v>66.102235057182369</v>
      </c>
      <c r="E1595" s="9"/>
      <c r="F1595" s="9">
        <f ca="1">IFERROR(__xludf.DUMMYFUNCTION("""COMPUTED_VALUE"""),43712)</f>
        <v>43712</v>
      </c>
      <c r="G1595" s="9" t="str">
        <f ca="1">IFERROR(__xludf.DUMMYFUNCTION("""COMPUTED_VALUE"""),"1 USD = 156.7458 PKR")</f>
        <v>1 USD = 156.7458 PKR</v>
      </c>
      <c r="H1595" s="9" t="str">
        <f ca="1">IFERROR(__xludf.DUMMYFUNCTION("""COMPUTED_VALUE"""),"USD PKR rate for 04/09/2019")</f>
        <v>USD PKR rate for 04/09/2019</v>
      </c>
      <c r="I1595" s="9"/>
    </row>
    <row r="1596" spans="1:9" ht="14.25" customHeight="1" x14ac:dyDescent="0.3">
      <c r="A1596" s="6">
        <v>41313</v>
      </c>
      <c r="B1596" s="7">
        <v>97.909700000000001</v>
      </c>
      <c r="C1596" s="8">
        <f t="shared" si="13"/>
        <v>105.0476202687137</v>
      </c>
      <c r="D1596" s="9">
        <f t="shared" si="12"/>
        <v>66.104972889979635</v>
      </c>
      <c r="E1596" s="9"/>
      <c r="F1596" s="9">
        <f ca="1">IFERROR(__xludf.DUMMYFUNCTION("""COMPUTED_VALUE"""),43711)</f>
        <v>43711</v>
      </c>
      <c r="G1596" s="9" t="str">
        <f ca="1">IFERROR(__xludf.DUMMYFUNCTION("""COMPUTED_VALUE"""),"1 USD = 156.7269 PKR")</f>
        <v>1 USD = 156.7269 PKR</v>
      </c>
      <c r="H1596" s="9" t="str">
        <f ca="1">IFERROR(__xludf.DUMMYFUNCTION("""COMPUTED_VALUE"""),"USD PKR rate for 03/09/2019")</f>
        <v>USD PKR rate for 03/09/2019</v>
      </c>
      <c r="I1596" s="9"/>
    </row>
    <row r="1597" spans="1:9" ht="14.25" customHeight="1" x14ac:dyDescent="0.3">
      <c r="A1597" s="6">
        <v>41314</v>
      </c>
      <c r="B1597" s="7">
        <v>98.055800000000005</v>
      </c>
      <c r="C1597" s="8">
        <f t="shared" si="13"/>
        <v>105.06640801126534</v>
      </c>
      <c r="D1597" s="9">
        <f t="shared" si="12"/>
        <v>66.107710722776901</v>
      </c>
      <c r="E1597" s="9"/>
      <c r="F1597" s="9">
        <f ca="1">IFERROR(__xludf.DUMMYFUNCTION("""COMPUTED_VALUE"""),43710)</f>
        <v>43710</v>
      </c>
      <c r="G1597" s="9" t="str">
        <f ca="1">IFERROR(__xludf.DUMMYFUNCTION("""COMPUTED_VALUE"""),"1 USD = 156.7529 PKR")</f>
        <v>1 USD = 156.7529 PKR</v>
      </c>
      <c r="H1597" s="9" t="str">
        <f ca="1">IFERROR(__xludf.DUMMYFUNCTION("""COMPUTED_VALUE"""),"USD PKR rate for 02/09/2019")</f>
        <v>USD PKR rate for 02/09/2019</v>
      </c>
      <c r="I1597" s="9"/>
    </row>
    <row r="1598" spans="1:9" ht="14.25" customHeight="1" x14ac:dyDescent="0.3">
      <c r="A1598" s="6">
        <v>41315</v>
      </c>
      <c r="B1598" s="7">
        <v>98.048000000000002</v>
      </c>
      <c r="C1598" s="8">
        <f t="shared" si="13"/>
        <v>105.08519911400039</v>
      </c>
      <c r="D1598" s="9">
        <f t="shared" si="12"/>
        <v>66.110448555574166</v>
      </c>
      <c r="E1598" s="9"/>
      <c r="F1598" s="9">
        <f ca="1">IFERROR(__xludf.DUMMYFUNCTION("""COMPUTED_VALUE"""),43709)</f>
        <v>43709</v>
      </c>
      <c r="G1598" s="9" t="str">
        <f ca="1">IFERROR(__xludf.DUMMYFUNCTION("""COMPUTED_VALUE"""),"1 USD = 156.8345 PKR")</f>
        <v>1 USD = 156.8345 PKR</v>
      </c>
      <c r="H1598" s="9" t="str">
        <f ca="1">IFERROR(__xludf.DUMMYFUNCTION("""COMPUTED_VALUE"""),"USD PKR rate for 01/09/2019")</f>
        <v>USD PKR rate for 01/09/2019</v>
      </c>
      <c r="I1598" s="9"/>
    </row>
    <row r="1599" spans="1:9" ht="14.25" customHeight="1" x14ac:dyDescent="0.3">
      <c r="A1599" s="6">
        <v>41316</v>
      </c>
      <c r="B1599" s="7">
        <v>98.088899999999995</v>
      </c>
      <c r="C1599" s="8">
        <f t="shared" si="13"/>
        <v>105.1039935775198</v>
      </c>
      <c r="D1599" s="9">
        <f t="shared" si="12"/>
        <v>66.113186388371432</v>
      </c>
      <c r="E1599" s="9"/>
      <c r="F1599" s="9">
        <f ca="1">IFERROR(__xludf.DUMMYFUNCTION("""COMPUTED_VALUE"""),43708)</f>
        <v>43708</v>
      </c>
      <c r="G1599" s="9" t="str">
        <f ca="1">IFERROR(__xludf.DUMMYFUNCTION("""COMPUTED_VALUE"""),"1 USD = 157.5002 PKR")</f>
        <v>1 USD = 157.5002 PKR</v>
      </c>
      <c r="H1599" s="9" t="str">
        <f ca="1">IFERROR(__xludf.DUMMYFUNCTION("""COMPUTED_VALUE"""),"USD PKR rate for 31/08/2019")</f>
        <v>USD PKR rate for 31/08/2019</v>
      </c>
      <c r="I1599" s="9"/>
    </row>
    <row r="1600" spans="1:9" ht="14.25" customHeight="1" x14ac:dyDescent="0.3">
      <c r="A1600" s="6">
        <v>41317</v>
      </c>
      <c r="B1600" s="7">
        <v>98.067300000000003</v>
      </c>
      <c r="C1600" s="8">
        <f t="shared" si="13"/>
        <v>105.12279140242465</v>
      </c>
      <c r="D1600" s="9">
        <f t="shared" si="12"/>
        <v>66.115924221168697</v>
      </c>
      <c r="E1600" s="9"/>
      <c r="F1600" s="9">
        <f ca="1">IFERROR(__xludf.DUMMYFUNCTION("""COMPUTED_VALUE"""),43707)</f>
        <v>43707</v>
      </c>
      <c r="G1600" s="9" t="str">
        <f ca="1">IFERROR(__xludf.DUMMYFUNCTION("""COMPUTED_VALUE"""),"1 USD = 157.5002 PKR")</f>
        <v>1 USD = 157.5002 PKR</v>
      </c>
      <c r="H1600" s="9" t="str">
        <f ca="1">IFERROR(__xludf.DUMMYFUNCTION("""COMPUTED_VALUE"""),"USD PKR rate for 30/08/2019")</f>
        <v>USD PKR rate for 30/08/2019</v>
      </c>
      <c r="I1600" s="9"/>
    </row>
    <row r="1601" spans="1:9" ht="14.25" customHeight="1" x14ac:dyDescent="0.3">
      <c r="A1601" s="6">
        <v>41318</v>
      </c>
      <c r="B1601" s="7">
        <v>98.326800000000006</v>
      </c>
      <c r="C1601" s="8">
        <f t="shared" si="13"/>
        <v>105.14159258931615</v>
      </c>
      <c r="D1601" s="9">
        <f t="shared" si="12"/>
        <v>66.118662053965963</v>
      </c>
      <c r="E1601" s="9"/>
      <c r="F1601" s="9">
        <f ca="1">IFERROR(__xludf.DUMMYFUNCTION("""COMPUTED_VALUE"""),43706)</f>
        <v>43706</v>
      </c>
      <c r="G1601" s="9" t="str">
        <f ca="1">IFERROR(__xludf.DUMMYFUNCTION("""COMPUTED_VALUE"""),"1 USD = 158.232 PKR")</f>
        <v>1 USD = 158.232 PKR</v>
      </c>
      <c r="H1601" s="9" t="str">
        <f ca="1">IFERROR(__xludf.DUMMYFUNCTION("""COMPUTED_VALUE"""),"USD PKR rate for 29/08/2019")</f>
        <v>USD PKR rate for 29/08/2019</v>
      </c>
      <c r="I1601" s="9"/>
    </row>
    <row r="1602" spans="1:9" ht="14.25" customHeight="1" x14ac:dyDescent="0.3">
      <c r="A1602" s="6">
        <v>41319</v>
      </c>
      <c r="B1602" s="7">
        <v>98.078500000000005</v>
      </c>
      <c r="C1602" s="8">
        <f t="shared" si="13"/>
        <v>105.16039713879545</v>
      </c>
      <c r="D1602" s="9">
        <f t="shared" si="12"/>
        <v>66.121399886763228</v>
      </c>
      <c r="E1602" s="9"/>
      <c r="F1602" s="9">
        <f ca="1">IFERROR(__xludf.DUMMYFUNCTION("""COMPUTED_VALUE"""),43705)</f>
        <v>43705</v>
      </c>
      <c r="G1602" s="9" t="str">
        <f ca="1">IFERROR(__xludf.DUMMYFUNCTION("""COMPUTED_VALUE"""),"1 USD = 158.5765 PKR")</f>
        <v>1 USD = 158.5765 PKR</v>
      </c>
      <c r="H1602" s="9" t="str">
        <f ca="1">IFERROR(__xludf.DUMMYFUNCTION("""COMPUTED_VALUE"""),"USD PKR rate for 28/08/2019")</f>
        <v>USD PKR rate for 28/08/2019</v>
      </c>
      <c r="I1602" s="9"/>
    </row>
    <row r="1603" spans="1:9" ht="14.25" customHeight="1" x14ac:dyDescent="0.3">
      <c r="A1603" s="6">
        <v>41320</v>
      </c>
      <c r="B1603" s="7">
        <v>98.103999999999999</v>
      </c>
      <c r="C1603" s="8">
        <f t="shared" si="13"/>
        <v>105.17920505146418</v>
      </c>
      <c r="D1603" s="9">
        <f t="shared" si="12"/>
        <v>66.124137719560494</v>
      </c>
      <c r="E1603" s="9"/>
      <c r="F1603" s="9">
        <f ca="1">IFERROR(__xludf.DUMMYFUNCTION("""COMPUTED_VALUE"""),43704)</f>
        <v>43704</v>
      </c>
      <c r="G1603" s="9" t="str">
        <f ca="1">IFERROR(__xludf.DUMMYFUNCTION("""COMPUTED_VALUE"""),"1 USD = 159.1123 PKR")</f>
        <v>1 USD = 159.1123 PKR</v>
      </c>
      <c r="H1603" s="9" t="str">
        <f ca="1">IFERROR(__xludf.DUMMYFUNCTION("""COMPUTED_VALUE"""),"USD PKR rate for 27/08/2019")</f>
        <v>USD PKR rate for 27/08/2019</v>
      </c>
      <c r="I1603" s="9"/>
    </row>
    <row r="1604" spans="1:9" ht="14.25" customHeight="1" x14ac:dyDescent="0.3">
      <c r="A1604" s="6">
        <v>41321</v>
      </c>
      <c r="B1604" s="7">
        <v>98.065200000000019</v>
      </c>
      <c r="C1604" s="8">
        <f t="shared" si="13"/>
        <v>105.19801632792372</v>
      </c>
      <c r="D1604" s="9">
        <f t="shared" si="12"/>
        <v>66.12687555235776</v>
      </c>
      <c r="E1604" s="9"/>
      <c r="F1604" s="9">
        <f ca="1">IFERROR(__xludf.DUMMYFUNCTION("""COMPUTED_VALUE"""),43703)</f>
        <v>43703</v>
      </c>
      <c r="G1604" s="9" t="str">
        <f ca="1">IFERROR(__xludf.DUMMYFUNCTION("""COMPUTED_VALUE"""),"1 USD = 158.905 PKR")</f>
        <v>1 USD = 158.905 PKR</v>
      </c>
      <c r="H1604" s="9" t="str">
        <f ca="1">IFERROR(__xludf.DUMMYFUNCTION("""COMPUTED_VALUE"""),"USD PKR rate for 26/08/2019")</f>
        <v>USD PKR rate for 26/08/2019</v>
      </c>
      <c r="I1604" s="9"/>
    </row>
    <row r="1605" spans="1:9" ht="14.25" customHeight="1" x14ac:dyDescent="0.3">
      <c r="A1605" s="6">
        <v>41322</v>
      </c>
      <c r="B1605" s="7">
        <v>98.144800000000004</v>
      </c>
      <c r="C1605" s="8">
        <f t="shared" si="13"/>
        <v>105.21683096877572</v>
      </c>
      <c r="D1605" s="9">
        <f t="shared" si="12"/>
        <v>66.129613385155025</v>
      </c>
      <c r="E1605" s="9"/>
      <c r="F1605" s="9">
        <f ca="1">IFERROR(__xludf.DUMMYFUNCTION("""COMPUTED_VALUE"""),43702)</f>
        <v>43702</v>
      </c>
      <c r="G1605" s="9" t="str">
        <f ca="1">IFERROR(__xludf.DUMMYFUNCTION("""COMPUTED_VALUE"""),"1 USD = 157.0082 PKR")</f>
        <v>1 USD = 157.0082 PKR</v>
      </c>
      <c r="H1605" s="9" t="str">
        <f ca="1">IFERROR(__xludf.DUMMYFUNCTION("""COMPUTED_VALUE"""),"USD PKR rate for 25/08/2019")</f>
        <v>USD PKR rate for 25/08/2019</v>
      </c>
      <c r="I1605" s="9"/>
    </row>
    <row r="1606" spans="1:9" ht="14.25" customHeight="1" x14ac:dyDescent="0.3">
      <c r="A1606" s="6">
        <v>41323</v>
      </c>
      <c r="B1606" s="7">
        <v>98.112899999999996</v>
      </c>
      <c r="C1606" s="8">
        <f t="shared" si="13"/>
        <v>105.23564897462188</v>
      </c>
      <c r="D1606" s="9">
        <f t="shared" si="12"/>
        <v>66.132351217952291</v>
      </c>
      <c r="E1606" s="9"/>
      <c r="F1606" s="9">
        <f ca="1">IFERROR(__xludf.DUMMYFUNCTION("""COMPUTED_VALUE"""),43701)</f>
        <v>43701</v>
      </c>
      <c r="G1606" s="9" t="str">
        <f ca="1">IFERROR(__xludf.DUMMYFUNCTION("""COMPUTED_VALUE"""),"1 USD = 160.0402 PKR")</f>
        <v>1 USD = 160.0402 PKR</v>
      </c>
      <c r="H1606" s="9" t="str">
        <f ca="1">IFERROR(__xludf.DUMMYFUNCTION("""COMPUTED_VALUE"""),"USD PKR rate for 24/08/2019")</f>
        <v>USD PKR rate for 24/08/2019</v>
      </c>
      <c r="I1606" s="9"/>
    </row>
    <row r="1607" spans="1:9" ht="14.25" customHeight="1" x14ac:dyDescent="0.3">
      <c r="A1607" s="6">
        <v>41324</v>
      </c>
      <c r="B1607" s="7">
        <v>98.131699999999995</v>
      </c>
      <c r="C1607" s="8">
        <f t="shared" si="13"/>
        <v>105.254470346064</v>
      </c>
      <c r="D1607" s="9">
        <f t="shared" si="12"/>
        <v>66.135089050749556</v>
      </c>
      <c r="E1607" s="9"/>
      <c r="F1607" s="9">
        <f ca="1">IFERROR(__xludf.DUMMYFUNCTION("""COMPUTED_VALUE"""),43700)</f>
        <v>43700</v>
      </c>
      <c r="G1607" s="9" t="str">
        <f ca="1">IFERROR(__xludf.DUMMYFUNCTION("""COMPUTED_VALUE"""),"1 USD = 160.04 PKR")</f>
        <v>1 USD = 160.04 PKR</v>
      </c>
      <c r="H1607" s="9" t="str">
        <f ca="1">IFERROR(__xludf.DUMMYFUNCTION("""COMPUTED_VALUE"""),"USD PKR rate for 23/08/2019")</f>
        <v>USD PKR rate for 23/08/2019</v>
      </c>
      <c r="I1607" s="9"/>
    </row>
    <row r="1608" spans="1:9" ht="14.25" customHeight="1" x14ac:dyDescent="0.3">
      <c r="A1608" s="6">
        <v>41325</v>
      </c>
      <c r="B1608" s="7">
        <v>98.409899999999993</v>
      </c>
      <c r="C1608" s="8">
        <f t="shared" si="13"/>
        <v>105.27329508370406</v>
      </c>
      <c r="D1608" s="9">
        <f t="shared" si="12"/>
        <v>66.137826883546822</v>
      </c>
      <c r="E1608" s="9"/>
      <c r="F1608" s="9">
        <f ca="1">IFERROR(__xludf.DUMMYFUNCTION("""COMPUTED_VALUE"""),43699)</f>
        <v>43699</v>
      </c>
      <c r="G1608" s="9" t="str">
        <f ca="1">IFERROR(__xludf.DUMMYFUNCTION("""COMPUTED_VALUE"""),"1 USD = 160.3692 PKR")</f>
        <v>1 USD = 160.3692 PKR</v>
      </c>
      <c r="H1608" s="9" t="str">
        <f ca="1">IFERROR(__xludf.DUMMYFUNCTION("""COMPUTED_VALUE"""),"USD PKR rate for 22/08/2019")</f>
        <v>USD PKR rate for 22/08/2019</v>
      </c>
      <c r="I1608" s="9"/>
    </row>
    <row r="1609" spans="1:9" ht="14.25" customHeight="1" x14ac:dyDescent="0.3">
      <c r="A1609" s="6">
        <v>41326</v>
      </c>
      <c r="B1609" s="7">
        <v>98.087500000000006</v>
      </c>
      <c r="C1609" s="8">
        <f t="shared" si="13"/>
        <v>105.29212318814407</v>
      </c>
      <c r="D1609" s="9">
        <f t="shared" si="12"/>
        <v>66.140564716344088</v>
      </c>
      <c r="E1609" s="9"/>
      <c r="F1609" s="9">
        <f ca="1">IFERROR(__xludf.DUMMYFUNCTION("""COMPUTED_VALUE"""),43698)</f>
        <v>43698</v>
      </c>
      <c r="G1609" s="9" t="str">
        <f ca="1">IFERROR(__xludf.DUMMYFUNCTION("""COMPUTED_VALUE"""),"1 USD = 160.0528 PKR")</f>
        <v>1 USD = 160.0528 PKR</v>
      </c>
      <c r="H1609" s="9" t="str">
        <f ca="1">IFERROR(__xludf.DUMMYFUNCTION("""COMPUTED_VALUE"""),"USD PKR rate for 21/08/2019")</f>
        <v>USD PKR rate for 21/08/2019</v>
      </c>
      <c r="I1609" s="9"/>
    </row>
    <row r="1610" spans="1:9" ht="14.25" customHeight="1" x14ac:dyDescent="0.3">
      <c r="A1610" s="6">
        <v>41327</v>
      </c>
      <c r="B1610" s="7">
        <v>98.346299999999999</v>
      </c>
      <c r="C1610" s="8">
        <f t="shared" si="13"/>
        <v>105.31095465998622</v>
      </c>
      <c r="D1610" s="9">
        <f t="shared" si="12"/>
        <v>66.143302549141353</v>
      </c>
      <c r="E1610" s="9"/>
      <c r="F1610" s="9">
        <f ca="1">IFERROR(__xludf.DUMMYFUNCTION("""COMPUTED_VALUE"""),43697)</f>
        <v>43697</v>
      </c>
      <c r="G1610" s="9" t="str">
        <f ca="1">IFERROR(__xludf.DUMMYFUNCTION("""COMPUTED_VALUE"""),"1 USD = 160.2283 PKR")</f>
        <v>1 USD = 160.2283 PKR</v>
      </c>
      <c r="H1610" s="9" t="str">
        <f ca="1">IFERROR(__xludf.DUMMYFUNCTION("""COMPUTED_VALUE"""),"USD PKR rate for 20/08/2019")</f>
        <v>USD PKR rate for 20/08/2019</v>
      </c>
      <c r="I1610" s="9"/>
    </row>
    <row r="1611" spans="1:9" ht="14.25" customHeight="1" x14ac:dyDescent="0.3">
      <c r="A1611" s="6">
        <v>41328</v>
      </c>
      <c r="B1611" s="7">
        <v>98.1922</v>
      </c>
      <c r="C1611" s="8">
        <f t="shared" si="13"/>
        <v>105.32978949983264</v>
      </c>
      <c r="D1611" s="9">
        <f t="shared" si="12"/>
        <v>66.146040381938619</v>
      </c>
      <c r="E1611" s="9"/>
      <c r="F1611" s="9">
        <f ca="1">IFERROR(__xludf.DUMMYFUNCTION("""COMPUTED_VALUE"""),43696)</f>
        <v>43696</v>
      </c>
      <c r="G1611" s="9" t="str">
        <f ca="1">IFERROR(__xludf.DUMMYFUNCTION("""COMPUTED_VALUE"""),"1 USD = 158.2991 PKR")</f>
        <v>1 USD = 158.2991 PKR</v>
      </c>
      <c r="H1611" s="9" t="str">
        <f ca="1">IFERROR(__xludf.DUMMYFUNCTION("""COMPUTED_VALUE"""),"USD PKR rate for 19/08/2019")</f>
        <v>USD PKR rate for 19/08/2019</v>
      </c>
      <c r="I1611" s="9"/>
    </row>
    <row r="1612" spans="1:9" ht="14.25" customHeight="1" x14ac:dyDescent="0.3">
      <c r="A1612" s="6">
        <v>41329</v>
      </c>
      <c r="B1612" s="7">
        <v>98.351600000000005</v>
      </c>
      <c r="C1612" s="8">
        <f t="shared" si="13"/>
        <v>105.3486277082859</v>
      </c>
      <c r="D1612" s="9">
        <f t="shared" si="12"/>
        <v>66.148778214735884</v>
      </c>
      <c r="E1612" s="9"/>
      <c r="F1612" s="9">
        <f ca="1">IFERROR(__xludf.DUMMYFUNCTION("""COMPUTED_VALUE"""),43695)</f>
        <v>43695</v>
      </c>
      <c r="G1612" s="9" t="str">
        <f ca="1">IFERROR(__xludf.DUMMYFUNCTION("""COMPUTED_VALUE"""),"1 USD = 160.5925 PKR")</f>
        <v>1 USD = 160.5925 PKR</v>
      </c>
      <c r="H1612" s="9" t="str">
        <f ca="1">IFERROR(__xludf.DUMMYFUNCTION("""COMPUTED_VALUE"""),"USD PKR rate for 18/08/2019")</f>
        <v>USD PKR rate for 18/08/2019</v>
      </c>
      <c r="I1612" s="9"/>
    </row>
    <row r="1613" spans="1:9" ht="14.25" customHeight="1" x14ac:dyDescent="0.3">
      <c r="A1613" s="6">
        <v>41330</v>
      </c>
      <c r="B1613" s="7">
        <v>98.511899999999997</v>
      </c>
      <c r="C1613" s="8">
        <f t="shared" si="13"/>
        <v>105.36746928594837</v>
      </c>
      <c r="D1613" s="9">
        <f t="shared" si="12"/>
        <v>66.15151604753315</v>
      </c>
      <c r="E1613" s="9"/>
      <c r="F1613" s="9">
        <f ca="1">IFERROR(__xludf.DUMMYFUNCTION("""COMPUTED_VALUE"""),43694)</f>
        <v>43694</v>
      </c>
      <c r="G1613" s="9" t="str">
        <f ca="1">IFERROR(__xludf.DUMMYFUNCTION("""COMPUTED_VALUE"""),"1 USD = 159.765 PKR")</f>
        <v>1 USD = 159.765 PKR</v>
      </c>
      <c r="H1613" s="9" t="str">
        <f ca="1">IFERROR(__xludf.DUMMYFUNCTION("""COMPUTED_VALUE"""),"USD PKR rate for 17/08/2019")</f>
        <v>USD PKR rate for 17/08/2019</v>
      </c>
      <c r="I1613" s="9"/>
    </row>
    <row r="1614" spans="1:9" ht="14.25" customHeight="1" x14ac:dyDescent="0.3">
      <c r="A1614" s="6">
        <v>41331</v>
      </c>
      <c r="B1614" s="7">
        <v>98.215400000000017</v>
      </c>
      <c r="C1614" s="8">
        <f t="shared" si="13"/>
        <v>105.38631423342267</v>
      </c>
      <c r="D1614" s="9">
        <f t="shared" si="12"/>
        <v>66.154253880330415</v>
      </c>
      <c r="E1614" s="9"/>
      <c r="F1614" s="9">
        <f ca="1">IFERROR(__xludf.DUMMYFUNCTION("""COMPUTED_VALUE"""),43693)</f>
        <v>43693</v>
      </c>
      <c r="G1614" s="9" t="str">
        <f ca="1">IFERROR(__xludf.DUMMYFUNCTION("""COMPUTED_VALUE"""),"1 USD = 159.765 PKR")</f>
        <v>1 USD = 159.765 PKR</v>
      </c>
      <c r="H1614" s="9" t="str">
        <f ca="1">IFERROR(__xludf.DUMMYFUNCTION("""COMPUTED_VALUE"""),"USD PKR rate for 16/08/2019")</f>
        <v>USD PKR rate for 16/08/2019</v>
      </c>
      <c r="I1614" s="9"/>
    </row>
    <row r="1615" spans="1:9" ht="14.25" customHeight="1" x14ac:dyDescent="0.3">
      <c r="A1615" s="6">
        <v>41332</v>
      </c>
      <c r="B1615" s="7">
        <v>98.309600000000003</v>
      </c>
      <c r="C1615" s="8">
        <f t="shared" si="13"/>
        <v>105.40516255131145</v>
      </c>
      <c r="D1615" s="9">
        <f t="shared" si="12"/>
        <v>66.156991713127681</v>
      </c>
      <c r="E1615" s="9"/>
      <c r="F1615" s="9">
        <f ca="1">IFERROR(__xludf.DUMMYFUNCTION("""COMPUTED_VALUE"""),43692)</f>
        <v>43692</v>
      </c>
      <c r="G1615" s="9" t="str">
        <f ca="1">IFERROR(__xludf.DUMMYFUNCTION("""COMPUTED_VALUE"""),"1 USD = 160.2232 PKR")</f>
        <v>1 USD = 160.2232 PKR</v>
      </c>
      <c r="H1615" s="9" t="str">
        <f ca="1">IFERROR(__xludf.DUMMYFUNCTION("""COMPUTED_VALUE"""),"USD PKR rate for 15/08/2019")</f>
        <v>USD PKR rate for 15/08/2019</v>
      </c>
      <c r="I1615" s="9"/>
    </row>
    <row r="1616" spans="1:9" ht="14.25" customHeight="1" x14ac:dyDescent="0.3">
      <c r="A1616" s="6">
        <v>41333</v>
      </c>
      <c r="B1616" s="7">
        <v>98.305000000000007</v>
      </c>
      <c r="C1616" s="8">
        <f t="shared" si="13"/>
        <v>105.4240142402175</v>
      </c>
      <c r="D1616" s="9">
        <f t="shared" si="12"/>
        <v>66.159729545924947</v>
      </c>
      <c r="E1616" s="9"/>
      <c r="F1616" s="9">
        <f ca="1">IFERROR(__xludf.DUMMYFUNCTION("""COMPUTED_VALUE"""),43691)</f>
        <v>43691</v>
      </c>
      <c r="G1616" s="9" t="str">
        <f ca="1">IFERROR(__xludf.DUMMYFUNCTION("""COMPUTED_VALUE"""),"1 USD = 160.2336 PKR")</f>
        <v>1 USD = 160.2336 PKR</v>
      </c>
      <c r="H1616" s="9" t="str">
        <f ca="1">IFERROR(__xludf.DUMMYFUNCTION("""COMPUTED_VALUE"""),"USD PKR rate for 14/08/2019")</f>
        <v>USD PKR rate for 14/08/2019</v>
      </c>
      <c r="I1616" s="9"/>
    </row>
    <row r="1617" spans="1:9" ht="14.25" customHeight="1" x14ac:dyDescent="0.3">
      <c r="A1617" s="6">
        <v>41334</v>
      </c>
      <c r="B1617" s="7">
        <v>98.171400000000006</v>
      </c>
      <c r="C1617" s="8">
        <f t="shared" si="13"/>
        <v>105.44286930074374</v>
      </c>
      <c r="D1617" s="9">
        <f t="shared" si="12"/>
        <v>66.162467378722212</v>
      </c>
      <c r="E1617" s="9"/>
      <c r="F1617" s="9">
        <f ca="1">IFERROR(__xludf.DUMMYFUNCTION("""COMPUTED_VALUE"""),43690)</f>
        <v>43690</v>
      </c>
      <c r="G1617" s="9" t="str">
        <f ca="1">IFERROR(__xludf.DUMMYFUNCTION("""COMPUTED_VALUE"""),"1 USD = 160.26 PKR")</f>
        <v>1 USD = 160.26 PKR</v>
      </c>
      <c r="H1617" s="9" t="str">
        <f ca="1">IFERROR(__xludf.DUMMYFUNCTION("""COMPUTED_VALUE"""),"USD PKR rate for 13/08/2019")</f>
        <v>USD PKR rate for 13/08/2019</v>
      </c>
      <c r="I1617" s="9"/>
    </row>
    <row r="1618" spans="1:9" ht="14.25" customHeight="1" x14ac:dyDescent="0.3">
      <c r="A1618" s="6">
        <v>41335</v>
      </c>
      <c r="B1618" s="7">
        <v>98.313500000000005</v>
      </c>
      <c r="C1618" s="8">
        <f t="shared" si="13"/>
        <v>105.46172773349321</v>
      </c>
      <c r="D1618" s="9">
        <f t="shared" si="12"/>
        <v>66.165205211519478</v>
      </c>
      <c r="E1618" s="9"/>
      <c r="F1618" s="9">
        <f ca="1">IFERROR(__xludf.DUMMYFUNCTION("""COMPUTED_VALUE"""),43689)</f>
        <v>43689</v>
      </c>
      <c r="G1618" s="9" t="str">
        <f ca="1">IFERROR(__xludf.DUMMYFUNCTION("""COMPUTED_VALUE"""),"1 USD = 160.269 PKR")</f>
        <v>1 USD = 160.269 PKR</v>
      </c>
      <c r="H1618" s="9" t="str">
        <f ca="1">IFERROR(__xludf.DUMMYFUNCTION("""COMPUTED_VALUE"""),"USD PKR rate for 12/08/2019")</f>
        <v>USD PKR rate for 12/08/2019</v>
      </c>
      <c r="I1618" s="9"/>
    </row>
    <row r="1619" spans="1:9" ht="14.25" customHeight="1" x14ac:dyDescent="0.3">
      <c r="A1619" s="6">
        <v>41336</v>
      </c>
      <c r="B1619" s="7">
        <v>98.243600000000015</v>
      </c>
      <c r="C1619" s="8">
        <f t="shared" si="13"/>
        <v>105.48058953906899</v>
      </c>
      <c r="D1619" s="9">
        <f t="shared" si="12"/>
        <v>66.167943044316743</v>
      </c>
      <c r="E1619" s="9"/>
      <c r="F1619" s="9">
        <f ca="1">IFERROR(__xludf.DUMMYFUNCTION("""COMPUTED_VALUE"""),43688)</f>
        <v>43688</v>
      </c>
      <c r="G1619" s="9" t="str">
        <f ca="1">IFERROR(__xludf.DUMMYFUNCTION("""COMPUTED_VALUE"""),"1 USD = 157.951 PKR")</f>
        <v>1 USD = 157.951 PKR</v>
      </c>
      <c r="H1619" s="9" t="str">
        <f ca="1">IFERROR(__xludf.DUMMYFUNCTION("""COMPUTED_VALUE"""),"USD PKR rate for 11/08/2019")</f>
        <v>USD PKR rate for 11/08/2019</v>
      </c>
      <c r="I1619" s="9"/>
    </row>
    <row r="1620" spans="1:9" ht="14.25" customHeight="1" x14ac:dyDescent="0.3">
      <c r="A1620" s="6">
        <v>41337</v>
      </c>
      <c r="B1620" s="7">
        <v>97.925600000000003</v>
      </c>
      <c r="C1620" s="8">
        <f t="shared" si="13"/>
        <v>105.49945471807433</v>
      </c>
      <c r="D1620" s="9">
        <f t="shared" si="12"/>
        <v>66.170680877114009</v>
      </c>
      <c r="E1620" s="9"/>
      <c r="F1620" s="9">
        <f ca="1">IFERROR(__xludf.DUMMYFUNCTION("""COMPUTED_VALUE"""),43687)</f>
        <v>43687</v>
      </c>
      <c r="G1620" s="9" t="str">
        <f ca="1">IFERROR(__xludf.DUMMYFUNCTION("""COMPUTED_VALUE"""),"1 USD = 157.9572 PKR")</f>
        <v>1 USD = 157.9572 PKR</v>
      </c>
      <c r="H1620" s="9" t="str">
        <f ca="1">IFERROR(__xludf.DUMMYFUNCTION("""COMPUTED_VALUE"""),"USD PKR rate for 10/08/2019")</f>
        <v>USD PKR rate for 10/08/2019</v>
      </c>
      <c r="I1620" s="9"/>
    </row>
    <row r="1621" spans="1:9" ht="14.25" customHeight="1" x14ac:dyDescent="0.3">
      <c r="A1621" s="6">
        <v>41338</v>
      </c>
      <c r="B1621" s="7">
        <v>98.207099999999997</v>
      </c>
      <c r="C1621" s="8">
        <f t="shared" si="13"/>
        <v>105.51832327111249</v>
      </c>
      <c r="D1621" s="9">
        <f t="shared" si="12"/>
        <v>66.173418709911275</v>
      </c>
      <c r="E1621" s="9"/>
      <c r="F1621" s="9">
        <f ca="1">IFERROR(__xludf.DUMMYFUNCTION("""COMPUTED_VALUE"""),43686)</f>
        <v>43686</v>
      </c>
      <c r="G1621" s="9" t="str">
        <f ca="1">IFERROR(__xludf.DUMMYFUNCTION("""COMPUTED_VALUE"""),"1 USD = 157.9572 PKR")</f>
        <v>1 USD = 157.9572 PKR</v>
      </c>
      <c r="H1621" s="9" t="str">
        <f ca="1">IFERROR(__xludf.DUMMYFUNCTION("""COMPUTED_VALUE"""),"USD PKR rate for 09/08/2019")</f>
        <v>USD PKR rate for 09/08/2019</v>
      </c>
      <c r="I1621" s="9"/>
    </row>
    <row r="1622" spans="1:9" ht="14.25" customHeight="1" x14ac:dyDescent="0.3">
      <c r="A1622" s="6">
        <v>41339</v>
      </c>
      <c r="B1622" s="7">
        <v>98.165199999999999</v>
      </c>
      <c r="C1622" s="8">
        <f t="shared" si="13"/>
        <v>105.53719519878706</v>
      </c>
      <c r="D1622" s="9">
        <f t="shared" si="12"/>
        <v>66.17615654270854</v>
      </c>
      <c r="E1622" s="9"/>
      <c r="F1622" s="9">
        <f ca="1">IFERROR(__xludf.DUMMYFUNCTION("""COMPUTED_VALUE"""),43685)</f>
        <v>43685</v>
      </c>
      <c r="G1622" s="9" t="str">
        <f ca="1">IFERROR(__xludf.DUMMYFUNCTION("""COMPUTED_VALUE"""),"1 USD = 159.5285 PKR")</f>
        <v>1 USD = 159.5285 PKR</v>
      </c>
      <c r="H1622" s="9" t="str">
        <f ca="1">IFERROR(__xludf.DUMMYFUNCTION("""COMPUTED_VALUE"""),"USD PKR rate for 08/08/2019")</f>
        <v>USD PKR rate for 08/08/2019</v>
      </c>
      <c r="I1622" s="9"/>
    </row>
    <row r="1623" spans="1:9" ht="14.25" customHeight="1" x14ac:dyDescent="0.3">
      <c r="A1623" s="6">
        <v>41340</v>
      </c>
      <c r="B1623" s="7">
        <v>98.108900000000006</v>
      </c>
      <c r="C1623" s="8">
        <f t="shared" si="13"/>
        <v>105.55607050170154</v>
      </c>
      <c r="D1623" s="9">
        <f t="shared" si="12"/>
        <v>66.178894375505806</v>
      </c>
      <c r="E1623" s="9"/>
      <c r="F1623" s="9">
        <f ca="1">IFERROR(__xludf.DUMMYFUNCTION("""COMPUTED_VALUE"""),43684)</f>
        <v>43684</v>
      </c>
      <c r="G1623" s="9" t="str">
        <f ca="1">IFERROR(__xludf.DUMMYFUNCTION("""COMPUTED_VALUE"""),"1 USD = 159.7762 PKR")</f>
        <v>1 USD = 159.7762 PKR</v>
      </c>
      <c r="H1623" s="9" t="str">
        <f ca="1">IFERROR(__xludf.DUMMYFUNCTION("""COMPUTED_VALUE"""),"USD PKR rate for 07/08/2019")</f>
        <v>USD PKR rate for 07/08/2019</v>
      </c>
      <c r="I1623" s="9"/>
    </row>
    <row r="1624" spans="1:9" ht="14.25" customHeight="1" x14ac:dyDescent="0.3">
      <c r="A1624" s="6">
        <v>41341</v>
      </c>
      <c r="B1624" s="7">
        <v>97.900999999999996</v>
      </c>
      <c r="C1624" s="8">
        <f t="shared" si="13"/>
        <v>105.57494918045957</v>
      </c>
      <c r="D1624" s="9">
        <f t="shared" si="12"/>
        <v>66.181632208303071</v>
      </c>
      <c r="E1624" s="9"/>
      <c r="F1624" s="9">
        <f ca="1">IFERROR(__xludf.DUMMYFUNCTION("""COMPUTED_VALUE"""),43683)</f>
        <v>43683</v>
      </c>
      <c r="G1624" s="9" t="str">
        <f ca="1">IFERROR(__xludf.DUMMYFUNCTION("""COMPUTED_VALUE"""),"1 USD = 159.2411 PKR")</f>
        <v>1 USD = 159.2411 PKR</v>
      </c>
      <c r="H1624" s="9" t="str">
        <f ca="1">IFERROR(__xludf.DUMMYFUNCTION("""COMPUTED_VALUE"""),"USD PKR rate for 06/08/2019")</f>
        <v>USD PKR rate for 06/08/2019</v>
      </c>
      <c r="I1624" s="9"/>
    </row>
    <row r="1625" spans="1:9" ht="14.25" customHeight="1" x14ac:dyDescent="0.3">
      <c r="A1625" s="6">
        <v>41342</v>
      </c>
      <c r="B1625" s="7">
        <v>97.751400000000004</v>
      </c>
      <c r="C1625" s="8">
        <f t="shared" si="13"/>
        <v>105.59383123566492</v>
      </c>
      <c r="D1625" s="9">
        <f t="shared" si="12"/>
        <v>66.184370041100337</v>
      </c>
      <c r="E1625" s="9"/>
      <c r="F1625" s="9">
        <f ca="1">IFERROR(__xludf.DUMMYFUNCTION("""COMPUTED_VALUE"""),43682)</f>
        <v>43682</v>
      </c>
      <c r="G1625" s="9" t="str">
        <f ca="1">IFERROR(__xludf.DUMMYFUNCTION("""COMPUTED_VALUE"""),"1 USD = 159.8584 PKR")</f>
        <v>1 USD = 159.8584 PKR</v>
      </c>
      <c r="H1625" s="9" t="str">
        <f ca="1">IFERROR(__xludf.DUMMYFUNCTION("""COMPUTED_VALUE"""),"USD PKR rate for 05/08/2019")</f>
        <v>USD PKR rate for 05/08/2019</v>
      </c>
      <c r="I1625" s="9"/>
    </row>
    <row r="1626" spans="1:9" ht="14.25" customHeight="1" x14ac:dyDescent="0.3">
      <c r="A1626" s="6">
        <v>41343</v>
      </c>
      <c r="B1626" s="7">
        <v>98.145100000000014</v>
      </c>
      <c r="C1626" s="8">
        <f t="shared" si="13"/>
        <v>105.61271666792148</v>
      </c>
      <c r="D1626" s="9">
        <f t="shared" si="12"/>
        <v>66.187107873897602</v>
      </c>
      <c r="E1626" s="9"/>
      <c r="F1626" s="9">
        <f ca="1">IFERROR(__xludf.DUMMYFUNCTION("""COMPUTED_VALUE"""),43681)</f>
        <v>43681</v>
      </c>
      <c r="G1626" s="9" t="str">
        <f ca="1">IFERROR(__xludf.DUMMYFUNCTION("""COMPUTED_VALUE"""),"1 USD = 160.043 PKR")</f>
        <v>1 USD = 160.043 PKR</v>
      </c>
      <c r="H1626" s="9" t="str">
        <f ca="1">IFERROR(__xludf.DUMMYFUNCTION("""COMPUTED_VALUE"""),"USD PKR rate for 04/08/2019")</f>
        <v>USD PKR rate for 04/08/2019</v>
      </c>
      <c r="I1626" s="9"/>
    </row>
    <row r="1627" spans="1:9" ht="14.25" customHeight="1" x14ac:dyDescent="0.3">
      <c r="A1627" s="6">
        <v>41344</v>
      </c>
      <c r="B1627" s="7">
        <v>97.838000000000008</v>
      </c>
      <c r="C1627" s="8">
        <f t="shared" si="13"/>
        <v>105.6316054778332</v>
      </c>
      <c r="D1627" s="9">
        <f t="shared" si="12"/>
        <v>66.189845706694868</v>
      </c>
      <c r="E1627" s="9"/>
      <c r="F1627" s="9">
        <f ca="1">IFERROR(__xludf.DUMMYFUNCTION("""COMPUTED_VALUE"""),43680)</f>
        <v>43680</v>
      </c>
      <c r="G1627" s="9" t="str">
        <f ca="1">IFERROR(__xludf.DUMMYFUNCTION("""COMPUTED_VALUE"""),"1 USD = 159.5501 PKR")</f>
        <v>1 USD = 159.5501 PKR</v>
      </c>
      <c r="H1627" s="9" t="str">
        <f ca="1">IFERROR(__xludf.DUMMYFUNCTION("""COMPUTED_VALUE"""),"USD PKR rate for 03/08/2019")</f>
        <v>USD PKR rate for 03/08/2019</v>
      </c>
      <c r="I1627" s="9"/>
    </row>
    <row r="1628" spans="1:9" ht="14.25" customHeight="1" x14ac:dyDescent="0.3">
      <c r="A1628" s="6">
        <v>41345</v>
      </c>
      <c r="B1628" s="7">
        <v>97.831100000000006</v>
      </c>
      <c r="C1628" s="8">
        <f t="shared" si="13"/>
        <v>105.65049766600423</v>
      </c>
      <c r="D1628" s="9">
        <f t="shared" si="12"/>
        <v>66.192583539492134</v>
      </c>
      <c r="E1628" s="9"/>
      <c r="F1628" s="9">
        <f ca="1">IFERROR(__xludf.DUMMYFUNCTION("""COMPUTED_VALUE"""),43679)</f>
        <v>43679</v>
      </c>
      <c r="G1628" s="9" t="str">
        <f ca="1">IFERROR(__xludf.DUMMYFUNCTION("""COMPUTED_VALUE"""),"1 USD = 159.5501 PKR")</f>
        <v>1 USD = 159.5501 PKR</v>
      </c>
      <c r="H1628" s="9" t="str">
        <f ca="1">IFERROR(__xludf.DUMMYFUNCTION("""COMPUTED_VALUE"""),"USD PKR rate for 02/08/2019")</f>
        <v>USD PKR rate for 02/08/2019</v>
      </c>
      <c r="I1628" s="9"/>
    </row>
    <row r="1629" spans="1:9" ht="14.25" customHeight="1" x14ac:dyDescent="0.3">
      <c r="A1629" s="6">
        <v>41346</v>
      </c>
      <c r="B1629" s="7">
        <v>97.921800000000005</v>
      </c>
      <c r="C1629" s="8">
        <f t="shared" si="13"/>
        <v>105.66939323303872</v>
      </c>
      <c r="D1629" s="9">
        <f t="shared" si="12"/>
        <v>66.195321372289399</v>
      </c>
      <c r="E1629" s="9"/>
      <c r="F1629" s="9">
        <f ca="1">IFERROR(__xludf.DUMMYFUNCTION("""COMPUTED_VALUE"""),43678)</f>
        <v>43678</v>
      </c>
      <c r="G1629" s="9" t="str">
        <f ca="1">IFERROR(__xludf.DUMMYFUNCTION("""COMPUTED_VALUE"""),"1 USD = 160.6645 PKR")</f>
        <v>1 USD = 160.6645 PKR</v>
      </c>
      <c r="H1629" s="9" t="str">
        <f ca="1">IFERROR(__xludf.DUMMYFUNCTION("""COMPUTED_VALUE"""),"USD PKR rate for 01/08/2019")</f>
        <v>USD PKR rate for 01/08/2019</v>
      </c>
      <c r="I1629" s="9"/>
    </row>
    <row r="1630" spans="1:9" ht="14.25" customHeight="1" x14ac:dyDescent="0.3">
      <c r="A1630" s="6">
        <v>41347</v>
      </c>
      <c r="B1630" s="7">
        <v>97.623599999999996</v>
      </c>
      <c r="C1630" s="8">
        <f t="shared" si="13"/>
        <v>105.68829217954089</v>
      </c>
      <c r="D1630" s="9">
        <f t="shared" si="12"/>
        <v>66.198059205086665</v>
      </c>
      <c r="E1630" s="9"/>
      <c r="F1630" s="9">
        <f ca="1">IFERROR(__xludf.DUMMYFUNCTION("""COMPUTED_VALUE"""),43677)</f>
        <v>43677</v>
      </c>
      <c r="G1630" s="9" t="str">
        <f ca="1">IFERROR(__xludf.DUMMYFUNCTION("""COMPUTED_VALUE"""),"1 USD = 160.7548 PKR")</f>
        <v>1 USD = 160.7548 PKR</v>
      </c>
      <c r="H1630" s="9" t="str">
        <f ca="1">IFERROR(__xludf.DUMMYFUNCTION("""COMPUTED_VALUE"""),"USD PKR rate for 31/07/2019")</f>
        <v>USD PKR rate for 31/07/2019</v>
      </c>
      <c r="I1630" s="9"/>
    </row>
    <row r="1631" spans="1:9" ht="14.25" customHeight="1" x14ac:dyDescent="0.3">
      <c r="A1631" s="6">
        <v>41348</v>
      </c>
      <c r="B1631" s="7">
        <v>98.088099999999997</v>
      </c>
      <c r="C1631" s="8">
        <f t="shared" si="13"/>
        <v>105.70719450611537</v>
      </c>
      <c r="D1631" s="9">
        <f t="shared" si="12"/>
        <v>66.20079703788393</v>
      </c>
      <c r="E1631" s="9"/>
      <c r="F1631" s="9">
        <f ca="1">IFERROR(__xludf.DUMMYFUNCTION("""COMPUTED_VALUE"""),43676)</f>
        <v>43676</v>
      </c>
      <c r="G1631" s="9" t="str">
        <f ca="1">IFERROR(__xludf.DUMMYFUNCTION("""COMPUTED_VALUE"""),"1 USD = 160.9965 PKR")</f>
        <v>1 USD = 160.9965 PKR</v>
      </c>
      <c r="H1631" s="9" t="str">
        <f ca="1">IFERROR(__xludf.DUMMYFUNCTION("""COMPUTED_VALUE"""),"USD PKR rate for 30/07/2019")</f>
        <v>USD PKR rate for 30/07/2019</v>
      </c>
      <c r="I1631" s="9"/>
    </row>
    <row r="1632" spans="1:9" ht="14.25" customHeight="1" x14ac:dyDescent="0.3">
      <c r="A1632" s="6">
        <v>41349</v>
      </c>
      <c r="B1632" s="7">
        <v>97.919100000000014</v>
      </c>
      <c r="C1632" s="8">
        <f t="shared" si="13"/>
        <v>105.72610021336659</v>
      </c>
      <c r="D1632" s="9">
        <f t="shared" si="12"/>
        <v>66.203534870681196</v>
      </c>
      <c r="E1632" s="9"/>
      <c r="F1632" s="9">
        <f ca="1">IFERROR(__xludf.DUMMYFUNCTION("""COMPUTED_VALUE"""),43675)</f>
        <v>43675</v>
      </c>
      <c r="G1632" s="9" t="str">
        <f ca="1">IFERROR(__xludf.DUMMYFUNCTION("""COMPUTED_VALUE"""),"1 USD = 161.2297 PKR")</f>
        <v>1 USD = 161.2297 PKR</v>
      </c>
      <c r="H1632" s="9" t="str">
        <f ca="1">IFERROR(__xludf.DUMMYFUNCTION("""COMPUTED_VALUE"""),"USD PKR rate for 29/07/2019")</f>
        <v>USD PKR rate for 29/07/2019</v>
      </c>
      <c r="I1632" s="9"/>
    </row>
    <row r="1633" spans="1:9" ht="14.25" customHeight="1" x14ac:dyDescent="0.3">
      <c r="A1633" s="6">
        <v>41350</v>
      </c>
      <c r="B1633" s="7">
        <v>98.264300000000006</v>
      </c>
      <c r="C1633" s="8">
        <f t="shared" si="13"/>
        <v>105.74500930189917</v>
      </c>
      <c r="D1633" s="9">
        <f t="shared" si="12"/>
        <v>66.206272703478461</v>
      </c>
      <c r="E1633" s="9"/>
      <c r="F1633" s="9">
        <f ca="1">IFERROR(__xludf.DUMMYFUNCTION("""COMPUTED_VALUE"""),43674)</f>
        <v>43674</v>
      </c>
      <c r="G1633" s="9" t="str">
        <f ca="1">IFERROR(__xludf.DUMMYFUNCTION("""COMPUTED_VALUE"""),"1 USD = 161.0859 PKR")</f>
        <v>1 USD = 161.0859 PKR</v>
      </c>
      <c r="H1633" s="9" t="str">
        <f ca="1">IFERROR(__xludf.DUMMYFUNCTION("""COMPUTED_VALUE"""),"USD PKR rate for 28/07/2019")</f>
        <v>USD PKR rate for 28/07/2019</v>
      </c>
      <c r="I1633" s="9"/>
    </row>
    <row r="1634" spans="1:9" ht="14.25" customHeight="1" x14ac:dyDescent="0.3">
      <c r="A1634" s="6">
        <v>41351</v>
      </c>
      <c r="B1634" s="7">
        <v>98.248999999999995</v>
      </c>
      <c r="C1634" s="8">
        <f t="shared" si="13"/>
        <v>105.76392177231784</v>
      </c>
      <c r="D1634" s="9">
        <f t="shared" si="12"/>
        <v>66.209010536275727</v>
      </c>
      <c r="E1634" s="9"/>
      <c r="F1634" s="9">
        <f ca="1">IFERROR(__xludf.DUMMYFUNCTION("""COMPUTED_VALUE"""),43673)</f>
        <v>43673</v>
      </c>
      <c r="G1634" s="9" t="str">
        <f ca="1">IFERROR(__xludf.DUMMYFUNCTION("""COMPUTED_VALUE"""),"1 USD = 160.7508 PKR")</f>
        <v>1 USD = 160.7508 PKR</v>
      </c>
      <c r="H1634" s="9" t="str">
        <f ca="1">IFERROR(__xludf.DUMMYFUNCTION("""COMPUTED_VALUE"""),"USD PKR rate for 27/07/2019")</f>
        <v>USD PKR rate for 27/07/2019</v>
      </c>
      <c r="I1634" s="9"/>
    </row>
    <row r="1635" spans="1:9" ht="14.25" customHeight="1" x14ac:dyDescent="0.3">
      <c r="A1635" s="6">
        <v>41352</v>
      </c>
      <c r="B1635" s="7">
        <v>98.246799999999993</v>
      </c>
      <c r="C1635" s="8">
        <f t="shared" si="13"/>
        <v>105.78283762522749</v>
      </c>
      <c r="D1635" s="9">
        <f t="shared" si="12"/>
        <v>66.211748369072993</v>
      </c>
      <c r="E1635" s="9"/>
      <c r="F1635" s="9">
        <f ca="1">IFERROR(__xludf.DUMMYFUNCTION("""COMPUTED_VALUE"""),43672)</f>
        <v>43672</v>
      </c>
      <c r="G1635" s="9" t="str">
        <f ca="1">IFERROR(__xludf.DUMMYFUNCTION("""COMPUTED_VALUE"""),"1 USD = 160.7508 PKR")</f>
        <v>1 USD = 160.7508 PKR</v>
      </c>
      <c r="H1635" s="9" t="str">
        <f ca="1">IFERROR(__xludf.DUMMYFUNCTION("""COMPUTED_VALUE"""),"USD PKR rate for 26/07/2019")</f>
        <v>USD PKR rate for 26/07/2019</v>
      </c>
      <c r="I1635" s="9"/>
    </row>
    <row r="1636" spans="1:9" ht="14.25" customHeight="1" x14ac:dyDescent="0.3">
      <c r="A1636" s="6">
        <v>41353</v>
      </c>
      <c r="B1636" s="7">
        <v>98.159300000000002</v>
      </c>
      <c r="C1636" s="8">
        <f t="shared" si="13"/>
        <v>105.80175686123303</v>
      </c>
      <c r="D1636" s="9">
        <f t="shared" si="12"/>
        <v>66.214486201870258</v>
      </c>
      <c r="E1636" s="9"/>
      <c r="F1636" s="9">
        <f ca="1">IFERROR(__xludf.DUMMYFUNCTION("""COMPUTED_VALUE"""),43671)</f>
        <v>43671</v>
      </c>
      <c r="G1636" s="9" t="str">
        <f ca="1">IFERROR(__xludf.DUMMYFUNCTION("""COMPUTED_VALUE"""),"1 USD = 161.0251 PKR")</f>
        <v>1 USD = 161.0251 PKR</v>
      </c>
      <c r="H1636" s="9" t="str">
        <f ca="1">IFERROR(__xludf.DUMMYFUNCTION("""COMPUTED_VALUE"""),"USD PKR rate for 25/07/2019")</f>
        <v>USD PKR rate for 25/07/2019</v>
      </c>
      <c r="I1636" s="9"/>
    </row>
    <row r="1637" spans="1:9" ht="14.25" customHeight="1" x14ac:dyDescent="0.3">
      <c r="A1637" s="6">
        <v>41354</v>
      </c>
      <c r="B1637" s="7">
        <v>98.312600000000003</v>
      </c>
      <c r="C1637" s="8">
        <f t="shared" si="13"/>
        <v>105.82067948093953</v>
      </c>
      <c r="D1637" s="9">
        <f t="shared" si="12"/>
        <v>66.217224034667524</v>
      </c>
      <c r="E1637" s="9"/>
      <c r="F1637" s="9">
        <f ca="1">IFERROR(__xludf.DUMMYFUNCTION("""COMPUTED_VALUE"""),43670)</f>
        <v>43670</v>
      </c>
      <c r="G1637" s="9" t="str">
        <f ca="1">IFERROR(__xludf.DUMMYFUNCTION("""COMPUTED_VALUE"""),"1 USD = 160.7521 PKR")</f>
        <v>1 USD = 160.7521 PKR</v>
      </c>
      <c r="H1637" s="9" t="str">
        <f ca="1">IFERROR(__xludf.DUMMYFUNCTION("""COMPUTED_VALUE"""),"USD PKR rate for 24/07/2019")</f>
        <v>USD PKR rate for 24/07/2019</v>
      </c>
      <c r="I1637" s="9"/>
    </row>
    <row r="1638" spans="1:9" ht="14.25" customHeight="1" x14ac:dyDescent="0.3">
      <c r="A1638" s="6">
        <v>41355</v>
      </c>
      <c r="B1638" s="7">
        <v>98.232800000000012</v>
      </c>
      <c r="C1638" s="8">
        <f t="shared" si="13"/>
        <v>105.8396054849522</v>
      </c>
      <c r="D1638" s="9">
        <f t="shared" si="12"/>
        <v>66.219961867464789</v>
      </c>
      <c r="E1638" s="9"/>
      <c r="F1638" s="9">
        <f ca="1">IFERROR(__xludf.DUMMYFUNCTION("""COMPUTED_VALUE"""),43669)</f>
        <v>43669</v>
      </c>
      <c r="G1638" s="9" t="str">
        <f ca="1">IFERROR(__xludf.DUMMYFUNCTION("""COMPUTED_VALUE"""),"1 USD = 160.498 PKR")</f>
        <v>1 USD = 160.498 PKR</v>
      </c>
      <c r="H1638" s="9" t="str">
        <f ca="1">IFERROR(__xludf.DUMMYFUNCTION("""COMPUTED_VALUE"""),"USD PKR rate for 23/07/2019")</f>
        <v>USD PKR rate for 23/07/2019</v>
      </c>
      <c r="I1638" s="9"/>
    </row>
    <row r="1639" spans="1:9" ht="14.25" customHeight="1" x14ac:dyDescent="0.3">
      <c r="A1639" s="6">
        <v>41356</v>
      </c>
      <c r="B1639" s="7">
        <v>98.268900000000016</v>
      </c>
      <c r="C1639" s="8">
        <f t="shared" si="13"/>
        <v>105.85853487387622</v>
      </c>
      <c r="D1639" s="9">
        <f t="shared" si="12"/>
        <v>66.222699700262055</v>
      </c>
      <c r="E1639" s="9"/>
      <c r="F1639" s="9">
        <f ca="1">IFERROR(__xludf.DUMMYFUNCTION("""COMPUTED_VALUE"""),43668)</f>
        <v>43668</v>
      </c>
      <c r="G1639" s="9" t="str">
        <f ca="1">IFERROR(__xludf.DUMMYFUNCTION("""COMPUTED_VALUE"""),"1 USD = 160.0851 PKR")</f>
        <v>1 USD = 160.0851 PKR</v>
      </c>
      <c r="H1639" s="9" t="str">
        <f ca="1">IFERROR(__xludf.DUMMYFUNCTION("""COMPUTED_VALUE"""),"USD PKR rate for 22/07/2019")</f>
        <v>USD PKR rate for 22/07/2019</v>
      </c>
      <c r="I1639" s="9"/>
    </row>
    <row r="1640" spans="1:9" ht="14.25" customHeight="1" x14ac:dyDescent="0.3">
      <c r="A1640" s="6">
        <v>41357</v>
      </c>
      <c r="B1640" s="7">
        <v>98.057500000000005</v>
      </c>
      <c r="C1640" s="8">
        <f t="shared" si="13"/>
        <v>105.87746764831715</v>
      </c>
      <c r="D1640" s="9">
        <f t="shared" si="12"/>
        <v>66.225437533059321</v>
      </c>
      <c r="E1640" s="9"/>
      <c r="F1640" s="9">
        <f ca="1">IFERROR(__xludf.DUMMYFUNCTION("""COMPUTED_VALUE"""),43667)</f>
        <v>43667</v>
      </c>
      <c r="G1640" s="9" t="str">
        <f ca="1">IFERROR(__xludf.DUMMYFUNCTION("""COMPUTED_VALUE"""),"1 USD = 159.9389 PKR")</f>
        <v>1 USD = 159.9389 PKR</v>
      </c>
      <c r="H1640" s="9" t="str">
        <f ca="1">IFERROR(__xludf.DUMMYFUNCTION("""COMPUTED_VALUE"""),"USD PKR rate for 21/07/2019")</f>
        <v>USD PKR rate for 21/07/2019</v>
      </c>
      <c r="I1640" s="9"/>
    </row>
    <row r="1641" spans="1:9" ht="14.25" customHeight="1" x14ac:dyDescent="0.3">
      <c r="A1641" s="6">
        <v>41358</v>
      </c>
      <c r="B1641" s="7">
        <v>98.547300000000007</v>
      </c>
      <c r="C1641" s="8">
        <f t="shared" si="13"/>
        <v>105.89640380888041</v>
      </c>
      <c r="D1641" s="9">
        <f t="shared" si="12"/>
        <v>66.228175365856586</v>
      </c>
      <c r="E1641" s="9"/>
      <c r="F1641" s="9">
        <f ca="1">IFERROR(__xludf.DUMMYFUNCTION("""COMPUTED_VALUE"""),43666)</f>
        <v>43666</v>
      </c>
      <c r="G1641" s="9" t="str">
        <f ca="1">IFERROR(__xludf.DUMMYFUNCTION("""COMPUTED_VALUE"""),"1 USD = 159.94 PKR")</f>
        <v>1 USD = 159.94 PKR</v>
      </c>
      <c r="H1641" s="9" t="str">
        <f ca="1">IFERROR(__xludf.DUMMYFUNCTION("""COMPUTED_VALUE"""),"USD PKR rate for 20/07/2019")</f>
        <v>USD PKR rate for 20/07/2019</v>
      </c>
      <c r="I1641" s="9"/>
    </row>
    <row r="1642" spans="1:9" ht="14.25" customHeight="1" x14ac:dyDescent="0.3">
      <c r="A1642" s="6">
        <v>41359</v>
      </c>
      <c r="B1642" s="7">
        <v>98.381600000000006</v>
      </c>
      <c r="C1642" s="8">
        <f t="shared" si="13"/>
        <v>105.91534335617159</v>
      </c>
      <c r="D1642" s="9">
        <f t="shared" si="12"/>
        <v>66.230913198653852</v>
      </c>
      <c r="E1642" s="9"/>
      <c r="F1642" s="9">
        <f ca="1">IFERROR(__xludf.DUMMYFUNCTION("""COMPUTED_VALUE"""),43665)</f>
        <v>43665</v>
      </c>
      <c r="G1642" s="9" t="str">
        <f ca="1">IFERROR(__xludf.DUMMYFUNCTION("""COMPUTED_VALUE"""),"1 USD = 159.9344 PKR")</f>
        <v>1 USD = 159.9344 PKR</v>
      </c>
      <c r="H1642" s="9" t="str">
        <f ca="1">IFERROR(__xludf.DUMMYFUNCTION("""COMPUTED_VALUE"""),"USD PKR rate for 19/07/2019")</f>
        <v>USD PKR rate for 19/07/2019</v>
      </c>
      <c r="I1642" s="9"/>
    </row>
    <row r="1643" spans="1:9" ht="14.25" customHeight="1" x14ac:dyDescent="0.3">
      <c r="A1643" s="6">
        <v>41360</v>
      </c>
      <c r="B1643" s="7">
        <v>98.573000000000008</v>
      </c>
      <c r="C1643" s="8">
        <f t="shared" si="13"/>
        <v>105.93428629079642</v>
      </c>
      <c r="D1643" s="9">
        <f t="shared" si="12"/>
        <v>66.233651031451117</v>
      </c>
      <c r="E1643" s="9"/>
      <c r="F1643" s="9">
        <f ca="1">IFERROR(__xludf.DUMMYFUNCTION("""COMPUTED_VALUE"""),43664)</f>
        <v>43664</v>
      </c>
      <c r="G1643" s="9" t="str">
        <f ca="1">IFERROR(__xludf.DUMMYFUNCTION("""COMPUTED_VALUE"""),"1 USD = 159.4911 PKR")</f>
        <v>1 USD = 159.4911 PKR</v>
      </c>
      <c r="H1643" s="9" t="str">
        <f ca="1">IFERROR(__xludf.DUMMYFUNCTION("""COMPUTED_VALUE"""),"USD PKR rate for 18/07/2019")</f>
        <v>USD PKR rate for 18/07/2019</v>
      </c>
      <c r="I1643" s="9"/>
    </row>
    <row r="1644" spans="1:9" ht="14.25" customHeight="1" x14ac:dyDescent="0.3">
      <c r="A1644" s="6">
        <v>41361</v>
      </c>
      <c r="B1644" s="7">
        <v>98.345600000000005</v>
      </c>
      <c r="C1644" s="8">
        <f t="shared" si="13"/>
        <v>105.95323261336071</v>
      </c>
      <c r="D1644" s="9">
        <f t="shared" si="12"/>
        <v>66.236388864248383</v>
      </c>
      <c r="E1644" s="9"/>
      <c r="F1644" s="9">
        <f ca="1">IFERROR(__xludf.DUMMYFUNCTION("""COMPUTED_VALUE"""),43663)</f>
        <v>43663</v>
      </c>
      <c r="G1644" s="9" t="str">
        <f ca="1">IFERROR(__xludf.DUMMYFUNCTION("""COMPUTED_VALUE"""),"1 USD = 159.5337 PKR")</f>
        <v>1 USD = 159.5337 PKR</v>
      </c>
      <c r="H1644" s="9" t="str">
        <f ca="1">IFERROR(__xludf.DUMMYFUNCTION("""COMPUTED_VALUE"""),"USD PKR rate for 17/07/2019")</f>
        <v>USD PKR rate for 17/07/2019</v>
      </c>
      <c r="I1644" s="9"/>
    </row>
    <row r="1645" spans="1:9" ht="14.25" customHeight="1" x14ac:dyDescent="0.3">
      <c r="A1645" s="6">
        <v>41362</v>
      </c>
      <c r="B1645" s="7">
        <v>98.428899999999999</v>
      </c>
      <c r="C1645" s="8">
        <f t="shared" si="13"/>
        <v>105.97218232447041</v>
      </c>
      <c r="D1645" s="9">
        <f t="shared" si="12"/>
        <v>66.239126697045648</v>
      </c>
      <c r="E1645" s="9"/>
      <c r="F1645" s="9">
        <f ca="1">IFERROR(__xludf.DUMMYFUNCTION("""COMPUTED_VALUE"""),43662)</f>
        <v>43662</v>
      </c>
      <c r="G1645" s="9" t="str">
        <f ca="1">IFERROR(__xludf.DUMMYFUNCTION("""COMPUTED_VALUE"""),"1 USD = 159.6657 PKR")</f>
        <v>1 USD = 159.6657 PKR</v>
      </c>
      <c r="H1645" s="9" t="str">
        <f ca="1">IFERROR(__xludf.DUMMYFUNCTION("""COMPUTED_VALUE"""),"USD PKR rate for 16/07/2019")</f>
        <v>USD PKR rate for 16/07/2019</v>
      </c>
      <c r="I1645" s="9"/>
    </row>
    <row r="1646" spans="1:9" ht="14.25" customHeight="1" x14ac:dyDescent="0.3">
      <c r="A1646" s="6">
        <v>41363</v>
      </c>
      <c r="B1646" s="7">
        <v>98.410100000000014</v>
      </c>
      <c r="C1646" s="8">
        <f t="shared" si="13"/>
        <v>105.99113542473155</v>
      </c>
      <c r="D1646" s="9">
        <f t="shared" si="12"/>
        <v>66.241864529842914</v>
      </c>
      <c r="E1646" s="9"/>
      <c r="F1646" s="9">
        <f ca="1">IFERROR(__xludf.DUMMYFUNCTION("""COMPUTED_VALUE"""),43661)</f>
        <v>43661</v>
      </c>
      <c r="G1646" s="9" t="str">
        <f ca="1">IFERROR(__xludf.DUMMYFUNCTION("""COMPUTED_VALUE"""),"1 USD = 159.5293 PKR")</f>
        <v>1 USD = 159.5293 PKR</v>
      </c>
      <c r="H1646" s="9" t="str">
        <f ca="1">IFERROR(__xludf.DUMMYFUNCTION("""COMPUTED_VALUE"""),"USD PKR rate for 15/07/2019")</f>
        <v>USD PKR rate for 15/07/2019</v>
      </c>
      <c r="I1646" s="9"/>
    </row>
    <row r="1647" spans="1:9" ht="14.25" customHeight="1" x14ac:dyDescent="0.3">
      <c r="A1647" s="6">
        <v>41364</v>
      </c>
      <c r="B1647" s="7">
        <v>98.38430000000001</v>
      </c>
      <c r="C1647" s="8">
        <f t="shared" si="13"/>
        <v>106.01009191475029</v>
      </c>
      <c r="D1647" s="9">
        <f t="shared" si="12"/>
        <v>66.24460236264018</v>
      </c>
      <c r="E1647" s="9"/>
      <c r="F1647" s="9">
        <f ca="1">IFERROR(__xludf.DUMMYFUNCTION("""COMPUTED_VALUE"""),43660)</f>
        <v>43660</v>
      </c>
      <c r="G1647" s="9" t="str">
        <f ca="1">IFERROR(__xludf.DUMMYFUNCTION("""COMPUTED_VALUE"""),"1 USD = 158.921 PKR")</f>
        <v>1 USD = 158.921 PKR</v>
      </c>
      <c r="H1647" s="9" t="str">
        <f ca="1">IFERROR(__xludf.DUMMYFUNCTION("""COMPUTED_VALUE"""),"USD PKR rate for 14/07/2019")</f>
        <v>USD PKR rate for 14/07/2019</v>
      </c>
      <c r="I1647" s="9"/>
    </row>
    <row r="1648" spans="1:9" ht="14.25" customHeight="1" x14ac:dyDescent="0.3">
      <c r="A1648" s="6">
        <v>41365</v>
      </c>
      <c r="B1648" s="7">
        <v>98.420199999999994</v>
      </c>
      <c r="C1648" s="8">
        <f t="shared" si="13"/>
        <v>106.02905179513276</v>
      </c>
      <c r="D1648" s="9">
        <f t="shared" si="12"/>
        <v>66.247340195437445</v>
      </c>
      <c r="E1648" s="9"/>
      <c r="F1648" s="9">
        <f ca="1">IFERROR(__xludf.DUMMYFUNCTION("""COMPUTED_VALUE"""),43659)</f>
        <v>43659</v>
      </c>
      <c r="G1648" s="9" t="str">
        <f ca="1">IFERROR(__xludf.DUMMYFUNCTION("""COMPUTED_VALUE"""),"1 USD = 157.9997 PKR")</f>
        <v>1 USD = 157.9997 PKR</v>
      </c>
      <c r="H1648" s="9" t="str">
        <f ca="1">IFERROR(__xludf.DUMMYFUNCTION("""COMPUTED_VALUE"""),"USD PKR rate for 13/07/2019")</f>
        <v>USD PKR rate for 13/07/2019</v>
      </c>
      <c r="I1648" s="9"/>
    </row>
    <row r="1649" spans="1:9" ht="14.25" customHeight="1" x14ac:dyDescent="0.3">
      <c r="A1649" s="6">
        <v>41366</v>
      </c>
      <c r="B1649" s="7">
        <v>98.487899999999996</v>
      </c>
      <c r="C1649" s="8">
        <f t="shared" si="13"/>
        <v>106.04801506648566</v>
      </c>
      <c r="D1649" s="9">
        <f t="shared" si="12"/>
        <v>66.250078028234725</v>
      </c>
      <c r="E1649" s="9"/>
      <c r="F1649" s="9">
        <f ca="1">IFERROR(__xludf.DUMMYFUNCTION("""COMPUTED_VALUE"""),43658)</f>
        <v>43658</v>
      </c>
      <c r="G1649" s="9" t="str">
        <f ca="1">IFERROR(__xludf.DUMMYFUNCTION("""COMPUTED_VALUE"""),"1 USD = 157.9997 PKR")</f>
        <v>1 USD = 157.9997 PKR</v>
      </c>
      <c r="H1649" s="9" t="str">
        <f ca="1">IFERROR(__xludf.DUMMYFUNCTION("""COMPUTED_VALUE"""),"USD PKR rate for 12/07/2019")</f>
        <v>USD PKR rate for 12/07/2019</v>
      </c>
      <c r="I1649" s="9"/>
    </row>
    <row r="1650" spans="1:9" ht="14.25" customHeight="1" x14ac:dyDescent="0.3">
      <c r="A1650" s="6">
        <v>41367</v>
      </c>
      <c r="B1650" s="7">
        <v>98.350999999999999</v>
      </c>
      <c r="C1650" s="8">
        <f t="shared" si="13"/>
        <v>106.06698172941515</v>
      </c>
      <c r="D1650" s="9">
        <f t="shared" si="12"/>
        <v>66.252815861031991</v>
      </c>
      <c r="E1650" s="9"/>
      <c r="F1650" s="9">
        <f ca="1">IFERROR(__xludf.DUMMYFUNCTION("""COMPUTED_VALUE"""),43657)</f>
        <v>43657</v>
      </c>
      <c r="G1650" s="9" t="str">
        <f ca="1">IFERROR(__xludf.DUMMYFUNCTION("""COMPUTED_VALUE"""),"1 USD = 158.5549 PKR")</f>
        <v>1 USD = 158.5549 PKR</v>
      </c>
      <c r="H1650" s="9" t="str">
        <f ca="1">IFERROR(__xludf.DUMMYFUNCTION("""COMPUTED_VALUE"""),"USD PKR rate for 11/07/2019")</f>
        <v>USD PKR rate for 11/07/2019</v>
      </c>
      <c r="I1650" s="9"/>
    </row>
    <row r="1651" spans="1:9" ht="14.25" customHeight="1" x14ac:dyDescent="0.3">
      <c r="A1651" s="6">
        <v>41368</v>
      </c>
      <c r="B1651" s="7">
        <v>98.357699999999994</v>
      </c>
      <c r="C1651" s="8">
        <f t="shared" si="13"/>
        <v>106.08595178452791</v>
      </c>
      <c r="D1651" s="9">
        <f t="shared" si="12"/>
        <v>66.255553693829256</v>
      </c>
      <c r="E1651" s="9"/>
      <c r="F1651" s="9">
        <f ca="1">IFERROR(__xludf.DUMMYFUNCTION("""COMPUTED_VALUE"""),43656)</f>
        <v>43656</v>
      </c>
      <c r="G1651" s="9" t="str">
        <f ca="1">IFERROR(__xludf.DUMMYFUNCTION("""COMPUTED_VALUE"""),"1 USD = 158.2442 PKR")</f>
        <v>1 USD = 158.2442 PKR</v>
      </c>
      <c r="H1651" s="9" t="str">
        <f ca="1">IFERROR(__xludf.DUMMYFUNCTION("""COMPUTED_VALUE"""),"USD PKR rate for 10/07/2019")</f>
        <v>USD PKR rate for 10/07/2019</v>
      </c>
      <c r="I1651" s="9"/>
    </row>
    <row r="1652" spans="1:9" ht="14.25" customHeight="1" x14ac:dyDescent="0.3">
      <c r="A1652" s="6">
        <v>41369</v>
      </c>
      <c r="B1652" s="7">
        <v>98.34520000000002</v>
      </c>
      <c r="C1652" s="8">
        <f t="shared" si="13"/>
        <v>106.10492523243063</v>
      </c>
      <c r="D1652" s="9">
        <f t="shared" si="12"/>
        <v>66.258291526626522</v>
      </c>
      <c r="E1652" s="9"/>
      <c r="F1652" s="9">
        <f ca="1">IFERROR(__xludf.DUMMYFUNCTION("""COMPUTED_VALUE"""),43655)</f>
        <v>43655</v>
      </c>
      <c r="G1652" s="9" t="str">
        <f ca="1">IFERROR(__xludf.DUMMYFUNCTION("""COMPUTED_VALUE"""),"1 USD = 158.357 PKR")</f>
        <v>1 USD = 158.357 PKR</v>
      </c>
      <c r="H1652" s="9" t="str">
        <f ca="1">IFERROR(__xludf.DUMMYFUNCTION("""COMPUTED_VALUE"""),"USD PKR rate for 09/07/2019")</f>
        <v>USD PKR rate for 09/07/2019</v>
      </c>
      <c r="I1652" s="9"/>
    </row>
    <row r="1653" spans="1:9" ht="14.25" customHeight="1" x14ac:dyDescent="0.3">
      <c r="A1653" s="6">
        <v>41370</v>
      </c>
      <c r="B1653" s="7">
        <v>98.420699999999997</v>
      </c>
      <c r="C1653" s="8">
        <f t="shared" si="13"/>
        <v>106.12390207373009</v>
      </c>
      <c r="D1653" s="9">
        <f t="shared" si="12"/>
        <v>66.261029359423787</v>
      </c>
      <c r="E1653" s="9"/>
      <c r="F1653" s="9">
        <f ca="1">IFERROR(__xludf.DUMMYFUNCTION("""COMPUTED_VALUE"""),43654)</f>
        <v>43654</v>
      </c>
      <c r="G1653" s="9" t="str">
        <f ca="1">IFERROR(__xludf.DUMMYFUNCTION("""COMPUTED_VALUE"""),"1 USD = 158.2494 PKR")</f>
        <v>1 USD = 158.2494 PKR</v>
      </c>
      <c r="H1653" s="9" t="str">
        <f ca="1">IFERROR(__xludf.DUMMYFUNCTION("""COMPUTED_VALUE"""),"USD PKR rate for 08/07/2019")</f>
        <v>USD PKR rate for 08/07/2019</v>
      </c>
      <c r="I1653" s="9"/>
    </row>
    <row r="1654" spans="1:9" ht="14.25" customHeight="1" x14ac:dyDescent="0.3">
      <c r="A1654" s="6">
        <v>41371</v>
      </c>
      <c r="B1654" s="7">
        <v>98.424099999999996</v>
      </c>
      <c r="C1654" s="8">
        <f t="shared" si="13"/>
        <v>106.14288230903327</v>
      </c>
      <c r="D1654" s="9">
        <f t="shared" si="12"/>
        <v>66.263767192221053</v>
      </c>
      <c r="E1654" s="9"/>
      <c r="F1654" s="9">
        <f ca="1">IFERROR(__xludf.DUMMYFUNCTION("""COMPUTED_VALUE"""),43653)</f>
        <v>43653</v>
      </c>
      <c r="G1654" s="9" t="str">
        <f ca="1">IFERROR(__xludf.DUMMYFUNCTION("""COMPUTED_VALUE"""),"1 USD = 156.9001 PKR")</f>
        <v>1 USD = 156.9001 PKR</v>
      </c>
      <c r="H1654" s="9" t="str">
        <f ca="1">IFERROR(__xludf.DUMMYFUNCTION("""COMPUTED_VALUE"""),"USD PKR rate for 07/07/2019")</f>
        <v>USD PKR rate for 07/07/2019</v>
      </c>
      <c r="I1654" s="9"/>
    </row>
    <row r="1655" spans="1:9" ht="14.25" customHeight="1" x14ac:dyDescent="0.3">
      <c r="A1655" s="6">
        <v>41372</v>
      </c>
      <c r="B1655" s="7">
        <v>98.495599999999996</v>
      </c>
      <c r="C1655" s="8">
        <f t="shared" si="13"/>
        <v>106.1618659389471</v>
      </c>
      <c r="D1655" s="9">
        <f t="shared" si="12"/>
        <v>66.266505025018319</v>
      </c>
      <c r="E1655" s="9"/>
      <c r="F1655" s="9">
        <f ca="1">IFERROR(__xludf.DUMMYFUNCTION("""COMPUTED_VALUE"""),43652)</f>
        <v>43652</v>
      </c>
      <c r="G1655" s="9" t="str">
        <f ca="1">IFERROR(__xludf.DUMMYFUNCTION("""COMPUTED_VALUE"""),"1 USD = 156.8999 PKR")</f>
        <v>1 USD = 156.8999 PKR</v>
      </c>
      <c r="H1655" s="9" t="str">
        <f ca="1">IFERROR(__xludf.DUMMYFUNCTION("""COMPUTED_VALUE"""),"USD PKR rate for 06/07/2019")</f>
        <v>USD PKR rate for 06/07/2019</v>
      </c>
      <c r="I1655" s="9"/>
    </row>
    <row r="1656" spans="1:9" ht="14.25" customHeight="1" x14ac:dyDescent="0.3">
      <c r="A1656" s="6">
        <v>41373</v>
      </c>
      <c r="B1656" s="7">
        <v>98.317000000000007</v>
      </c>
      <c r="C1656" s="8">
        <f t="shared" si="13"/>
        <v>106.18085296407874</v>
      </c>
      <c r="D1656" s="9">
        <f t="shared" si="12"/>
        <v>66.269242857815584</v>
      </c>
      <c r="E1656" s="9"/>
      <c r="F1656" s="9">
        <f ca="1">IFERROR(__xludf.DUMMYFUNCTION("""COMPUTED_VALUE"""),43651)</f>
        <v>43651</v>
      </c>
      <c r="G1656" s="9" t="str">
        <f ca="1">IFERROR(__xludf.DUMMYFUNCTION("""COMPUTED_VALUE"""),"1 USD = 156.9006 PKR")</f>
        <v>1 USD = 156.9006 PKR</v>
      </c>
      <c r="H1656" s="9" t="str">
        <f ca="1">IFERROR(__xludf.DUMMYFUNCTION("""COMPUTED_VALUE"""),"USD PKR rate for 05/07/2019")</f>
        <v>USD PKR rate for 05/07/2019</v>
      </c>
      <c r="I1656" s="9"/>
    </row>
    <row r="1657" spans="1:9" ht="14.25" customHeight="1" x14ac:dyDescent="0.3">
      <c r="A1657" s="6">
        <v>41374</v>
      </c>
      <c r="B1657" s="7">
        <v>98.367099999999994</v>
      </c>
      <c r="C1657" s="8">
        <f t="shared" si="13"/>
        <v>106.19984338503535</v>
      </c>
      <c r="D1657" s="9">
        <f t="shared" si="12"/>
        <v>66.27198069061285</v>
      </c>
      <c r="E1657" s="9"/>
      <c r="F1657" s="9">
        <f ca="1">IFERROR(__xludf.DUMMYFUNCTION("""COMPUTED_VALUE"""),43650)</f>
        <v>43650</v>
      </c>
      <c r="G1657" s="9" t="str">
        <f ca="1">IFERROR(__xludf.DUMMYFUNCTION("""COMPUTED_VALUE"""),"1 USD = 158.0681 PKR")</f>
        <v>1 USD = 158.0681 PKR</v>
      </c>
      <c r="H1657" s="9" t="str">
        <f ca="1">IFERROR(__xludf.DUMMYFUNCTION("""COMPUTED_VALUE"""),"USD PKR rate for 04/07/2019")</f>
        <v>USD PKR rate for 04/07/2019</v>
      </c>
      <c r="I1657" s="9"/>
    </row>
    <row r="1658" spans="1:9" ht="14.25" customHeight="1" x14ac:dyDescent="0.3">
      <c r="A1658" s="6">
        <v>41375</v>
      </c>
      <c r="B1658" s="7">
        <v>98.246600000000001</v>
      </c>
      <c r="C1658" s="8">
        <f t="shared" si="13"/>
        <v>106.21883720242444</v>
      </c>
      <c r="D1658" s="9">
        <f t="shared" si="12"/>
        <v>66.274718523410115</v>
      </c>
      <c r="E1658" s="9"/>
      <c r="F1658" s="9">
        <f ca="1">IFERROR(__xludf.DUMMYFUNCTION("""COMPUTED_VALUE"""),43649)</f>
        <v>43649</v>
      </c>
      <c r="G1658" s="9" t="str">
        <f ca="1">IFERROR(__xludf.DUMMYFUNCTION("""COMPUTED_VALUE"""),"1 USD = 158.6187 PKR")</f>
        <v>1 USD = 158.6187 PKR</v>
      </c>
      <c r="H1658" s="9" t="str">
        <f ca="1">IFERROR(__xludf.DUMMYFUNCTION("""COMPUTED_VALUE"""),"USD PKR rate for 03/07/2019")</f>
        <v>USD PKR rate for 03/07/2019</v>
      </c>
      <c r="I1658" s="9"/>
    </row>
    <row r="1659" spans="1:9" ht="14.25" customHeight="1" x14ac:dyDescent="0.3">
      <c r="A1659" s="6">
        <v>41376</v>
      </c>
      <c r="B1659" s="7">
        <v>98.241200000000021</v>
      </c>
      <c r="C1659" s="8">
        <f t="shared" si="13"/>
        <v>106.23783441685337</v>
      </c>
      <c r="D1659" s="9">
        <f t="shared" si="12"/>
        <v>66.277456356207381</v>
      </c>
      <c r="E1659" s="9"/>
      <c r="F1659" s="9">
        <f ca="1">IFERROR(__xludf.DUMMYFUNCTION("""COMPUTED_VALUE"""),43648)</f>
        <v>43648</v>
      </c>
      <c r="G1659" s="9" t="str">
        <f ca="1">IFERROR(__xludf.DUMMYFUNCTION("""COMPUTED_VALUE"""),"1 USD = 156.4988 PKR")</f>
        <v>1 USD = 156.4988 PKR</v>
      </c>
      <c r="H1659" s="9" t="str">
        <f ca="1">IFERROR(__xludf.DUMMYFUNCTION("""COMPUTED_VALUE"""),"USD PKR rate for 02/07/2019")</f>
        <v>USD PKR rate for 02/07/2019</v>
      </c>
      <c r="I1659" s="9"/>
    </row>
    <row r="1660" spans="1:9" ht="14.25" customHeight="1" x14ac:dyDescent="0.3">
      <c r="A1660" s="6">
        <v>41377</v>
      </c>
      <c r="B1660" s="7">
        <v>98.236099999999993</v>
      </c>
      <c r="C1660" s="8">
        <f t="shared" si="13"/>
        <v>106.25683502892971</v>
      </c>
      <c r="D1660" s="9">
        <f t="shared" si="12"/>
        <v>66.280194189004646</v>
      </c>
      <c r="E1660" s="9"/>
      <c r="F1660" s="9">
        <f ca="1">IFERROR(__xludf.DUMMYFUNCTION("""COMPUTED_VALUE"""),43647)</f>
        <v>43647</v>
      </c>
      <c r="G1660" s="9" t="str">
        <f ca="1">IFERROR(__xludf.DUMMYFUNCTION("""COMPUTED_VALUE"""),"1 USD = 162.3038 PKR")</f>
        <v>1 USD = 162.3038 PKR</v>
      </c>
      <c r="H1660" s="9" t="str">
        <f ca="1">IFERROR(__xludf.DUMMYFUNCTION("""COMPUTED_VALUE"""),"USD PKR rate for 01/07/2019")</f>
        <v>USD PKR rate for 01/07/2019</v>
      </c>
      <c r="I1660" s="9"/>
    </row>
    <row r="1661" spans="1:9" ht="14.25" customHeight="1" x14ac:dyDescent="0.3">
      <c r="A1661" s="6">
        <v>41378</v>
      </c>
      <c r="B1661" s="7">
        <v>98.053200000000004</v>
      </c>
      <c r="C1661" s="8">
        <f t="shared" si="13"/>
        <v>106.2758390392611</v>
      </c>
      <c r="D1661" s="9">
        <f t="shared" si="12"/>
        <v>66.282932021801912</v>
      </c>
      <c r="E1661" s="9"/>
      <c r="F1661" s="9">
        <f ca="1">IFERROR(__xludf.DUMMYFUNCTION("""COMPUTED_VALUE"""),43646)</f>
        <v>43646</v>
      </c>
      <c r="G1661" s="9" t="str">
        <f ca="1">IFERROR(__xludf.DUMMYFUNCTION("""COMPUTED_VALUE"""),"1 USD = 163.7568 PKR")</f>
        <v>1 USD = 163.7568 PKR</v>
      </c>
      <c r="H1661" s="9" t="str">
        <f ca="1">IFERROR(__xludf.DUMMYFUNCTION("""COMPUTED_VALUE"""),"USD PKR rate for 30/06/2019")</f>
        <v>USD PKR rate for 30/06/2019</v>
      </c>
      <c r="I1661" s="9"/>
    </row>
    <row r="1662" spans="1:9" ht="14.25" customHeight="1" x14ac:dyDescent="0.3">
      <c r="A1662" s="6">
        <v>41379</v>
      </c>
      <c r="B1662" s="7">
        <v>98.268500000000003</v>
      </c>
      <c r="C1662" s="8">
        <f t="shared" si="13"/>
        <v>106.29484644845535</v>
      </c>
      <c r="D1662" s="9">
        <f t="shared" si="12"/>
        <v>66.285669854599178</v>
      </c>
      <c r="E1662" s="9"/>
      <c r="F1662" s="9">
        <f ca="1">IFERROR(__xludf.DUMMYFUNCTION("""COMPUTED_VALUE"""),43645)</f>
        <v>43645</v>
      </c>
      <c r="G1662" s="9" t="str">
        <f ca="1">IFERROR(__xludf.DUMMYFUNCTION("""COMPUTED_VALUE"""),"1 USD = 163.0004 PKR")</f>
        <v>1 USD = 163.0004 PKR</v>
      </c>
      <c r="H1662" s="9" t="str">
        <f ca="1">IFERROR(__xludf.DUMMYFUNCTION("""COMPUTED_VALUE"""),"USD PKR rate for 29/06/2019")</f>
        <v>USD PKR rate for 29/06/2019</v>
      </c>
      <c r="I1662" s="9"/>
    </row>
    <row r="1663" spans="1:9" ht="14.25" customHeight="1" x14ac:dyDescent="0.3">
      <c r="A1663" s="6">
        <v>41380</v>
      </c>
      <c r="B1663" s="7">
        <v>98.129099999999994</v>
      </c>
      <c r="C1663" s="8">
        <f t="shared" si="13"/>
        <v>106.3138572571203</v>
      </c>
      <c r="D1663" s="9">
        <f t="shared" si="12"/>
        <v>66.288407687396443</v>
      </c>
      <c r="E1663" s="9"/>
      <c r="F1663" s="9">
        <f ca="1">IFERROR(__xludf.DUMMYFUNCTION("""COMPUTED_VALUE"""),43644)</f>
        <v>43644</v>
      </c>
      <c r="G1663" s="9" t="str">
        <f ca="1">IFERROR(__xludf.DUMMYFUNCTION("""COMPUTED_VALUE"""),"1 USD = 163.0004 PKR")</f>
        <v>1 USD = 163.0004 PKR</v>
      </c>
      <c r="H1663" s="9" t="str">
        <f ca="1">IFERROR(__xludf.DUMMYFUNCTION("""COMPUTED_VALUE"""),"USD PKR rate for 28/06/2019")</f>
        <v>USD PKR rate for 28/06/2019</v>
      </c>
      <c r="I1663" s="9"/>
    </row>
    <row r="1664" spans="1:9" ht="14.25" customHeight="1" x14ac:dyDescent="0.3">
      <c r="A1664" s="6">
        <v>41381</v>
      </c>
      <c r="B1664" s="7">
        <v>98.650400000000005</v>
      </c>
      <c r="C1664" s="8">
        <f t="shared" si="13"/>
        <v>106.33287146586402</v>
      </c>
      <c r="D1664" s="9">
        <f t="shared" si="12"/>
        <v>66.291145520193709</v>
      </c>
      <c r="E1664" s="9"/>
      <c r="F1664" s="9">
        <f ca="1">IFERROR(__xludf.DUMMYFUNCTION("""COMPUTED_VALUE"""),43643)</f>
        <v>43643</v>
      </c>
      <c r="G1664" s="9" t="str">
        <f ca="1">IFERROR(__xludf.DUMMYFUNCTION("""COMPUTED_VALUE"""),"1 USD = 160.901 PKR")</f>
        <v>1 USD = 160.901 PKR</v>
      </c>
      <c r="H1664" s="9" t="str">
        <f ca="1">IFERROR(__xludf.DUMMYFUNCTION("""COMPUTED_VALUE"""),"USD PKR rate for 27/06/2019")</f>
        <v>USD PKR rate for 27/06/2019</v>
      </c>
      <c r="I1664" s="9"/>
    </row>
    <row r="1665" spans="1:9" ht="14.25" customHeight="1" x14ac:dyDescent="0.3">
      <c r="A1665" s="6">
        <v>41382</v>
      </c>
      <c r="B1665" s="7">
        <v>98.438599999999994</v>
      </c>
      <c r="C1665" s="8">
        <f t="shared" si="13"/>
        <v>106.35188907529455</v>
      </c>
      <c r="D1665" s="9">
        <f t="shared" si="12"/>
        <v>66.293883352990974</v>
      </c>
      <c r="E1665" s="9"/>
      <c r="F1665" s="9">
        <f ca="1">IFERROR(__xludf.DUMMYFUNCTION("""COMPUTED_VALUE"""),43642)</f>
        <v>43642</v>
      </c>
      <c r="G1665" s="9" t="str">
        <f ca="1">IFERROR(__xludf.DUMMYFUNCTION("""COMPUTED_VALUE"""),"1 USD = 156.95 PKR")</f>
        <v>1 USD = 156.95 PKR</v>
      </c>
      <c r="H1665" s="9" t="str">
        <f ca="1">IFERROR(__xludf.DUMMYFUNCTION("""COMPUTED_VALUE"""),"USD PKR rate for 26/06/2019")</f>
        <v>USD PKR rate for 26/06/2019</v>
      </c>
      <c r="I1665" s="9"/>
    </row>
    <row r="1666" spans="1:9" ht="14.25" customHeight="1" x14ac:dyDescent="0.3">
      <c r="A1666" s="6">
        <v>41383</v>
      </c>
      <c r="B1666" s="7">
        <v>98.494100000000003</v>
      </c>
      <c r="C1666" s="8">
        <f t="shared" si="13"/>
        <v>106.37091008602003</v>
      </c>
      <c r="D1666" s="9">
        <f t="shared" si="12"/>
        <v>66.29662118578824</v>
      </c>
      <c r="E1666" s="9"/>
      <c r="F1666" s="9">
        <f ca="1">IFERROR(__xludf.DUMMYFUNCTION("""COMPUTED_VALUE"""),43641)</f>
        <v>43641</v>
      </c>
      <c r="G1666" s="9" t="str">
        <f ca="1">IFERROR(__xludf.DUMMYFUNCTION("""COMPUTED_VALUE"""),"1 USD = 157.2494 PKR")</f>
        <v>1 USD = 157.2494 PKR</v>
      </c>
      <c r="H1666" s="9" t="str">
        <f ca="1">IFERROR(__xludf.DUMMYFUNCTION("""COMPUTED_VALUE"""),"USD PKR rate for 25/06/2019")</f>
        <v>USD PKR rate for 25/06/2019</v>
      </c>
      <c r="I1666" s="9"/>
    </row>
    <row r="1667" spans="1:9" ht="14.25" customHeight="1" x14ac:dyDescent="0.3">
      <c r="A1667" s="6">
        <v>41384</v>
      </c>
      <c r="B1667" s="7">
        <v>98.403999999999996</v>
      </c>
      <c r="C1667" s="8">
        <f t="shared" si="13"/>
        <v>106.38993449864896</v>
      </c>
      <c r="D1667" s="9">
        <f t="shared" si="12"/>
        <v>66.299359018585506</v>
      </c>
      <c r="E1667" s="9"/>
      <c r="F1667" s="9">
        <f ca="1">IFERROR(__xludf.DUMMYFUNCTION("""COMPUTED_VALUE"""),43640)</f>
        <v>43640</v>
      </c>
      <c r="G1667" s="9" t="str">
        <f ca="1">IFERROR(__xludf.DUMMYFUNCTION("""COMPUTED_VALUE"""),"1 USD = 157.2486 PKR")</f>
        <v>1 USD = 157.2486 PKR</v>
      </c>
      <c r="H1667" s="9" t="str">
        <f ca="1">IFERROR(__xludf.DUMMYFUNCTION("""COMPUTED_VALUE"""),"USD PKR rate for 24/06/2019")</f>
        <v>USD PKR rate for 24/06/2019</v>
      </c>
      <c r="I1667" s="9"/>
    </row>
    <row r="1668" spans="1:9" ht="14.25" customHeight="1" x14ac:dyDescent="0.3">
      <c r="A1668" s="6">
        <v>41385</v>
      </c>
      <c r="B1668" s="7">
        <v>98.440700000000007</v>
      </c>
      <c r="C1668" s="8">
        <f t="shared" si="13"/>
        <v>106.40896231378967</v>
      </c>
      <c r="D1668" s="9">
        <f t="shared" si="12"/>
        <v>66.302096851382771</v>
      </c>
      <c r="E1668" s="9"/>
      <c r="F1668" s="9">
        <f ca="1">IFERROR(__xludf.DUMMYFUNCTION("""COMPUTED_VALUE"""),43639)</f>
        <v>43639</v>
      </c>
      <c r="G1668" s="9" t="str">
        <f ca="1">IFERROR(__xludf.DUMMYFUNCTION("""COMPUTED_VALUE"""),"1 USD = 157.1633 PKR")</f>
        <v>1 USD = 157.1633 PKR</v>
      </c>
      <c r="H1668" s="9" t="str">
        <f ca="1">IFERROR(__xludf.DUMMYFUNCTION("""COMPUTED_VALUE"""),"USD PKR rate for 23/06/2019")</f>
        <v>USD PKR rate for 23/06/2019</v>
      </c>
      <c r="I1668" s="9"/>
    </row>
    <row r="1669" spans="1:9" ht="14.25" customHeight="1" x14ac:dyDescent="0.3">
      <c r="A1669" s="6">
        <v>41386</v>
      </c>
      <c r="B1669" s="7">
        <v>98.366500000000002</v>
      </c>
      <c r="C1669" s="8">
        <f t="shared" si="13"/>
        <v>106.42799353205075</v>
      </c>
      <c r="D1669" s="9">
        <f t="shared" si="12"/>
        <v>66.304834684180037</v>
      </c>
      <c r="E1669" s="9"/>
      <c r="F1669" s="9">
        <f ca="1">IFERROR(__xludf.DUMMYFUNCTION("""COMPUTED_VALUE"""),43638)</f>
        <v>43638</v>
      </c>
      <c r="G1669" s="9" t="str">
        <f ca="1">IFERROR(__xludf.DUMMYFUNCTION("""COMPUTED_VALUE"""),"1 USD = 157.1402 PKR")</f>
        <v>1 USD = 157.1402 PKR</v>
      </c>
      <c r="H1669" s="9" t="str">
        <f ca="1">IFERROR(__xludf.DUMMYFUNCTION("""COMPUTED_VALUE"""),"USD PKR rate for 22/06/2019")</f>
        <v>USD PKR rate for 22/06/2019</v>
      </c>
      <c r="I1669" s="9"/>
    </row>
    <row r="1670" spans="1:9" ht="14.25" customHeight="1" x14ac:dyDescent="0.3">
      <c r="A1670" s="6">
        <v>41387</v>
      </c>
      <c r="B1670" s="7">
        <v>98.389600000000002</v>
      </c>
      <c r="C1670" s="8">
        <f t="shared" si="13"/>
        <v>106.44702815404077</v>
      </c>
      <c r="D1670" s="9">
        <f t="shared" si="12"/>
        <v>66.307572516977302</v>
      </c>
      <c r="E1670" s="9"/>
      <c r="F1670" s="9">
        <f ca="1">IFERROR(__xludf.DUMMYFUNCTION("""COMPUTED_VALUE"""),43637)</f>
        <v>43637</v>
      </c>
      <c r="G1670" s="9" t="str">
        <f ca="1">IFERROR(__xludf.DUMMYFUNCTION("""COMPUTED_VALUE"""),"1 USD = 157.1402 PKR")</f>
        <v>1 USD = 157.1402 PKR</v>
      </c>
      <c r="H1670" s="9" t="str">
        <f ca="1">IFERROR(__xludf.DUMMYFUNCTION("""COMPUTED_VALUE"""),"USD PKR rate for 21/06/2019")</f>
        <v>USD PKR rate for 21/06/2019</v>
      </c>
      <c r="I1670" s="9"/>
    </row>
    <row r="1671" spans="1:9" ht="14.25" customHeight="1" x14ac:dyDescent="0.3">
      <c r="A1671" s="6">
        <v>41388</v>
      </c>
      <c r="B1671" s="7">
        <v>98.379300000000001</v>
      </c>
      <c r="C1671" s="8">
        <f t="shared" si="13"/>
        <v>106.46606618036853</v>
      </c>
      <c r="D1671" s="9">
        <f t="shared" si="12"/>
        <v>66.310310349774568</v>
      </c>
      <c r="E1671" s="9"/>
      <c r="F1671" s="9">
        <f ca="1">IFERROR(__xludf.DUMMYFUNCTION("""COMPUTED_VALUE"""),43636)</f>
        <v>43636</v>
      </c>
      <c r="G1671" s="9" t="str">
        <f ca="1">IFERROR(__xludf.DUMMYFUNCTION("""COMPUTED_VALUE"""),"1 USD = 157.0715 PKR")</f>
        <v>1 USD = 157.0715 PKR</v>
      </c>
      <c r="H1671" s="9" t="str">
        <f ca="1">IFERROR(__xludf.DUMMYFUNCTION("""COMPUTED_VALUE"""),"USD PKR rate for 20/06/2019")</f>
        <v>USD PKR rate for 20/06/2019</v>
      </c>
      <c r="I1671" s="9"/>
    </row>
    <row r="1672" spans="1:9" ht="14.25" customHeight="1" x14ac:dyDescent="0.3">
      <c r="A1672" s="6">
        <v>41389</v>
      </c>
      <c r="B1672" s="7">
        <v>98.527600000000007</v>
      </c>
      <c r="C1672" s="8">
        <f t="shared" si="13"/>
        <v>106.4851076116429</v>
      </c>
      <c r="D1672" s="9">
        <f t="shared" si="12"/>
        <v>66.313048182571833</v>
      </c>
      <c r="E1672" s="9"/>
      <c r="F1672" s="9">
        <f ca="1">IFERROR(__xludf.DUMMYFUNCTION("""COMPUTED_VALUE"""),43635)</f>
        <v>43635</v>
      </c>
      <c r="G1672" s="9" t="str">
        <f ca="1">IFERROR(__xludf.DUMMYFUNCTION("""COMPUTED_VALUE"""),"1 USD = 157.0707 PKR")</f>
        <v>1 USD = 157.0707 PKR</v>
      </c>
      <c r="H1672" s="9" t="str">
        <f ca="1">IFERROR(__xludf.DUMMYFUNCTION("""COMPUTED_VALUE"""),"USD PKR rate for 19/06/2019")</f>
        <v>USD PKR rate for 19/06/2019</v>
      </c>
      <c r="I1672" s="9"/>
    </row>
    <row r="1673" spans="1:9" ht="14.25" customHeight="1" x14ac:dyDescent="0.3">
      <c r="A1673" s="6">
        <v>41390</v>
      </c>
      <c r="B1673" s="7">
        <v>98.424400000000006</v>
      </c>
      <c r="C1673" s="8">
        <f t="shared" si="13"/>
        <v>106.50415244847285</v>
      </c>
      <c r="D1673" s="9">
        <f t="shared" si="12"/>
        <v>66.315786015369099</v>
      </c>
      <c r="E1673" s="9"/>
      <c r="F1673" s="9">
        <f ca="1">IFERROR(__xludf.DUMMYFUNCTION("""COMPUTED_VALUE"""),43634)</f>
        <v>43634</v>
      </c>
      <c r="G1673" s="9" t="str">
        <f ca="1">IFERROR(__xludf.DUMMYFUNCTION("""COMPUTED_VALUE"""),"1 USD = 157.0838 PKR")</f>
        <v>1 USD = 157.0838 PKR</v>
      </c>
      <c r="H1673" s="9" t="str">
        <f ca="1">IFERROR(__xludf.DUMMYFUNCTION("""COMPUTED_VALUE"""),"USD PKR rate for 18/06/2019")</f>
        <v>USD PKR rate for 18/06/2019</v>
      </c>
      <c r="I1673" s="9"/>
    </row>
    <row r="1674" spans="1:9" ht="14.25" customHeight="1" x14ac:dyDescent="0.3">
      <c r="A1674" s="6">
        <v>41391</v>
      </c>
      <c r="B1674" s="7">
        <v>98.479600000000005</v>
      </c>
      <c r="C1674" s="8">
        <f t="shared" si="13"/>
        <v>106.52320069146744</v>
      </c>
      <c r="D1674" s="9">
        <f t="shared" si="12"/>
        <v>66.318523848166365</v>
      </c>
      <c r="E1674" s="9"/>
      <c r="F1674" s="9">
        <f ca="1">IFERROR(__xludf.DUMMYFUNCTION("""COMPUTED_VALUE"""),43633)</f>
        <v>43633</v>
      </c>
      <c r="G1674" s="9" t="str">
        <f ca="1">IFERROR(__xludf.DUMMYFUNCTION("""COMPUTED_VALUE"""),"1 USD = 156.8768 PKR")</f>
        <v>1 USD = 156.8768 PKR</v>
      </c>
      <c r="H1674" s="9" t="str">
        <f ca="1">IFERROR(__xludf.DUMMYFUNCTION("""COMPUTED_VALUE"""),"USD PKR rate for 17/06/2019")</f>
        <v>USD PKR rate for 17/06/2019</v>
      </c>
      <c r="I1674" s="9"/>
    </row>
    <row r="1675" spans="1:9" ht="14.25" customHeight="1" x14ac:dyDescent="0.3">
      <c r="A1675" s="6">
        <v>41392</v>
      </c>
      <c r="B1675" s="7">
        <v>98.263000000000005</v>
      </c>
      <c r="C1675" s="8">
        <f t="shared" si="13"/>
        <v>106.54225234123578</v>
      </c>
      <c r="D1675" s="9">
        <f t="shared" si="12"/>
        <v>66.32126168096363</v>
      </c>
      <c r="E1675" s="9"/>
      <c r="F1675" s="9">
        <f ca="1">IFERROR(__xludf.DUMMYFUNCTION("""COMPUTED_VALUE"""),43632)</f>
        <v>43632</v>
      </c>
      <c r="G1675" s="9" t="str">
        <f ca="1">IFERROR(__xludf.DUMMYFUNCTION("""COMPUTED_VALUE"""),"1 USD = 153.5035 PKR")</f>
        <v>1 USD = 153.5035 PKR</v>
      </c>
      <c r="H1675" s="9" t="str">
        <f ca="1">IFERROR(__xludf.DUMMYFUNCTION("""COMPUTED_VALUE"""),"USD PKR rate for 16/06/2019")</f>
        <v>USD PKR rate for 16/06/2019</v>
      </c>
      <c r="I1675" s="9"/>
    </row>
    <row r="1676" spans="1:9" ht="14.25" customHeight="1" x14ac:dyDescent="0.3">
      <c r="A1676" s="6">
        <v>41393</v>
      </c>
      <c r="B1676" s="7">
        <v>98.443299999999994</v>
      </c>
      <c r="C1676" s="8">
        <f t="shared" si="13"/>
        <v>106.56130739838737</v>
      </c>
      <c r="D1676" s="9">
        <f t="shared" si="12"/>
        <v>66.323999513760896</v>
      </c>
      <c r="E1676" s="9"/>
      <c r="F1676" s="9">
        <f ca="1">IFERROR(__xludf.DUMMYFUNCTION("""COMPUTED_VALUE"""),43631)</f>
        <v>43631</v>
      </c>
      <c r="G1676" s="9" t="str">
        <f ca="1">IFERROR(__xludf.DUMMYFUNCTION("""COMPUTED_VALUE"""),"1 USD = 153.4999 PKR")</f>
        <v>1 USD = 153.4999 PKR</v>
      </c>
      <c r="H1676" s="9" t="str">
        <f ca="1">IFERROR(__xludf.DUMMYFUNCTION("""COMPUTED_VALUE"""),"USD PKR rate for 15/06/2019")</f>
        <v>USD PKR rate for 15/06/2019</v>
      </c>
      <c r="I1676" s="9"/>
    </row>
    <row r="1677" spans="1:9" ht="14.25" customHeight="1" x14ac:dyDescent="0.3">
      <c r="A1677" s="6">
        <v>41394</v>
      </c>
      <c r="B1677" s="7">
        <v>98.240399999999994</v>
      </c>
      <c r="C1677" s="8">
        <f t="shared" si="13"/>
        <v>106.58036586353151</v>
      </c>
      <c r="D1677" s="9">
        <f t="shared" si="12"/>
        <v>66.326737346558161</v>
      </c>
      <c r="E1677" s="9"/>
      <c r="F1677" s="9">
        <f ca="1">IFERROR(__xludf.DUMMYFUNCTION("""COMPUTED_VALUE"""),43630)</f>
        <v>43630</v>
      </c>
      <c r="G1677" s="9" t="str">
        <f ca="1">IFERROR(__xludf.DUMMYFUNCTION("""COMPUTED_VALUE"""),"1 USD = 153.4996 PKR")</f>
        <v>1 USD = 153.4996 PKR</v>
      </c>
      <c r="H1677" s="9" t="str">
        <f ca="1">IFERROR(__xludf.DUMMYFUNCTION("""COMPUTED_VALUE"""),"USD PKR rate for 14/06/2019")</f>
        <v>USD PKR rate for 14/06/2019</v>
      </c>
      <c r="I1677" s="9"/>
    </row>
    <row r="1678" spans="1:9" ht="14.25" customHeight="1" x14ac:dyDescent="0.3">
      <c r="A1678" s="6">
        <v>41395</v>
      </c>
      <c r="B1678" s="7">
        <v>98.417599999999993</v>
      </c>
      <c r="C1678" s="8">
        <f t="shared" si="13"/>
        <v>106.59942773727774</v>
      </c>
      <c r="D1678" s="9">
        <f t="shared" si="12"/>
        <v>66.329475179355427</v>
      </c>
      <c r="E1678" s="9"/>
      <c r="F1678" s="9">
        <f ca="1">IFERROR(__xludf.DUMMYFUNCTION("""COMPUTED_VALUE"""),43629)</f>
        <v>43629</v>
      </c>
      <c r="G1678" s="9" t="str">
        <f ca="1">IFERROR(__xludf.DUMMYFUNCTION("""COMPUTED_VALUE"""),"1 USD = 151.9958 PKR")</f>
        <v>1 USD = 151.9958 PKR</v>
      </c>
      <c r="H1678" s="9" t="str">
        <f ca="1">IFERROR(__xludf.DUMMYFUNCTION("""COMPUTED_VALUE"""),"USD PKR rate for 13/06/2019")</f>
        <v>USD PKR rate for 13/06/2019</v>
      </c>
      <c r="I1678" s="9"/>
    </row>
    <row r="1679" spans="1:9" ht="14.25" customHeight="1" x14ac:dyDescent="0.3">
      <c r="A1679" s="6">
        <v>41396</v>
      </c>
      <c r="B1679" s="7">
        <v>98.295199999999994</v>
      </c>
      <c r="C1679" s="8">
        <f t="shared" si="13"/>
        <v>106.61849302023566</v>
      </c>
      <c r="D1679" s="9">
        <f t="shared" si="12"/>
        <v>66.332213012152692</v>
      </c>
      <c r="E1679" s="9"/>
      <c r="F1679" s="9">
        <f ca="1">IFERROR(__xludf.DUMMYFUNCTION("""COMPUTED_VALUE"""),43628)</f>
        <v>43628</v>
      </c>
      <c r="G1679" s="9" t="str">
        <f ca="1">IFERROR(__xludf.DUMMYFUNCTION("""COMPUTED_VALUE"""),"1 USD = 151.5144 PKR")</f>
        <v>1 USD = 151.5144 PKR</v>
      </c>
      <c r="H1679" s="9" t="str">
        <f ca="1">IFERROR(__xludf.DUMMYFUNCTION("""COMPUTED_VALUE"""),"USD PKR rate for 12/06/2019")</f>
        <v>USD PKR rate for 12/06/2019</v>
      </c>
      <c r="I1679" s="9"/>
    </row>
    <row r="1680" spans="1:9" ht="14.25" customHeight="1" x14ac:dyDescent="0.3">
      <c r="A1680" s="6">
        <v>41397</v>
      </c>
      <c r="B1680" s="7">
        <v>98.258899999999997</v>
      </c>
      <c r="C1680" s="8">
        <f t="shared" si="13"/>
        <v>106.63756171301503</v>
      </c>
      <c r="D1680" s="9">
        <f t="shared" si="12"/>
        <v>66.334950844949958</v>
      </c>
      <c r="E1680" s="9"/>
      <c r="F1680" s="9">
        <f ca="1">IFERROR(__xludf.DUMMYFUNCTION("""COMPUTED_VALUE"""),43627)</f>
        <v>43627</v>
      </c>
      <c r="G1680" s="9" t="str">
        <f ca="1">IFERROR(__xludf.DUMMYFUNCTION("""COMPUTED_VALUE"""),"1 USD = 151.38 PKR")</f>
        <v>1 USD = 151.38 PKR</v>
      </c>
      <c r="H1680" s="9" t="str">
        <f ca="1">IFERROR(__xludf.DUMMYFUNCTION("""COMPUTED_VALUE"""),"USD PKR rate for 11/06/2019")</f>
        <v>USD PKR rate for 11/06/2019</v>
      </c>
      <c r="I1680" s="9"/>
    </row>
    <row r="1681" spans="1:9" ht="14.25" customHeight="1" x14ac:dyDescent="0.3">
      <c r="A1681" s="6">
        <v>41398</v>
      </c>
      <c r="B1681" s="7">
        <v>98.36020000000002</v>
      </c>
      <c r="C1681" s="8">
        <f t="shared" si="13"/>
        <v>106.65663381622568</v>
      </c>
      <c r="D1681" s="9">
        <f t="shared" si="12"/>
        <v>66.337688677747224</v>
      </c>
      <c r="E1681" s="9"/>
      <c r="F1681" s="9">
        <f ca="1">IFERROR(__xludf.DUMMYFUNCTION("""COMPUTED_VALUE"""),43626)</f>
        <v>43626</v>
      </c>
      <c r="G1681" s="9" t="str">
        <f ca="1">IFERROR(__xludf.DUMMYFUNCTION("""COMPUTED_VALUE"""),"1 USD = 150.6673 PKR")</f>
        <v>1 USD = 150.6673 PKR</v>
      </c>
      <c r="H1681" s="9" t="str">
        <f ca="1">IFERROR(__xludf.DUMMYFUNCTION("""COMPUTED_VALUE"""),"USD PKR rate for 10/06/2019")</f>
        <v>USD PKR rate for 10/06/2019</v>
      </c>
      <c r="I1681" s="9"/>
    </row>
    <row r="1682" spans="1:9" ht="14.25" customHeight="1" x14ac:dyDescent="0.3">
      <c r="A1682" s="6">
        <v>41399</v>
      </c>
      <c r="B1682" s="7">
        <v>98.351900000000001</v>
      </c>
      <c r="C1682" s="8">
        <f t="shared" si="13"/>
        <v>106.67570933047757</v>
      </c>
      <c r="D1682" s="9">
        <f t="shared" si="12"/>
        <v>66.340426510544489</v>
      </c>
      <c r="E1682" s="9"/>
      <c r="F1682" s="9">
        <f ca="1">IFERROR(__xludf.DUMMYFUNCTION("""COMPUTED_VALUE"""),43625)</f>
        <v>43625</v>
      </c>
      <c r="G1682" s="9" t="str">
        <f ca="1">IFERROR(__xludf.DUMMYFUNCTION("""COMPUTED_VALUE"""),"1 USD = 147.7047 PKR")</f>
        <v>1 USD = 147.7047 PKR</v>
      </c>
      <c r="H1682" s="9" t="str">
        <f ca="1">IFERROR(__xludf.DUMMYFUNCTION("""COMPUTED_VALUE"""),"USD PKR rate for 09/06/2019")</f>
        <v>USD PKR rate for 09/06/2019</v>
      </c>
      <c r="I1682" s="9"/>
    </row>
    <row r="1683" spans="1:9" ht="14.25" customHeight="1" x14ac:dyDescent="0.3">
      <c r="A1683" s="6">
        <v>41400</v>
      </c>
      <c r="B1683" s="7">
        <v>98.432900000000018</v>
      </c>
      <c r="C1683" s="8">
        <f t="shared" si="13"/>
        <v>106.69478825638079</v>
      </c>
      <c r="D1683" s="9">
        <f t="shared" si="12"/>
        <v>66.343164343341755</v>
      </c>
      <c r="E1683" s="9"/>
      <c r="F1683" s="9">
        <f ca="1">IFERROR(__xludf.DUMMYFUNCTION("""COMPUTED_VALUE"""),43624)</f>
        <v>43624</v>
      </c>
      <c r="G1683" s="9" t="str">
        <f ca="1">IFERROR(__xludf.DUMMYFUNCTION("""COMPUTED_VALUE"""),"1 USD = 149.5398 PKR")</f>
        <v>1 USD = 149.5398 PKR</v>
      </c>
      <c r="H1683" s="9" t="str">
        <f ca="1">IFERROR(__xludf.DUMMYFUNCTION("""COMPUTED_VALUE"""),"USD PKR rate for 08/06/2019")</f>
        <v>USD PKR rate for 08/06/2019</v>
      </c>
      <c r="I1683" s="9"/>
    </row>
    <row r="1684" spans="1:9" ht="14.25" customHeight="1" x14ac:dyDescent="0.3">
      <c r="A1684" s="6">
        <v>41401</v>
      </c>
      <c r="B1684" s="7">
        <v>98.507999999999996</v>
      </c>
      <c r="C1684" s="8">
        <f t="shared" si="13"/>
        <v>106.71387059454536</v>
      </c>
      <c r="D1684" s="9">
        <f t="shared" si="12"/>
        <v>66.34590217613902</v>
      </c>
      <c r="E1684" s="9"/>
      <c r="F1684" s="9">
        <f ca="1">IFERROR(__xludf.DUMMYFUNCTION("""COMPUTED_VALUE"""),43623)</f>
        <v>43623</v>
      </c>
      <c r="G1684" s="9" t="str">
        <f ca="1">IFERROR(__xludf.DUMMYFUNCTION("""COMPUTED_VALUE"""),"1 USD = 149.5398 PKR")</f>
        <v>1 USD = 149.5398 PKR</v>
      </c>
      <c r="H1684" s="9" t="str">
        <f ca="1">IFERROR(__xludf.DUMMYFUNCTION("""COMPUTED_VALUE"""),"USD PKR rate for 07/06/2019")</f>
        <v>USD PKR rate for 07/06/2019</v>
      </c>
      <c r="I1684" s="9"/>
    </row>
    <row r="1685" spans="1:9" ht="14.25" customHeight="1" x14ac:dyDescent="0.3">
      <c r="A1685" s="6">
        <v>41402</v>
      </c>
      <c r="B1685" s="7">
        <v>98.305000000000007</v>
      </c>
      <c r="C1685" s="8">
        <f t="shared" si="13"/>
        <v>106.7329563455818</v>
      </c>
      <c r="D1685" s="9">
        <f t="shared" si="12"/>
        <v>66.348640008936286</v>
      </c>
      <c r="E1685" s="9"/>
      <c r="F1685" s="9">
        <f ca="1">IFERROR(__xludf.DUMMYFUNCTION("""COMPUTED_VALUE"""),43622)</f>
        <v>43622</v>
      </c>
      <c r="G1685" s="9" t="str">
        <f ca="1">IFERROR(__xludf.DUMMYFUNCTION("""COMPUTED_VALUE"""),"1 USD = 147.5332 PKR")</f>
        <v>1 USD = 147.5332 PKR</v>
      </c>
      <c r="H1685" s="9" t="str">
        <f ca="1">IFERROR(__xludf.DUMMYFUNCTION("""COMPUTED_VALUE"""),"USD PKR rate for 06/06/2019")</f>
        <v>USD PKR rate for 06/06/2019</v>
      </c>
      <c r="I1685" s="9"/>
    </row>
    <row r="1686" spans="1:9" ht="14.25" customHeight="1" x14ac:dyDescent="0.3">
      <c r="A1686" s="6">
        <v>41403</v>
      </c>
      <c r="B1686" s="7">
        <v>98.620999999999995</v>
      </c>
      <c r="C1686" s="8">
        <f t="shared" si="13"/>
        <v>106.7520455101004</v>
      </c>
      <c r="D1686" s="9">
        <f t="shared" si="12"/>
        <v>66.351377841733552</v>
      </c>
      <c r="E1686" s="9"/>
      <c r="F1686" s="9">
        <f ca="1">IFERROR(__xludf.DUMMYFUNCTION("""COMPUTED_VALUE"""),43621)</f>
        <v>43621</v>
      </c>
      <c r="G1686" s="9" t="str">
        <f ca="1">IFERROR(__xludf.DUMMYFUNCTION("""COMPUTED_VALUE"""),"1 USD = 147.2905 PKR")</f>
        <v>1 USD = 147.2905 PKR</v>
      </c>
      <c r="H1686" s="9" t="str">
        <f ca="1">IFERROR(__xludf.DUMMYFUNCTION("""COMPUTED_VALUE"""),"USD PKR rate for 05/06/2019")</f>
        <v>USD PKR rate for 05/06/2019</v>
      </c>
      <c r="I1686" s="9"/>
    </row>
    <row r="1687" spans="1:9" ht="14.25" customHeight="1" x14ac:dyDescent="0.3">
      <c r="A1687" s="6">
        <v>41404</v>
      </c>
      <c r="B1687" s="7">
        <v>98.415899999999993</v>
      </c>
      <c r="C1687" s="8">
        <f t="shared" si="13"/>
        <v>106.77113808871164</v>
      </c>
      <c r="D1687" s="9">
        <f t="shared" si="12"/>
        <v>66.354115674530817</v>
      </c>
      <c r="E1687" s="9"/>
      <c r="F1687" s="9">
        <f ca="1">IFERROR(__xludf.DUMMYFUNCTION("""COMPUTED_VALUE"""),43620)</f>
        <v>43620</v>
      </c>
      <c r="G1687" s="9" t="str">
        <f ca="1">IFERROR(__xludf.DUMMYFUNCTION("""COMPUTED_VALUE"""),"1 USD = 147.4544 PKR")</f>
        <v>1 USD = 147.4544 PKR</v>
      </c>
      <c r="H1687" s="9" t="str">
        <f ca="1">IFERROR(__xludf.DUMMYFUNCTION("""COMPUTED_VALUE"""),"USD PKR rate for 04/06/2019")</f>
        <v>USD PKR rate for 04/06/2019</v>
      </c>
      <c r="I1687" s="9"/>
    </row>
    <row r="1688" spans="1:9" ht="14.25" customHeight="1" x14ac:dyDescent="0.3">
      <c r="A1688" s="6">
        <v>41405</v>
      </c>
      <c r="B1688" s="7">
        <v>98.386499999999998</v>
      </c>
      <c r="C1688" s="8">
        <f t="shared" si="13"/>
        <v>106.79023408202615</v>
      </c>
      <c r="D1688" s="9">
        <f t="shared" si="12"/>
        <v>66.356853507328083</v>
      </c>
      <c r="E1688" s="9"/>
      <c r="F1688" s="9">
        <f ca="1">IFERROR(__xludf.DUMMYFUNCTION("""COMPUTED_VALUE"""),43619)</f>
        <v>43619</v>
      </c>
      <c r="G1688" s="9" t="str">
        <f ca="1">IFERROR(__xludf.DUMMYFUNCTION("""COMPUTED_VALUE"""),"1 USD = 146.8461 PKR")</f>
        <v>1 USD = 146.8461 PKR</v>
      </c>
      <c r="H1688" s="9" t="str">
        <f ca="1">IFERROR(__xludf.DUMMYFUNCTION("""COMPUTED_VALUE"""),"USD PKR rate for 03/06/2019")</f>
        <v>USD PKR rate for 03/06/2019</v>
      </c>
      <c r="I1688" s="9"/>
    </row>
    <row r="1689" spans="1:9" ht="14.25" customHeight="1" x14ac:dyDescent="0.3">
      <c r="A1689" s="6">
        <v>41406</v>
      </c>
      <c r="B1689" s="7">
        <v>98.440200000000019</v>
      </c>
      <c r="C1689" s="8">
        <f t="shared" si="13"/>
        <v>106.80933349065464</v>
      </c>
      <c r="D1689" s="9">
        <f t="shared" si="12"/>
        <v>66.359591340125348</v>
      </c>
      <c r="E1689" s="9"/>
      <c r="F1689" s="9">
        <f ca="1">IFERROR(__xludf.DUMMYFUNCTION("""COMPUTED_VALUE"""),43618)</f>
        <v>43618</v>
      </c>
      <c r="G1689" s="9" t="str">
        <f ca="1">IFERROR(__xludf.DUMMYFUNCTION("""COMPUTED_VALUE"""),"1 USD = 146.3007 PKR")</f>
        <v>1 USD = 146.3007 PKR</v>
      </c>
      <c r="H1689" s="9" t="str">
        <f ca="1">IFERROR(__xludf.DUMMYFUNCTION("""COMPUTED_VALUE"""),"USD PKR rate for 02/06/2019")</f>
        <v>USD PKR rate for 02/06/2019</v>
      </c>
      <c r="I1689" s="9"/>
    </row>
    <row r="1690" spans="1:9" ht="14.25" customHeight="1" x14ac:dyDescent="0.3">
      <c r="A1690" s="6">
        <v>41407</v>
      </c>
      <c r="B1690" s="7">
        <v>98.623199999999997</v>
      </c>
      <c r="C1690" s="8">
        <f t="shared" si="13"/>
        <v>106.82843631520792</v>
      </c>
      <c r="D1690" s="9">
        <f t="shared" si="12"/>
        <v>66.362329172922614</v>
      </c>
      <c r="E1690" s="9"/>
      <c r="F1690" s="9">
        <f ca="1">IFERROR(__xludf.DUMMYFUNCTION("""COMPUTED_VALUE"""),43617)</f>
        <v>43617</v>
      </c>
      <c r="G1690" s="9" t="str">
        <f ca="1">IFERROR(__xludf.DUMMYFUNCTION("""COMPUTED_VALUE"""),"1 USD = 146.8604 PKR")</f>
        <v>1 USD = 146.8604 PKR</v>
      </c>
      <c r="H1690" s="9" t="str">
        <f ca="1">IFERROR(__xludf.DUMMYFUNCTION("""COMPUTED_VALUE"""),"USD PKR rate for 01/06/2019")</f>
        <v>USD PKR rate for 01/06/2019</v>
      </c>
      <c r="I1690" s="9"/>
    </row>
    <row r="1691" spans="1:9" ht="14.25" customHeight="1" x14ac:dyDescent="0.3">
      <c r="A1691" s="6">
        <v>41408</v>
      </c>
      <c r="B1691" s="7">
        <v>98.748199999999997</v>
      </c>
      <c r="C1691" s="8">
        <f t="shared" si="13"/>
        <v>106.84754255629696</v>
      </c>
      <c r="D1691" s="9">
        <f t="shared" si="12"/>
        <v>66.365067005719879</v>
      </c>
      <c r="E1691" s="9"/>
      <c r="F1691" s="9">
        <f ca="1">IFERROR(__xludf.DUMMYFUNCTION("""COMPUTED_VALUE"""),43616)</f>
        <v>43616</v>
      </c>
      <c r="G1691" s="9" t="str">
        <f ca="1">IFERROR(__xludf.DUMMYFUNCTION("""COMPUTED_VALUE"""),"1 USD = 146.8604 PKR")</f>
        <v>1 USD = 146.8604 PKR</v>
      </c>
      <c r="H1691" s="9" t="str">
        <f ca="1">IFERROR(__xludf.DUMMYFUNCTION("""COMPUTED_VALUE"""),"USD PKR rate for 31/05/2019")</f>
        <v>USD PKR rate for 31/05/2019</v>
      </c>
      <c r="I1691" s="9"/>
    </row>
    <row r="1692" spans="1:9" ht="14.25" customHeight="1" x14ac:dyDescent="0.3">
      <c r="A1692" s="6">
        <v>41409</v>
      </c>
      <c r="B1692" s="7">
        <v>98.506100000000004</v>
      </c>
      <c r="C1692" s="8">
        <f t="shared" si="13"/>
        <v>106.86665221453279</v>
      </c>
      <c r="D1692" s="9">
        <f t="shared" si="12"/>
        <v>66.367804838517145</v>
      </c>
      <c r="E1692" s="9"/>
      <c r="F1692" s="9">
        <f ca="1">IFERROR(__xludf.DUMMYFUNCTION("""COMPUTED_VALUE"""),43615)</f>
        <v>43615</v>
      </c>
      <c r="G1692" s="9" t="str">
        <f ca="1">IFERROR(__xludf.DUMMYFUNCTION("""COMPUTED_VALUE"""),"1 USD = 151.0335 PKR")</f>
        <v>1 USD = 151.0335 PKR</v>
      </c>
      <c r="H1692" s="9" t="str">
        <f ca="1">IFERROR(__xludf.DUMMYFUNCTION("""COMPUTED_VALUE"""),"USD PKR rate for 30/05/2019")</f>
        <v>USD PKR rate for 30/05/2019</v>
      </c>
      <c r="I1692" s="9"/>
    </row>
    <row r="1693" spans="1:9" ht="14.25" customHeight="1" x14ac:dyDescent="0.3">
      <c r="A1693" s="6">
        <v>41410</v>
      </c>
      <c r="B1693" s="7">
        <v>98.558899999999994</v>
      </c>
      <c r="C1693" s="8">
        <f t="shared" si="13"/>
        <v>106.88576529052649</v>
      </c>
      <c r="D1693" s="9">
        <f t="shared" si="12"/>
        <v>66.370542671314411</v>
      </c>
      <c r="E1693" s="9"/>
      <c r="F1693" s="9">
        <f ca="1">IFERROR(__xludf.DUMMYFUNCTION("""COMPUTED_VALUE"""),43614)</f>
        <v>43614</v>
      </c>
      <c r="G1693" s="9" t="str">
        <f ca="1">IFERROR(__xludf.DUMMYFUNCTION("""COMPUTED_VALUE"""),"1 USD = 150.0006 PKR")</f>
        <v>1 USD = 150.0006 PKR</v>
      </c>
      <c r="H1693" s="9" t="str">
        <f ca="1">IFERROR(__xludf.DUMMYFUNCTION("""COMPUTED_VALUE"""),"USD PKR rate for 29/05/2019")</f>
        <v>USD PKR rate for 29/05/2019</v>
      </c>
      <c r="I1693" s="9"/>
    </row>
    <row r="1694" spans="1:9" ht="14.25" customHeight="1" x14ac:dyDescent="0.3">
      <c r="A1694" s="6">
        <v>41411</v>
      </c>
      <c r="B1694" s="7">
        <v>98.510199999999998</v>
      </c>
      <c r="C1694" s="8">
        <f t="shared" si="13"/>
        <v>106.90488178488948</v>
      </c>
      <c r="D1694" s="9">
        <f t="shared" si="12"/>
        <v>66.373280504111676</v>
      </c>
      <c r="E1694" s="9"/>
      <c r="F1694" s="9">
        <f ca="1">IFERROR(__xludf.DUMMYFUNCTION("""COMPUTED_VALUE"""),43613)</f>
        <v>43613</v>
      </c>
      <c r="G1694" s="9" t="str">
        <f ca="1">IFERROR(__xludf.DUMMYFUNCTION("""COMPUTED_VALUE"""),"1 USD = 150.9934 PKR")</f>
        <v>1 USD = 150.9934 PKR</v>
      </c>
      <c r="H1694" s="9" t="str">
        <f ca="1">IFERROR(__xludf.DUMMYFUNCTION("""COMPUTED_VALUE"""),"USD PKR rate for 28/05/2019")</f>
        <v>USD PKR rate for 28/05/2019</v>
      </c>
      <c r="I1694" s="9"/>
    </row>
    <row r="1695" spans="1:9" ht="14.25" customHeight="1" x14ac:dyDescent="0.3">
      <c r="A1695" s="6">
        <v>41412</v>
      </c>
      <c r="B1695" s="7">
        <v>98.551900000000018</v>
      </c>
      <c r="C1695" s="8">
        <f t="shared" si="13"/>
        <v>106.92400169823307</v>
      </c>
      <c r="D1695" s="9">
        <f t="shared" si="12"/>
        <v>66.376018336908942</v>
      </c>
      <c r="E1695" s="9"/>
      <c r="F1695" s="9">
        <f ca="1">IFERROR(__xludf.DUMMYFUNCTION("""COMPUTED_VALUE"""),43612)</f>
        <v>43612</v>
      </c>
      <c r="G1695" s="9" t="str">
        <f ca="1">IFERROR(__xludf.DUMMYFUNCTION("""COMPUTED_VALUE"""),"1 USD = 150.8705 PKR")</f>
        <v>1 USD = 150.8705 PKR</v>
      </c>
      <c r="H1695" s="9" t="str">
        <f ca="1">IFERROR(__xludf.DUMMYFUNCTION("""COMPUTED_VALUE"""),"USD PKR rate for 27/05/2019")</f>
        <v>USD PKR rate for 27/05/2019</v>
      </c>
      <c r="I1695" s="9"/>
    </row>
    <row r="1696" spans="1:9" ht="14.25" customHeight="1" x14ac:dyDescent="0.3">
      <c r="A1696" s="6">
        <v>41413</v>
      </c>
      <c r="B1696" s="7">
        <v>98.619100000000003</v>
      </c>
      <c r="C1696" s="8">
        <f t="shared" si="13"/>
        <v>106.94312503116872</v>
      </c>
      <c r="D1696" s="9">
        <f t="shared" si="12"/>
        <v>66.378756169706207</v>
      </c>
      <c r="E1696" s="9"/>
      <c r="F1696" s="9">
        <f ca="1">IFERROR(__xludf.DUMMYFUNCTION("""COMPUTED_VALUE"""),43611)</f>
        <v>43611</v>
      </c>
      <c r="G1696" s="9" t="str">
        <f ca="1">IFERROR(__xludf.DUMMYFUNCTION("""COMPUTED_VALUE"""),"1 USD = 151.5663 PKR")</f>
        <v>1 USD = 151.5663 PKR</v>
      </c>
      <c r="H1696" s="9" t="str">
        <f ca="1">IFERROR(__xludf.DUMMYFUNCTION("""COMPUTED_VALUE"""),"USD PKR rate for 26/05/2019")</f>
        <v>USD PKR rate for 26/05/2019</v>
      </c>
      <c r="I1696" s="9"/>
    </row>
    <row r="1697" spans="1:9" ht="14.25" customHeight="1" x14ac:dyDescent="0.3">
      <c r="A1697" s="6">
        <v>41414</v>
      </c>
      <c r="B1697" s="7">
        <v>98.171199999999999</v>
      </c>
      <c r="C1697" s="8">
        <f t="shared" si="13"/>
        <v>106.96225178430805</v>
      </c>
      <c r="D1697" s="9">
        <f t="shared" si="12"/>
        <v>66.381494002503473</v>
      </c>
      <c r="E1697" s="9"/>
      <c r="F1697" s="9">
        <f ca="1">IFERROR(__xludf.DUMMYFUNCTION("""COMPUTED_VALUE"""),43610)</f>
        <v>43610</v>
      </c>
      <c r="G1697" s="9" t="str">
        <f ca="1">IFERROR(__xludf.DUMMYFUNCTION("""COMPUTED_VALUE"""),"1 USD = 151.4655 PKR")</f>
        <v>1 USD = 151.4655 PKR</v>
      </c>
      <c r="H1697" s="9" t="str">
        <f ca="1">IFERROR(__xludf.DUMMYFUNCTION("""COMPUTED_VALUE"""),"USD PKR rate for 25/05/2019")</f>
        <v>USD PKR rate for 25/05/2019</v>
      </c>
      <c r="I1697" s="9"/>
    </row>
    <row r="1698" spans="1:9" ht="14.25" customHeight="1" x14ac:dyDescent="0.3">
      <c r="A1698" s="6">
        <v>41415</v>
      </c>
      <c r="B1698" s="7">
        <v>98.333600000000004</v>
      </c>
      <c r="C1698" s="8">
        <f t="shared" si="13"/>
        <v>106.98138195826274</v>
      </c>
      <c r="D1698" s="9">
        <f t="shared" si="12"/>
        <v>66.384231835300739</v>
      </c>
      <c r="E1698" s="9"/>
      <c r="F1698" s="9">
        <f ca="1">IFERROR(__xludf.DUMMYFUNCTION("""COMPUTED_VALUE"""),43609)</f>
        <v>43609</v>
      </c>
      <c r="G1698" s="9" t="str">
        <f ca="1">IFERROR(__xludf.DUMMYFUNCTION("""COMPUTED_VALUE"""),"1 USD = 151.9999 PKR")</f>
        <v>1 USD = 151.9999 PKR</v>
      </c>
      <c r="H1698" s="9" t="str">
        <f ca="1">IFERROR(__xludf.DUMMYFUNCTION("""COMPUTED_VALUE"""),"USD PKR rate for 24/05/2019")</f>
        <v>USD PKR rate for 24/05/2019</v>
      </c>
      <c r="I1698" s="9"/>
    </row>
    <row r="1699" spans="1:9" ht="14.25" customHeight="1" x14ac:dyDescent="0.3">
      <c r="A1699" s="6">
        <v>41416</v>
      </c>
      <c r="B1699" s="7">
        <v>98.847600000000014</v>
      </c>
      <c r="C1699" s="8">
        <f t="shared" si="13"/>
        <v>107.0005155536446</v>
      </c>
      <c r="D1699" s="9">
        <f t="shared" si="12"/>
        <v>66.386969668098004</v>
      </c>
      <c r="E1699" s="9"/>
      <c r="F1699" s="9">
        <f ca="1">IFERROR(__xludf.DUMMYFUNCTION("""COMPUTED_VALUE"""),43608)</f>
        <v>43608</v>
      </c>
      <c r="G1699" s="9" t="str">
        <f ca="1">IFERROR(__xludf.DUMMYFUNCTION("""COMPUTED_VALUE"""),"1 USD = 151.9531 PKR")</f>
        <v>1 USD = 151.9531 PKR</v>
      </c>
      <c r="H1699" s="9" t="str">
        <f ca="1">IFERROR(__xludf.DUMMYFUNCTION("""COMPUTED_VALUE"""),"USD PKR rate for 23/05/2019")</f>
        <v>USD PKR rate for 23/05/2019</v>
      </c>
      <c r="I1699" s="9"/>
    </row>
    <row r="1700" spans="1:9" ht="14.25" customHeight="1" x14ac:dyDescent="0.3">
      <c r="A1700" s="6">
        <v>41417</v>
      </c>
      <c r="B1700" s="7">
        <v>98.293999999999997</v>
      </c>
      <c r="C1700" s="8">
        <f t="shared" si="13"/>
        <v>107.01965257106558</v>
      </c>
      <c r="D1700" s="9">
        <f t="shared" si="12"/>
        <v>66.38970750089527</v>
      </c>
      <c r="E1700" s="9"/>
      <c r="F1700" s="9">
        <f ca="1">IFERROR(__xludf.DUMMYFUNCTION("""COMPUTED_VALUE"""),43607)</f>
        <v>43607</v>
      </c>
      <c r="G1700" s="9" t="str">
        <f ca="1">IFERROR(__xludf.DUMMYFUNCTION("""COMPUTED_VALUE"""),"1 USD = 152.2857 PKR")</f>
        <v>1 USD = 152.2857 PKR</v>
      </c>
      <c r="H1700" s="9" t="str">
        <f ca="1">IFERROR(__xludf.DUMMYFUNCTION("""COMPUTED_VALUE"""),"USD PKR rate for 22/05/2019")</f>
        <v>USD PKR rate for 22/05/2019</v>
      </c>
      <c r="I1700" s="9"/>
    </row>
    <row r="1701" spans="1:9" ht="14.25" customHeight="1" x14ac:dyDescent="0.3">
      <c r="A1701" s="6">
        <v>41418</v>
      </c>
      <c r="B1701" s="7">
        <v>98.432000000000002</v>
      </c>
      <c r="C1701" s="8">
        <f t="shared" si="13"/>
        <v>107.0387930111377</v>
      </c>
      <c r="D1701" s="9">
        <f t="shared" si="12"/>
        <v>66.392445333692535</v>
      </c>
      <c r="E1701" s="9"/>
      <c r="F1701" s="9">
        <f ca="1">IFERROR(__xludf.DUMMYFUNCTION("""COMPUTED_VALUE"""),43606)</f>
        <v>43606</v>
      </c>
      <c r="G1701" s="9" t="str">
        <f ca="1">IFERROR(__xludf.DUMMYFUNCTION("""COMPUTED_VALUE"""),"1 USD = 150.834 PKR")</f>
        <v>1 USD = 150.834 PKR</v>
      </c>
      <c r="H1701" s="9" t="str">
        <f ca="1">IFERROR(__xludf.DUMMYFUNCTION("""COMPUTED_VALUE"""),"USD PKR rate for 21/05/2019")</f>
        <v>USD PKR rate for 21/05/2019</v>
      </c>
      <c r="I1701" s="9"/>
    </row>
    <row r="1702" spans="1:9" ht="14.25" customHeight="1" x14ac:dyDescent="0.3">
      <c r="A1702" s="6">
        <v>41419</v>
      </c>
      <c r="B1702" s="7">
        <v>98.354600000000005</v>
      </c>
      <c r="C1702" s="8">
        <f t="shared" si="13"/>
        <v>107.05793687447309</v>
      </c>
      <c r="D1702" s="9">
        <f t="shared" si="12"/>
        <v>66.395183166489801</v>
      </c>
      <c r="E1702" s="9"/>
      <c r="F1702" s="9">
        <f ca="1">IFERROR(__xludf.DUMMYFUNCTION("""COMPUTED_VALUE"""),43605)</f>
        <v>43605</v>
      </c>
      <c r="G1702" s="9" t="str">
        <f ca="1">IFERROR(__xludf.DUMMYFUNCTION("""COMPUTED_VALUE"""),"1 USD = 147.9104 PKR")</f>
        <v>1 USD = 147.9104 PKR</v>
      </c>
      <c r="H1702" s="9" t="str">
        <f ca="1">IFERROR(__xludf.DUMMYFUNCTION("""COMPUTED_VALUE"""),"USD PKR rate for 20/05/2019")</f>
        <v>USD PKR rate for 20/05/2019</v>
      </c>
      <c r="I1702" s="9"/>
    </row>
    <row r="1703" spans="1:9" ht="14.25" customHeight="1" x14ac:dyDescent="0.3">
      <c r="A1703" s="6">
        <v>41420</v>
      </c>
      <c r="B1703" s="7">
        <v>98.412199999999999</v>
      </c>
      <c r="C1703" s="8">
        <f t="shared" si="13"/>
        <v>107.07708416168389</v>
      </c>
      <c r="D1703" s="9">
        <f t="shared" si="12"/>
        <v>66.397920999287066</v>
      </c>
      <c r="E1703" s="9"/>
      <c r="F1703" s="9">
        <f ca="1">IFERROR(__xludf.DUMMYFUNCTION("""COMPUTED_VALUE"""),43604)</f>
        <v>43604</v>
      </c>
      <c r="G1703" s="9" t="str">
        <f ca="1">IFERROR(__xludf.DUMMYFUNCTION("""COMPUTED_VALUE"""),"1 USD = 148.2237 PKR")</f>
        <v>1 USD = 148.2237 PKR</v>
      </c>
      <c r="H1703" s="9" t="str">
        <f ca="1">IFERROR(__xludf.DUMMYFUNCTION("""COMPUTED_VALUE"""),"USD PKR rate for 19/05/2019")</f>
        <v>USD PKR rate for 19/05/2019</v>
      </c>
      <c r="I1703" s="9"/>
    </row>
    <row r="1704" spans="1:9" ht="14.25" customHeight="1" x14ac:dyDescent="0.3">
      <c r="A1704" s="6">
        <v>41421</v>
      </c>
      <c r="B1704" s="7">
        <v>98.530900000000017</v>
      </c>
      <c r="C1704" s="8">
        <f t="shared" si="13"/>
        <v>107.09623487338267</v>
      </c>
      <c r="D1704" s="9">
        <f t="shared" si="12"/>
        <v>66.400658832084332</v>
      </c>
      <c r="E1704" s="9"/>
      <c r="F1704" s="9">
        <f ca="1">IFERROR(__xludf.DUMMYFUNCTION("""COMPUTED_VALUE"""),43603)</f>
        <v>43603</v>
      </c>
      <c r="G1704" s="9" t="str">
        <f ca="1">IFERROR(__xludf.DUMMYFUNCTION("""COMPUTED_VALUE"""),"1 USD = 143.93 PKR")</f>
        <v>1 USD = 143.93 PKR</v>
      </c>
      <c r="H1704" s="9" t="str">
        <f ca="1">IFERROR(__xludf.DUMMYFUNCTION("""COMPUTED_VALUE"""),"USD PKR rate for 18/05/2019")</f>
        <v>USD PKR rate for 18/05/2019</v>
      </c>
      <c r="I1704" s="9"/>
    </row>
    <row r="1705" spans="1:9" ht="14.25" customHeight="1" x14ac:dyDescent="0.3">
      <c r="A1705" s="6">
        <v>41422</v>
      </c>
      <c r="B1705" s="7">
        <v>98.741299999999995</v>
      </c>
      <c r="C1705" s="8">
        <f t="shared" si="13"/>
        <v>107.1153890101818</v>
      </c>
      <c r="D1705" s="9">
        <f t="shared" si="12"/>
        <v>66.403396664881598</v>
      </c>
      <c r="E1705" s="9"/>
      <c r="F1705" s="9">
        <f ca="1">IFERROR(__xludf.DUMMYFUNCTION("""COMPUTED_VALUE"""),43602)</f>
        <v>43602</v>
      </c>
      <c r="G1705" s="9" t="str">
        <f ca="1">IFERROR(__xludf.DUMMYFUNCTION("""COMPUTED_VALUE"""),"1 USD = 143.93 PKR")</f>
        <v>1 USD = 143.93 PKR</v>
      </c>
      <c r="H1705" s="9" t="str">
        <f ca="1">IFERROR(__xludf.DUMMYFUNCTION("""COMPUTED_VALUE"""),"USD PKR rate for 17/05/2019")</f>
        <v>USD PKR rate for 17/05/2019</v>
      </c>
      <c r="I1705" s="9"/>
    </row>
    <row r="1706" spans="1:9" ht="14.25" customHeight="1" x14ac:dyDescent="0.3">
      <c r="A1706" s="6">
        <v>41423</v>
      </c>
      <c r="B1706" s="7">
        <v>98.368499999999997</v>
      </c>
      <c r="C1706" s="8">
        <f t="shared" si="13"/>
        <v>107.13454657269388</v>
      </c>
      <c r="D1706" s="9">
        <f t="shared" si="12"/>
        <v>66.406134497678863</v>
      </c>
      <c r="E1706" s="9"/>
      <c r="F1706" s="9">
        <f ca="1">IFERROR(__xludf.DUMMYFUNCTION("""COMPUTED_VALUE"""),43601)</f>
        <v>43601</v>
      </c>
      <c r="G1706" s="9" t="str">
        <f ca="1">IFERROR(__xludf.DUMMYFUNCTION("""COMPUTED_VALUE"""),"1 USD = 141.5495 PKR")</f>
        <v>1 USD = 141.5495 PKR</v>
      </c>
      <c r="H1706" s="9" t="str">
        <f ca="1">IFERROR(__xludf.DUMMYFUNCTION("""COMPUTED_VALUE"""),"USD PKR rate for 16/05/2019")</f>
        <v>USD PKR rate for 16/05/2019</v>
      </c>
      <c r="I1706" s="9"/>
    </row>
    <row r="1707" spans="1:9" ht="14.25" customHeight="1" x14ac:dyDescent="0.3">
      <c r="A1707" s="6">
        <v>41424</v>
      </c>
      <c r="B1707" s="7">
        <v>98.435500000000005</v>
      </c>
      <c r="C1707" s="8">
        <f t="shared" si="13"/>
        <v>107.15370756153156</v>
      </c>
      <c r="D1707" s="9">
        <f t="shared" si="12"/>
        <v>66.408872330476129</v>
      </c>
      <c r="E1707" s="9"/>
      <c r="F1707" s="9">
        <f ca="1">IFERROR(__xludf.DUMMYFUNCTION("""COMPUTED_VALUE"""),43600)</f>
        <v>43600</v>
      </c>
      <c r="G1707" s="9" t="str">
        <f ca="1">IFERROR(__xludf.DUMMYFUNCTION("""COMPUTED_VALUE"""),"1 USD = 141.8332 PKR")</f>
        <v>1 USD = 141.8332 PKR</v>
      </c>
      <c r="H1707" s="9" t="str">
        <f ca="1">IFERROR(__xludf.DUMMYFUNCTION("""COMPUTED_VALUE"""),"USD PKR rate for 15/05/2019")</f>
        <v>USD PKR rate for 15/05/2019</v>
      </c>
      <c r="I1707" s="9"/>
    </row>
    <row r="1708" spans="1:9" ht="14.25" customHeight="1" x14ac:dyDescent="0.3">
      <c r="A1708" s="6">
        <v>41425</v>
      </c>
      <c r="B1708" s="7">
        <v>98.525300000000001</v>
      </c>
      <c r="C1708" s="8">
        <f t="shared" si="13"/>
        <v>107.17287197730765</v>
      </c>
      <c r="D1708" s="9">
        <f t="shared" si="12"/>
        <v>66.411610163273394</v>
      </c>
      <c r="E1708" s="9"/>
      <c r="F1708" s="9">
        <f ca="1">IFERROR(__xludf.DUMMYFUNCTION("""COMPUTED_VALUE"""),43599)</f>
        <v>43599</v>
      </c>
      <c r="G1708" s="9" t="str">
        <f ca="1">IFERROR(__xludf.DUMMYFUNCTION("""COMPUTED_VALUE"""),"1 USD = 141.6632 PKR")</f>
        <v>1 USD = 141.6632 PKR</v>
      </c>
      <c r="H1708" s="9" t="str">
        <f ca="1">IFERROR(__xludf.DUMMYFUNCTION("""COMPUTED_VALUE"""),"USD PKR rate for 14/05/2019")</f>
        <v>USD PKR rate for 14/05/2019</v>
      </c>
      <c r="I1708" s="9"/>
    </row>
    <row r="1709" spans="1:9" ht="14.25" customHeight="1" x14ac:dyDescent="0.3">
      <c r="A1709" s="6">
        <v>41426</v>
      </c>
      <c r="B1709" s="7">
        <v>98.473699999999994</v>
      </c>
      <c r="C1709" s="8">
        <f t="shared" si="13"/>
        <v>107.19203982063507</v>
      </c>
      <c r="D1709" s="9">
        <f t="shared" si="12"/>
        <v>66.41434799607066</v>
      </c>
      <c r="E1709" s="9"/>
      <c r="F1709" s="9">
        <f ca="1">IFERROR(__xludf.DUMMYFUNCTION("""COMPUTED_VALUE"""),43598)</f>
        <v>43598</v>
      </c>
      <c r="G1709" s="9" t="str">
        <f ca="1">IFERROR(__xludf.DUMMYFUNCTION("""COMPUTED_VALUE"""),"1 USD = 141.591 PKR")</f>
        <v>1 USD = 141.591 PKR</v>
      </c>
      <c r="H1709" s="9" t="str">
        <f ca="1">IFERROR(__xludf.DUMMYFUNCTION("""COMPUTED_VALUE"""),"USD PKR rate for 13/05/2019")</f>
        <v>USD PKR rate for 13/05/2019</v>
      </c>
      <c r="I1709" s="9"/>
    </row>
    <row r="1710" spans="1:9" ht="14.25" customHeight="1" x14ac:dyDescent="0.3">
      <c r="A1710" s="6">
        <v>41427</v>
      </c>
      <c r="B1710" s="7">
        <v>98.472099999999998</v>
      </c>
      <c r="C1710" s="8">
        <f t="shared" si="13"/>
        <v>107.21121109212685</v>
      </c>
      <c r="D1710" s="9">
        <f t="shared" si="12"/>
        <v>66.417085828867926</v>
      </c>
      <c r="E1710" s="9"/>
      <c r="F1710" s="9">
        <f ca="1">IFERROR(__xludf.DUMMYFUNCTION("""COMPUTED_VALUE"""),43597)</f>
        <v>43597</v>
      </c>
      <c r="G1710" s="9" t="str">
        <f ca="1">IFERROR(__xludf.DUMMYFUNCTION("""COMPUTED_VALUE"""),"1 USD = 141.5848 PKR")</f>
        <v>1 USD = 141.5848 PKR</v>
      </c>
      <c r="H1710" s="9" t="str">
        <f ca="1">IFERROR(__xludf.DUMMYFUNCTION("""COMPUTED_VALUE"""),"USD PKR rate for 12/05/2019")</f>
        <v>USD PKR rate for 12/05/2019</v>
      </c>
      <c r="I1710" s="9"/>
    </row>
    <row r="1711" spans="1:9" ht="14.25" customHeight="1" x14ac:dyDescent="0.3">
      <c r="A1711" s="6">
        <v>41428</v>
      </c>
      <c r="B1711" s="7">
        <v>97.906899999999993</v>
      </c>
      <c r="C1711" s="8">
        <f t="shared" si="13"/>
        <v>107.23038579239608</v>
      </c>
      <c r="D1711" s="9">
        <f t="shared" si="12"/>
        <v>66.419823661665191</v>
      </c>
      <c r="E1711" s="9"/>
      <c r="F1711" s="9">
        <f ca="1">IFERROR(__xludf.DUMMYFUNCTION("""COMPUTED_VALUE"""),43596)</f>
        <v>43596</v>
      </c>
      <c r="G1711" s="9" t="str">
        <f ca="1">IFERROR(__xludf.DUMMYFUNCTION("""COMPUTED_VALUE"""),"1 USD = 141.6231 PKR")</f>
        <v>1 USD = 141.6231 PKR</v>
      </c>
      <c r="H1711" s="9" t="str">
        <f ca="1">IFERROR(__xludf.DUMMYFUNCTION("""COMPUTED_VALUE"""),"USD PKR rate for 11/05/2019")</f>
        <v>USD PKR rate for 11/05/2019</v>
      </c>
      <c r="I1711" s="9"/>
    </row>
    <row r="1712" spans="1:9" ht="14.25" customHeight="1" x14ac:dyDescent="0.3">
      <c r="A1712" s="6">
        <v>41429</v>
      </c>
      <c r="B1712" s="7">
        <v>97.694800000000001</v>
      </c>
      <c r="C1712" s="8">
        <f t="shared" si="13"/>
        <v>107.2495639220559</v>
      </c>
      <c r="D1712" s="9">
        <f t="shared" si="12"/>
        <v>66.422561494462457</v>
      </c>
      <c r="E1712" s="9"/>
      <c r="F1712" s="9">
        <f ca="1">IFERROR(__xludf.DUMMYFUNCTION("""COMPUTED_VALUE"""),43595)</f>
        <v>43595</v>
      </c>
      <c r="G1712" s="9" t="str">
        <f ca="1">IFERROR(__xludf.DUMMYFUNCTION("""COMPUTED_VALUE"""),"1 USD = 141.6231 PKR")</f>
        <v>1 USD = 141.6231 PKR</v>
      </c>
      <c r="H1712" s="9" t="str">
        <f ca="1">IFERROR(__xludf.DUMMYFUNCTION("""COMPUTED_VALUE"""),"USD PKR rate for 10/05/2019")</f>
        <v>USD PKR rate for 10/05/2019</v>
      </c>
      <c r="I1712" s="9"/>
    </row>
    <row r="1713" spans="1:9" ht="14.25" customHeight="1" x14ac:dyDescent="0.3">
      <c r="A1713" s="6">
        <v>41430</v>
      </c>
      <c r="B1713" s="7">
        <v>98.242000000000004</v>
      </c>
      <c r="C1713" s="8">
        <f t="shared" si="13"/>
        <v>107.26874548171989</v>
      </c>
      <c r="D1713" s="9">
        <f t="shared" si="12"/>
        <v>66.425299327259722</v>
      </c>
      <c r="E1713" s="9"/>
      <c r="F1713" s="9">
        <f ca="1">IFERROR(__xludf.DUMMYFUNCTION("""COMPUTED_VALUE"""),43594)</f>
        <v>43594</v>
      </c>
      <c r="G1713" s="9" t="str">
        <f ca="1">IFERROR(__xludf.DUMMYFUNCTION("""COMPUTED_VALUE"""),"1 USD = 141.5266 PKR")</f>
        <v>1 USD = 141.5266 PKR</v>
      </c>
      <c r="H1713" s="9" t="str">
        <f ca="1">IFERROR(__xludf.DUMMYFUNCTION("""COMPUTED_VALUE"""),"USD PKR rate for 09/05/2019")</f>
        <v>USD PKR rate for 09/05/2019</v>
      </c>
      <c r="I1713" s="9"/>
    </row>
    <row r="1714" spans="1:9" ht="14.25" customHeight="1" x14ac:dyDescent="0.3">
      <c r="A1714" s="6">
        <v>41431</v>
      </c>
      <c r="B1714" s="7">
        <v>98.053200000000004</v>
      </c>
      <c r="C1714" s="8">
        <f t="shared" si="13"/>
        <v>107.28793047200135</v>
      </c>
      <c r="D1714" s="9">
        <f t="shared" si="12"/>
        <v>66.428037160056988</v>
      </c>
      <c r="E1714" s="9"/>
      <c r="F1714" s="9">
        <f ca="1">IFERROR(__xludf.DUMMYFUNCTION("""COMPUTED_VALUE"""),43593)</f>
        <v>43593</v>
      </c>
      <c r="G1714" s="9" t="str">
        <f ca="1">IFERROR(__xludf.DUMMYFUNCTION("""COMPUTED_VALUE"""),"1 USD = 141.5815 PKR")</f>
        <v>1 USD = 141.5815 PKR</v>
      </c>
      <c r="H1714" s="9" t="str">
        <f ca="1">IFERROR(__xludf.DUMMYFUNCTION("""COMPUTED_VALUE"""),"USD PKR rate for 08/05/2019")</f>
        <v>USD PKR rate for 08/05/2019</v>
      </c>
      <c r="I1714" s="9"/>
    </row>
    <row r="1715" spans="1:9" ht="14.25" customHeight="1" x14ac:dyDescent="0.3">
      <c r="A1715" s="6">
        <v>41432</v>
      </c>
      <c r="B1715" s="7">
        <v>98.498400000000004</v>
      </c>
      <c r="C1715" s="8">
        <f t="shared" si="13"/>
        <v>107.3071188935139</v>
      </c>
      <c r="D1715" s="9">
        <f t="shared" si="12"/>
        <v>66.430774992854253</v>
      </c>
      <c r="E1715" s="9"/>
      <c r="F1715" s="9">
        <f ca="1">IFERROR(__xludf.DUMMYFUNCTION("""COMPUTED_VALUE"""),43592)</f>
        <v>43592</v>
      </c>
      <c r="G1715" s="9" t="str">
        <f ca="1">IFERROR(__xludf.DUMMYFUNCTION("""COMPUTED_VALUE"""),"1 USD = 141.4461 PKR")</f>
        <v>1 USD = 141.4461 PKR</v>
      </c>
      <c r="H1715" s="9" t="str">
        <f ca="1">IFERROR(__xludf.DUMMYFUNCTION("""COMPUTED_VALUE"""),"USD PKR rate for 07/05/2019")</f>
        <v>USD PKR rate for 07/05/2019</v>
      </c>
      <c r="I1715" s="9"/>
    </row>
    <row r="1716" spans="1:9" ht="14.25" customHeight="1" x14ac:dyDescent="0.3">
      <c r="A1716" s="6">
        <v>41433</v>
      </c>
      <c r="B1716" s="7">
        <v>98.3352</v>
      </c>
      <c r="C1716" s="8">
        <f t="shared" si="13"/>
        <v>107.3263107468712</v>
      </c>
      <c r="D1716" s="9">
        <f t="shared" si="12"/>
        <v>66.433512825651519</v>
      </c>
      <c r="E1716" s="9"/>
      <c r="F1716" s="9">
        <f ca="1">IFERROR(__xludf.DUMMYFUNCTION("""COMPUTED_VALUE"""),43591)</f>
        <v>43591</v>
      </c>
      <c r="G1716" s="9" t="str">
        <f ca="1">IFERROR(__xludf.DUMMYFUNCTION("""COMPUTED_VALUE"""),"1 USD = 141.5203 PKR")</f>
        <v>1 USD = 141.5203 PKR</v>
      </c>
      <c r="H1716" s="9" t="str">
        <f ca="1">IFERROR(__xludf.DUMMYFUNCTION("""COMPUTED_VALUE"""),"USD PKR rate for 06/05/2019")</f>
        <v>USD PKR rate for 06/05/2019</v>
      </c>
      <c r="I1716" s="9"/>
    </row>
    <row r="1717" spans="1:9" ht="14.25" customHeight="1" x14ac:dyDescent="0.3">
      <c r="A1717" s="6">
        <v>41434</v>
      </c>
      <c r="B1717" s="7">
        <v>98.725200000000001</v>
      </c>
      <c r="C1717" s="8">
        <f t="shared" si="13"/>
        <v>107.34550603268701</v>
      </c>
      <c r="D1717" s="9">
        <f t="shared" si="12"/>
        <v>66.436250658448785</v>
      </c>
      <c r="E1717" s="9"/>
      <c r="F1717" s="9">
        <f ca="1">IFERROR(__xludf.DUMMYFUNCTION("""COMPUTED_VALUE"""),43590)</f>
        <v>43590</v>
      </c>
      <c r="G1717" s="9" t="str">
        <f ca="1">IFERROR(__xludf.DUMMYFUNCTION("""COMPUTED_VALUE"""),"1 USD = 141.5075 PKR")</f>
        <v>1 USD = 141.5075 PKR</v>
      </c>
      <c r="H1717" s="9" t="str">
        <f ca="1">IFERROR(__xludf.DUMMYFUNCTION("""COMPUTED_VALUE"""),"USD PKR rate for 05/05/2019")</f>
        <v>USD PKR rate for 05/05/2019</v>
      </c>
      <c r="I1717" s="9"/>
    </row>
    <row r="1718" spans="1:9" ht="14.25" customHeight="1" x14ac:dyDescent="0.3">
      <c r="A1718" s="6">
        <v>41435</v>
      </c>
      <c r="B1718" s="7">
        <v>98.524799999999999</v>
      </c>
      <c r="C1718" s="8">
        <f t="shared" si="13"/>
        <v>107.36470475157525</v>
      </c>
      <c r="D1718" s="9">
        <f t="shared" si="12"/>
        <v>66.43898849124605</v>
      </c>
      <c r="E1718" s="9"/>
      <c r="F1718" s="9">
        <f ca="1">IFERROR(__xludf.DUMMYFUNCTION("""COMPUTED_VALUE"""),43589)</f>
        <v>43589</v>
      </c>
      <c r="G1718" s="9" t="str">
        <f ca="1">IFERROR(__xludf.DUMMYFUNCTION("""COMPUTED_VALUE"""),"1 USD = 141.4499 PKR")</f>
        <v>1 USD = 141.4499 PKR</v>
      </c>
      <c r="H1718" s="9" t="str">
        <f ca="1">IFERROR(__xludf.DUMMYFUNCTION("""COMPUTED_VALUE"""),"USD PKR rate for 04/05/2019")</f>
        <v>USD PKR rate for 04/05/2019</v>
      </c>
      <c r="I1718" s="9"/>
    </row>
    <row r="1719" spans="1:9" ht="14.25" customHeight="1" x14ac:dyDescent="0.3">
      <c r="A1719" s="6">
        <v>41436</v>
      </c>
      <c r="B1719" s="7">
        <v>98.370400000000018</v>
      </c>
      <c r="C1719" s="8">
        <f t="shared" si="13"/>
        <v>107.38390690414991</v>
      </c>
      <c r="D1719" s="9">
        <f t="shared" si="12"/>
        <v>66.441726324043316</v>
      </c>
      <c r="E1719" s="9"/>
      <c r="F1719" s="9">
        <f ca="1">IFERROR(__xludf.DUMMYFUNCTION("""COMPUTED_VALUE"""),43588)</f>
        <v>43588</v>
      </c>
      <c r="G1719" s="9" t="str">
        <f ca="1">IFERROR(__xludf.DUMMYFUNCTION("""COMPUTED_VALUE"""),"1 USD = 141.4499 PKR")</f>
        <v>1 USD = 141.4499 PKR</v>
      </c>
      <c r="H1719" s="9" t="str">
        <f ca="1">IFERROR(__xludf.DUMMYFUNCTION("""COMPUTED_VALUE"""),"USD PKR rate for 03/05/2019")</f>
        <v>USD PKR rate for 03/05/2019</v>
      </c>
      <c r="I1719" s="9"/>
    </row>
    <row r="1720" spans="1:9" ht="14.25" customHeight="1" x14ac:dyDescent="0.3">
      <c r="A1720" s="6">
        <v>41437</v>
      </c>
      <c r="B1720" s="7">
        <v>98.402199999999993</v>
      </c>
      <c r="C1720" s="8">
        <f t="shared" si="13"/>
        <v>107.40311249102511</v>
      </c>
      <c r="D1720" s="9">
        <f t="shared" si="12"/>
        <v>66.444464156840581</v>
      </c>
      <c r="E1720" s="9"/>
      <c r="F1720" s="9">
        <f ca="1">IFERROR(__xludf.DUMMYFUNCTION("""COMPUTED_VALUE"""),43587)</f>
        <v>43587</v>
      </c>
      <c r="G1720" s="9" t="str">
        <f ca="1">IFERROR(__xludf.DUMMYFUNCTION("""COMPUTED_VALUE"""),"1 USD = 141.4702 PKR")</f>
        <v>1 USD = 141.4702 PKR</v>
      </c>
      <c r="H1720" s="9" t="str">
        <f ca="1">IFERROR(__xludf.DUMMYFUNCTION("""COMPUTED_VALUE"""),"USD PKR rate for 02/05/2019")</f>
        <v>USD PKR rate for 02/05/2019</v>
      </c>
      <c r="I1720" s="9"/>
    </row>
    <row r="1721" spans="1:9" ht="14.25" customHeight="1" x14ac:dyDescent="0.3">
      <c r="A1721" s="6">
        <v>41438</v>
      </c>
      <c r="B1721" s="7">
        <v>98.289900000000017</v>
      </c>
      <c r="C1721" s="8">
        <f t="shared" si="13"/>
        <v>107.42232151281499</v>
      </c>
      <c r="D1721" s="9">
        <f t="shared" si="12"/>
        <v>66.447201989637847</v>
      </c>
      <c r="E1721" s="9"/>
      <c r="F1721" s="9">
        <f ca="1">IFERROR(__xludf.DUMMYFUNCTION("""COMPUTED_VALUE"""),43586)</f>
        <v>43586</v>
      </c>
      <c r="G1721" s="9" t="str">
        <f ca="1">IFERROR(__xludf.DUMMYFUNCTION("""COMPUTED_VALUE"""),"1 USD = 141.6146 PKR")</f>
        <v>1 USD = 141.6146 PKR</v>
      </c>
      <c r="H1721" s="9" t="str">
        <f ca="1">IFERROR(__xludf.DUMMYFUNCTION("""COMPUTED_VALUE"""),"USD PKR rate for 01/05/2019")</f>
        <v>USD PKR rate for 01/05/2019</v>
      </c>
      <c r="I1721" s="9"/>
    </row>
    <row r="1722" spans="1:9" ht="14.25" customHeight="1" x14ac:dyDescent="0.3">
      <c r="A1722" s="6">
        <v>41439</v>
      </c>
      <c r="B1722" s="7">
        <v>98.333100000000002</v>
      </c>
      <c r="C1722" s="8">
        <f t="shared" si="13"/>
        <v>107.44153397013405</v>
      </c>
      <c r="D1722" s="9">
        <f t="shared" si="12"/>
        <v>66.449939822435113</v>
      </c>
      <c r="E1722" s="9"/>
      <c r="F1722" s="9">
        <f ca="1">IFERROR(__xludf.DUMMYFUNCTION("""COMPUTED_VALUE"""),43585)</f>
        <v>43585</v>
      </c>
      <c r="G1722" s="9" t="str">
        <f ca="1">IFERROR(__xludf.DUMMYFUNCTION("""COMPUTED_VALUE"""),"1 USD = 141.6213 PKR")</f>
        <v>1 USD = 141.6213 PKR</v>
      </c>
      <c r="H1722" s="9" t="str">
        <f ca="1">IFERROR(__xludf.DUMMYFUNCTION("""COMPUTED_VALUE"""),"USD PKR rate for 30/04/2019")</f>
        <v>USD PKR rate for 30/04/2019</v>
      </c>
      <c r="I1722" s="9"/>
    </row>
    <row r="1723" spans="1:9" ht="14.25" customHeight="1" x14ac:dyDescent="0.3">
      <c r="A1723" s="6">
        <v>41440</v>
      </c>
      <c r="B1723" s="7">
        <v>98.479500000000002</v>
      </c>
      <c r="C1723" s="8">
        <f t="shared" si="13"/>
        <v>107.46074986359666</v>
      </c>
      <c r="D1723" s="9">
        <f t="shared" si="12"/>
        <v>66.452677655232378</v>
      </c>
      <c r="E1723" s="9"/>
      <c r="F1723" s="9">
        <f ca="1">IFERROR(__xludf.DUMMYFUNCTION("""COMPUTED_VALUE"""),43584)</f>
        <v>43584</v>
      </c>
      <c r="G1723" s="9" t="str">
        <f ca="1">IFERROR(__xludf.DUMMYFUNCTION("""COMPUTED_VALUE"""),"1 USD = 141.5389 PKR")</f>
        <v>1 USD = 141.5389 PKR</v>
      </c>
      <c r="H1723" s="9" t="str">
        <f ca="1">IFERROR(__xludf.DUMMYFUNCTION("""COMPUTED_VALUE"""),"USD PKR rate for 29/04/2019")</f>
        <v>USD PKR rate for 29/04/2019</v>
      </c>
      <c r="I1723" s="9"/>
    </row>
    <row r="1724" spans="1:9" ht="14.25" customHeight="1" x14ac:dyDescent="0.3">
      <c r="A1724" s="6">
        <v>41441</v>
      </c>
      <c r="B1724" s="7">
        <v>98.378699999999995</v>
      </c>
      <c r="C1724" s="8">
        <f t="shared" si="13"/>
        <v>107.47996919381737</v>
      </c>
      <c r="D1724" s="9">
        <f t="shared" si="12"/>
        <v>66.455415488029644</v>
      </c>
      <c r="E1724" s="9"/>
      <c r="F1724" s="9">
        <f ca="1">IFERROR(__xludf.DUMMYFUNCTION("""COMPUTED_VALUE"""),43583)</f>
        <v>43583</v>
      </c>
      <c r="G1724" s="9" t="str">
        <f ca="1">IFERROR(__xludf.DUMMYFUNCTION("""COMPUTED_VALUE"""),"1 USD = 141.3375 PKR")</f>
        <v>1 USD = 141.3375 PKR</v>
      </c>
      <c r="H1724" s="9" t="str">
        <f ca="1">IFERROR(__xludf.DUMMYFUNCTION("""COMPUTED_VALUE"""),"USD PKR rate for 28/04/2019")</f>
        <v>USD PKR rate for 28/04/2019</v>
      </c>
      <c r="I1724" s="9"/>
    </row>
    <row r="1725" spans="1:9" ht="14.25" customHeight="1" x14ac:dyDescent="0.3">
      <c r="A1725" s="6">
        <v>41442</v>
      </c>
      <c r="B1725" s="7">
        <v>98.480099999999993</v>
      </c>
      <c r="C1725" s="8">
        <f t="shared" si="13"/>
        <v>107.4991919614108</v>
      </c>
      <c r="D1725" s="9">
        <f t="shared" si="12"/>
        <v>66.458153320826909</v>
      </c>
      <c r="E1725" s="9"/>
      <c r="F1725" s="9">
        <f ca="1">IFERROR(__xludf.DUMMYFUNCTION("""COMPUTED_VALUE"""),43582)</f>
        <v>43582</v>
      </c>
      <c r="G1725" s="9" t="str">
        <f ca="1">IFERROR(__xludf.DUMMYFUNCTION("""COMPUTED_VALUE"""),"1 USD = 141.5257 PKR")</f>
        <v>1 USD = 141.5257 PKR</v>
      </c>
      <c r="H1725" s="9" t="str">
        <f ca="1">IFERROR(__xludf.DUMMYFUNCTION("""COMPUTED_VALUE"""),"USD PKR rate for 27/04/2019")</f>
        <v>USD PKR rate for 27/04/2019</v>
      </c>
      <c r="I1725" s="9"/>
    </row>
    <row r="1726" spans="1:9" ht="14.25" customHeight="1" x14ac:dyDescent="0.3">
      <c r="A1726" s="6">
        <v>41443</v>
      </c>
      <c r="B1726" s="7">
        <v>98.633399999999995</v>
      </c>
      <c r="C1726" s="8">
        <f t="shared" si="13"/>
        <v>107.51841816699181</v>
      </c>
      <c r="D1726" s="9">
        <f t="shared" si="12"/>
        <v>66.460891153624175</v>
      </c>
      <c r="E1726" s="9"/>
      <c r="F1726" s="9">
        <f ca="1">IFERROR(__xludf.DUMMYFUNCTION("""COMPUTED_VALUE"""),43581)</f>
        <v>43581</v>
      </c>
      <c r="G1726" s="9" t="str">
        <f ca="1">IFERROR(__xludf.DUMMYFUNCTION("""COMPUTED_VALUE"""),"1 USD = 141.5284 PKR")</f>
        <v>1 USD = 141.5284 PKR</v>
      </c>
      <c r="H1726" s="9" t="str">
        <f ca="1">IFERROR(__xludf.DUMMYFUNCTION("""COMPUTED_VALUE"""),"USD PKR rate for 26/04/2019")</f>
        <v>USD PKR rate for 26/04/2019</v>
      </c>
      <c r="I1726" s="9"/>
    </row>
    <row r="1727" spans="1:9" ht="14.25" customHeight="1" x14ac:dyDescent="0.3">
      <c r="A1727" s="6">
        <v>41444</v>
      </c>
      <c r="B1727" s="7">
        <v>98.819599999999994</v>
      </c>
      <c r="C1727" s="8">
        <f t="shared" si="13"/>
        <v>107.53764781117522</v>
      </c>
      <c r="D1727" s="9">
        <f t="shared" si="12"/>
        <v>66.46362898642144</v>
      </c>
      <c r="E1727" s="9"/>
      <c r="F1727" s="9">
        <f ca="1">IFERROR(__xludf.DUMMYFUNCTION("""COMPUTED_VALUE"""),43580)</f>
        <v>43580</v>
      </c>
      <c r="G1727" s="9" t="str">
        <f ca="1">IFERROR(__xludf.DUMMYFUNCTION("""COMPUTED_VALUE"""),"1 USD = 141.6136 PKR")</f>
        <v>1 USD = 141.6136 PKR</v>
      </c>
      <c r="H1727" s="9" t="str">
        <f ca="1">IFERROR(__xludf.DUMMYFUNCTION("""COMPUTED_VALUE"""),"USD PKR rate for 25/04/2019")</f>
        <v>USD PKR rate for 25/04/2019</v>
      </c>
      <c r="I1727" s="9"/>
    </row>
    <row r="1728" spans="1:9" ht="14.25" customHeight="1" x14ac:dyDescent="0.3">
      <c r="A1728" s="6">
        <v>41445</v>
      </c>
      <c r="B1728" s="7">
        <v>98.63730000000001</v>
      </c>
      <c r="C1728" s="8">
        <f t="shared" si="13"/>
        <v>107.55688089457601</v>
      </c>
      <c r="D1728" s="9">
        <f t="shared" si="12"/>
        <v>66.466366819218706</v>
      </c>
      <c r="E1728" s="9"/>
      <c r="F1728" s="9">
        <f ca="1">IFERROR(__xludf.DUMMYFUNCTION("""COMPUTED_VALUE"""),43579)</f>
        <v>43579</v>
      </c>
      <c r="G1728" s="9" t="str">
        <f ca="1">IFERROR(__xludf.DUMMYFUNCTION("""COMPUTED_VALUE"""),"1 USD = 141.5958 PKR")</f>
        <v>1 USD = 141.5958 PKR</v>
      </c>
      <c r="H1728" s="9" t="str">
        <f ca="1">IFERROR(__xludf.DUMMYFUNCTION("""COMPUTED_VALUE"""),"USD PKR rate for 24/04/2019")</f>
        <v>USD PKR rate for 24/04/2019</v>
      </c>
      <c r="I1728" s="9"/>
    </row>
    <row r="1729" spans="1:9" ht="14.25" customHeight="1" x14ac:dyDescent="0.3">
      <c r="A1729" s="6">
        <v>41446</v>
      </c>
      <c r="B1729" s="7">
        <v>99.057299999999998</v>
      </c>
      <c r="C1729" s="8">
        <f t="shared" si="13"/>
        <v>107.57611741780934</v>
      </c>
      <c r="D1729" s="9">
        <f t="shared" si="12"/>
        <v>66.469104652015972</v>
      </c>
      <c r="E1729" s="9"/>
      <c r="F1729" s="9">
        <f ca="1">IFERROR(__xludf.DUMMYFUNCTION("""COMPUTED_VALUE"""),43578)</f>
        <v>43578</v>
      </c>
      <c r="G1729" s="9" t="str">
        <f ca="1">IFERROR(__xludf.DUMMYFUNCTION("""COMPUTED_VALUE"""),"1 USD = 141.614 PKR")</f>
        <v>1 USD = 141.614 PKR</v>
      </c>
      <c r="H1729" s="9" t="str">
        <f ca="1">IFERROR(__xludf.DUMMYFUNCTION("""COMPUTED_VALUE"""),"USD PKR rate for 23/04/2019")</f>
        <v>USD PKR rate for 23/04/2019</v>
      </c>
      <c r="I1729" s="9"/>
    </row>
    <row r="1730" spans="1:9" ht="14.25" customHeight="1" x14ac:dyDescent="0.3">
      <c r="A1730" s="6">
        <v>41447</v>
      </c>
      <c r="B1730" s="7">
        <v>98.952299999999994</v>
      </c>
      <c r="C1730" s="8">
        <f t="shared" si="13"/>
        <v>107.59535738149029</v>
      </c>
      <c r="D1730" s="9">
        <f t="shared" si="12"/>
        <v>66.471842484813237</v>
      </c>
      <c r="E1730" s="9"/>
      <c r="F1730" s="9">
        <f ca="1">IFERROR(__xludf.DUMMYFUNCTION("""COMPUTED_VALUE"""),43577)</f>
        <v>43577</v>
      </c>
      <c r="G1730" s="9" t="str">
        <f ca="1">IFERROR(__xludf.DUMMYFUNCTION("""COMPUTED_VALUE"""),"1 USD = 141.7348 PKR")</f>
        <v>1 USD = 141.7348 PKR</v>
      </c>
      <c r="H1730" s="9" t="str">
        <f ca="1">IFERROR(__xludf.DUMMYFUNCTION("""COMPUTED_VALUE"""),"USD PKR rate for 22/04/2019")</f>
        <v>USD PKR rate for 22/04/2019</v>
      </c>
      <c r="I1730" s="9"/>
    </row>
    <row r="1731" spans="1:9" ht="14.25" customHeight="1" x14ac:dyDescent="0.3">
      <c r="A1731" s="6">
        <v>41448</v>
      </c>
      <c r="B1731" s="7">
        <v>99.267899999999997</v>
      </c>
      <c r="C1731" s="8">
        <f t="shared" si="13"/>
        <v>107.61460078623438</v>
      </c>
      <c r="D1731" s="9">
        <f t="shared" si="12"/>
        <v>66.474580317610503</v>
      </c>
      <c r="E1731" s="9"/>
      <c r="F1731" s="9">
        <f ca="1">IFERROR(__xludf.DUMMYFUNCTION("""COMPUTED_VALUE"""),43576)</f>
        <v>43576</v>
      </c>
      <c r="G1731" s="9" t="str">
        <f ca="1">IFERROR(__xludf.DUMMYFUNCTION("""COMPUTED_VALUE"""),"1 USD = 141.7669 PKR")</f>
        <v>1 USD = 141.7669 PKR</v>
      </c>
      <c r="H1731" s="9" t="str">
        <f ca="1">IFERROR(__xludf.DUMMYFUNCTION("""COMPUTED_VALUE"""),"USD PKR rate for 21/04/2019")</f>
        <v>USD PKR rate for 21/04/2019</v>
      </c>
      <c r="I1731" s="9"/>
    </row>
    <row r="1732" spans="1:9" ht="14.25" customHeight="1" x14ac:dyDescent="0.3">
      <c r="A1732" s="6">
        <v>41449</v>
      </c>
      <c r="B1732" s="7">
        <v>98.938400000000001</v>
      </c>
      <c r="C1732" s="8">
        <f t="shared" si="13"/>
        <v>107.63384763265695</v>
      </c>
      <c r="D1732" s="9">
        <f t="shared" si="12"/>
        <v>66.477318150407768</v>
      </c>
      <c r="E1732" s="9"/>
      <c r="F1732" s="9">
        <f ca="1">IFERROR(__xludf.DUMMYFUNCTION("""COMPUTED_VALUE"""),43575)</f>
        <v>43575</v>
      </c>
      <c r="G1732" s="9" t="str">
        <f ca="1">IFERROR(__xludf.DUMMYFUNCTION("""COMPUTED_VALUE"""),"1 USD = 141.5996 PKR")</f>
        <v>1 USD = 141.5996 PKR</v>
      </c>
      <c r="H1732" s="9" t="str">
        <f ca="1">IFERROR(__xludf.DUMMYFUNCTION("""COMPUTED_VALUE"""),"USD PKR rate for 20/04/2019")</f>
        <v>USD PKR rate for 20/04/2019</v>
      </c>
      <c r="I1732" s="9"/>
    </row>
    <row r="1733" spans="1:9" ht="14.25" customHeight="1" x14ac:dyDescent="0.3">
      <c r="A1733" s="6">
        <v>41450</v>
      </c>
      <c r="B1733" s="7">
        <v>99.169899999999998</v>
      </c>
      <c r="C1733" s="8">
        <f t="shared" si="13"/>
        <v>107.65309792137357</v>
      </c>
      <c r="D1733" s="9">
        <f t="shared" si="12"/>
        <v>66.480055983205034</v>
      </c>
      <c r="E1733" s="9"/>
      <c r="F1733" s="9">
        <f ca="1">IFERROR(__xludf.DUMMYFUNCTION("""COMPUTED_VALUE"""),43574)</f>
        <v>43574</v>
      </c>
      <c r="G1733" s="9" t="str">
        <f ca="1">IFERROR(__xludf.DUMMYFUNCTION("""COMPUTED_VALUE"""),"1 USD = 141.5996 PKR")</f>
        <v>1 USD = 141.5996 PKR</v>
      </c>
      <c r="H1733" s="9" t="str">
        <f ca="1">IFERROR(__xludf.DUMMYFUNCTION("""COMPUTED_VALUE"""),"USD PKR rate for 19/04/2019")</f>
        <v>USD PKR rate for 19/04/2019</v>
      </c>
      <c r="I1733" s="9"/>
    </row>
    <row r="1734" spans="1:9" ht="14.25" customHeight="1" x14ac:dyDescent="0.3">
      <c r="A1734" s="6">
        <v>41451</v>
      </c>
      <c r="B1734" s="7">
        <v>98.951999999999998</v>
      </c>
      <c r="C1734" s="8">
        <f t="shared" si="13"/>
        <v>107.67235165299985</v>
      </c>
      <c r="D1734" s="9">
        <f t="shared" si="12"/>
        <v>66.4827938160023</v>
      </c>
      <c r="E1734" s="9"/>
      <c r="F1734" s="9">
        <f ca="1">IFERROR(__xludf.DUMMYFUNCTION("""COMPUTED_VALUE"""),43573)</f>
        <v>43573</v>
      </c>
      <c r="G1734" s="9" t="str">
        <f ca="1">IFERROR(__xludf.DUMMYFUNCTION("""COMPUTED_VALUE"""),"1 USD = 141.6504 PKR")</f>
        <v>1 USD = 141.6504 PKR</v>
      </c>
      <c r="H1734" s="9" t="str">
        <f ca="1">IFERROR(__xludf.DUMMYFUNCTION("""COMPUTED_VALUE"""),"USD PKR rate for 18/04/2019")</f>
        <v>USD PKR rate for 18/04/2019</v>
      </c>
      <c r="I1734" s="9"/>
    </row>
    <row r="1735" spans="1:9" ht="14.25" customHeight="1" x14ac:dyDescent="0.3">
      <c r="A1735" s="6">
        <v>41452</v>
      </c>
      <c r="B1735" s="7">
        <v>99.000600000000006</v>
      </c>
      <c r="C1735" s="8">
        <f t="shared" si="13"/>
        <v>107.69160882815157</v>
      </c>
      <c r="D1735" s="9">
        <f t="shared" si="12"/>
        <v>66.485531648799565</v>
      </c>
      <c r="E1735" s="9"/>
      <c r="F1735" s="9">
        <f ca="1">IFERROR(__xludf.DUMMYFUNCTION("""COMPUTED_VALUE"""),43572)</f>
        <v>43572</v>
      </c>
      <c r="G1735" s="9" t="str">
        <f ca="1">IFERROR(__xludf.DUMMYFUNCTION("""COMPUTED_VALUE"""),"1 USD = 141.6499 PKR")</f>
        <v>1 USD = 141.6499 PKR</v>
      </c>
      <c r="H1735" s="9" t="str">
        <f ca="1">IFERROR(__xludf.DUMMYFUNCTION("""COMPUTED_VALUE"""),"USD PKR rate for 17/04/2019")</f>
        <v>USD PKR rate for 17/04/2019</v>
      </c>
      <c r="I1735" s="9"/>
    </row>
    <row r="1736" spans="1:9" ht="14.25" customHeight="1" x14ac:dyDescent="0.3">
      <c r="A1736" s="6">
        <v>41453</v>
      </c>
      <c r="B1736" s="7">
        <v>99.379300000000001</v>
      </c>
      <c r="C1736" s="8">
        <f t="shared" si="13"/>
        <v>107.71086944744459</v>
      </c>
      <c r="D1736" s="9">
        <f t="shared" si="12"/>
        <v>66.488269481596831</v>
      </c>
      <c r="E1736" s="9"/>
      <c r="F1736" s="9">
        <f ca="1">IFERROR(__xludf.DUMMYFUNCTION("""COMPUTED_VALUE"""),43571)</f>
        <v>43571</v>
      </c>
      <c r="G1736" s="9" t="str">
        <f ca="1">IFERROR(__xludf.DUMMYFUNCTION("""COMPUTED_VALUE"""),"1 USD = 141.6499 PKR")</f>
        <v>1 USD = 141.6499 PKR</v>
      </c>
      <c r="H1736" s="9" t="str">
        <f ca="1">IFERROR(__xludf.DUMMYFUNCTION("""COMPUTED_VALUE"""),"USD PKR rate for 16/04/2019")</f>
        <v>USD PKR rate for 16/04/2019</v>
      </c>
      <c r="I1736" s="9"/>
    </row>
    <row r="1737" spans="1:9" ht="14.25" customHeight="1" x14ac:dyDescent="0.3">
      <c r="A1737" s="6">
        <v>41454</v>
      </c>
      <c r="B1737" s="7">
        <v>99.428600000000003</v>
      </c>
      <c r="C1737" s="8">
        <f t="shared" si="13"/>
        <v>107.73013351149493</v>
      </c>
      <c r="D1737" s="9">
        <f t="shared" si="12"/>
        <v>66.491007314394096</v>
      </c>
      <c r="E1737" s="9"/>
      <c r="F1737" s="9">
        <f ca="1">IFERROR(__xludf.DUMMYFUNCTION("""COMPUTED_VALUE"""),43570)</f>
        <v>43570</v>
      </c>
      <c r="G1737" s="9" t="str">
        <f ca="1">IFERROR(__xludf.DUMMYFUNCTION("""COMPUTED_VALUE"""),"1 USD = 141.7267 PKR")</f>
        <v>1 USD = 141.7267 PKR</v>
      </c>
      <c r="H1737" s="9" t="str">
        <f ca="1">IFERROR(__xludf.DUMMYFUNCTION("""COMPUTED_VALUE"""),"USD PKR rate for 15/04/2019")</f>
        <v>USD PKR rate for 15/04/2019</v>
      </c>
      <c r="I1737" s="9"/>
    </row>
    <row r="1738" spans="1:9" ht="14.25" customHeight="1" x14ac:dyDescent="0.3">
      <c r="A1738" s="6">
        <v>41455</v>
      </c>
      <c r="B1738" s="7">
        <v>99.610699999999994</v>
      </c>
      <c r="C1738" s="8">
        <f t="shared" si="13"/>
        <v>107.74940102091865</v>
      </c>
      <c r="D1738" s="9">
        <f t="shared" si="12"/>
        <v>66.493745147191362</v>
      </c>
      <c r="E1738" s="9"/>
      <c r="F1738" s="9">
        <f ca="1">IFERROR(__xludf.DUMMYFUNCTION("""COMPUTED_VALUE"""),43569)</f>
        <v>43569</v>
      </c>
      <c r="G1738" s="9" t="str">
        <f ca="1">IFERROR(__xludf.DUMMYFUNCTION("""COMPUTED_VALUE"""),"1 USD = 141.5468 PKR")</f>
        <v>1 USD = 141.5468 PKR</v>
      </c>
      <c r="H1738" s="9" t="str">
        <f ca="1">IFERROR(__xludf.DUMMYFUNCTION("""COMPUTED_VALUE"""),"USD PKR rate for 14/04/2019")</f>
        <v>USD PKR rate for 14/04/2019</v>
      </c>
      <c r="I1738" s="9"/>
    </row>
    <row r="1739" spans="1:9" ht="14.25" customHeight="1" x14ac:dyDescent="0.3">
      <c r="A1739" s="6">
        <v>41456</v>
      </c>
      <c r="B1739" s="7">
        <v>99.628</v>
      </c>
      <c r="C1739" s="8">
        <f t="shared" si="13"/>
        <v>107.76867197633187</v>
      </c>
      <c r="D1739" s="9">
        <f t="shared" si="12"/>
        <v>66.496482979988627</v>
      </c>
      <c r="E1739" s="9"/>
      <c r="F1739" s="9">
        <f ca="1">IFERROR(__xludf.DUMMYFUNCTION("""COMPUTED_VALUE"""),43568)</f>
        <v>43568</v>
      </c>
      <c r="G1739" s="9" t="str">
        <f ca="1">IFERROR(__xludf.DUMMYFUNCTION("""COMPUTED_VALUE"""),"1 USD = 142.1384 PKR")</f>
        <v>1 USD = 142.1384 PKR</v>
      </c>
      <c r="H1739" s="9" t="str">
        <f ca="1">IFERROR(__xludf.DUMMYFUNCTION("""COMPUTED_VALUE"""),"USD PKR rate for 13/04/2019")</f>
        <v>USD PKR rate for 13/04/2019</v>
      </c>
      <c r="I1739" s="9"/>
    </row>
    <row r="1740" spans="1:9" ht="14.25" customHeight="1" x14ac:dyDescent="0.3">
      <c r="A1740" s="6">
        <v>41457</v>
      </c>
      <c r="B1740" s="7">
        <v>99.853200000000001</v>
      </c>
      <c r="C1740" s="8">
        <f t="shared" si="13"/>
        <v>107.78794637835112</v>
      </c>
      <c r="D1740" s="9">
        <f t="shared" si="12"/>
        <v>66.499220812785893</v>
      </c>
      <c r="E1740" s="9"/>
      <c r="F1740" s="9">
        <f ca="1">IFERROR(__xludf.DUMMYFUNCTION("""COMPUTED_VALUE"""),43567)</f>
        <v>43567</v>
      </c>
      <c r="G1740" s="9" t="str">
        <f ca="1">IFERROR(__xludf.DUMMYFUNCTION("""COMPUTED_VALUE"""),"1 USD = 141.3502 PKR")</f>
        <v>1 USD = 141.3502 PKR</v>
      </c>
      <c r="H1740" s="9" t="str">
        <f ca="1">IFERROR(__xludf.DUMMYFUNCTION("""COMPUTED_VALUE"""),"USD PKR rate for 12/04/2019")</f>
        <v>USD PKR rate for 12/04/2019</v>
      </c>
      <c r="I1740" s="9"/>
    </row>
    <row r="1741" spans="1:9" ht="14.25" customHeight="1" x14ac:dyDescent="0.3">
      <c r="A1741" s="6">
        <v>41458</v>
      </c>
      <c r="B1741" s="7">
        <v>99.925399999999996</v>
      </c>
      <c r="C1741" s="8">
        <f t="shared" si="13"/>
        <v>107.8072242275927</v>
      </c>
      <c r="D1741" s="9">
        <f t="shared" si="12"/>
        <v>66.501958645583159</v>
      </c>
      <c r="E1741" s="9"/>
      <c r="F1741" s="9">
        <f ca="1">IFERROR(__xludf.DUMMYFUNCTION("""COMPUTED_VALUE"""),43566)</f>
        <v>43566</v>
      </c>
      <c r="G1741" s="9" t="str">
        <f ca="1">IFERROR(__xludf.DUMMYFUNCTION("""COMPUTED_VALUE"""),"1 USD = 141.9648 PKR")</f>
        <v>1 USD = 141.9648 PKR</v>
      </c>
      <c r="H1741" s="9" t="str">
        <f ca="1">IFERROR(__xludf.DUMMYFUNCTION("""COMPUTED_VALUE"""),"USD PKR rate for 11/04/2019")</f>
        <v>USD PKR rate for 11/04/2019</v>
      </c>
      <c r="I1741" s="9"/>
    </row>
    <row r="1742" spans="1:9" ht="14.25" customHeight="1" x14ac:dyDescent="0.3">
      <c r="A1742" s="6">
        <v>41459</v>
      </c>
      <c r="B1742" s="7">
        <v>100.7978</v>
      </c>
      <c r="C1742" s="8">
        <f t="shared" si="13"/>
        <v>107.82650552467312</v>
      </c>
      <c r="D1742" s="9">
        <f t="shared" si="12"/>
        <v>66.504696478380424</v>
      </c>
      <c r="E1742" s="9"/>
      <c r="F1742" s="9">
        <f ca="1">IFERROR(__xludf.DUMMYFUNCTION("""COMPUTED_VALUE"""),43565)</f>
        <v>43565</v>
      </c>
      <c r="G1742" s="9" t="str">
        <f ca="1">IFERROR(__xludf.DUMMYFUNCTION("""COMPUTED_VALUE"""),"1 USD = 141.628 PKR")</f>
        <v>1 USD = 141.628 PKR</v>
      </c>
      <c r="H1742" s="9" t="str">
        <f ca="1">IFERROR(__xludf.DUMMYFUNCTION("""COMPUTED_VALUE"""),"USD PKR rate for 10/04/2019")</f>
        <v>USD PKR rate for 10/04/2019</v>
      </c>
      <c r="I1742" s="9"/>
    </row>
    <row r="1743" spans="1:9" ht="14.25" customHeight="1" x14ac:dyDescent="0.3">
      <c r="A1743" s="6">
        <v>41460</v>
      </c>
      <c r="B1743" s="7">
        <v>100.1443</v>
      </c>
      <c r="C1743" s="8">
        <f t="shared" si="13"/>
        <v>107.84579027020911</v>
      </c>
      <c r="D1743" s="9">
        <f t="shared" si="12"/>
        <v>66.50743431117769</v>
      </c>
      <c r="E1743" s="9"/>
      <c r="F1743" s="9">
        <f ca="1">IFERROR(__xludf.DUMMYFUNCTION("""COMPUTED_VALUE"""),43564)</f>
        <v>43564</v>
      </c>
      <c r="G1743" s="9" t="str">
        <f ca="1">IFERROR(__xludf.DUMMYFUNCTION("""COMPUTED_VALUE"""),"1 USD = 141.5495 PKR")</f>
        <v>1 USD = 141.5495 PKR</v>
      </c>
      <c r="H1743" s="9" t="str">
        <f ca="1">IFERROR(__xludf.DUMMYFUNCTION("""COMPUTED_VALUE"""),"USD PKR rate for 09/04/2019")</f>
        <v>USD PKR rate for 09/04/2019</v>
      </c>
      <c r="I1743" s="9"/>
    </row>
    <row r="1744" spans="1:9" ht="14.25" customHeight="1" x14ac:dyDescent="0.3">
      <c r="A1744" s="6">
        <v>41461</v>
      </c>
      <c r="B1744" s="7">
        <v>100.07780000000001</v>
      </c>
      <c r="C1744" s="8">
        <f t="shared" si="13"/>
        <v>107.86507846481732</v>
      </c>
      <c r="D1744" s="9">
        <f t="shared" si="12"/>
        <v>66.510172143974955</v>
      </c>
      <c r="E1744" s="9"/>
      <c r="F1744" s="9">
        <f ca="1">IFERROR(__xludf.DUMMYFUNCTION("""COMPUTED_VALUE"""),43563)</f>
        <v>43563</v>
      </c>
      <c r="G1744" s="9" t="str">
        <f ca="1">IFERROR(__xludf.DUMMYFUNCTION("""COMPUTED_VALUE"""),"1 USD = 141.6293 PKR")</f>
        <v>1 USD = 141.6293 PKR</v>
      </c>
      <c r="H1744" s="9" t="str">
        <f ca="1">IFERROR(__xludf.DUMMYFUNCTION("""COMPUTED_VALUE"""),"USD PKR rate for 08/04/2019")</f>
        <v>USD PKR rate for 08/04/2019</v>
      </c>
      <c r="I1744" s="9"/>
    </row>
    <row r="1745" spans="1:9" ht="14.25" customHeight="1" x14ac:dyDescent="0.3">
      <c r="A1745" s="6">
        <v>41462</v>
      </c>
      <c r="B1745" s="7">
        <v>100.20340000000002</v>
      </c>
      <c r="C1745" s="8">
        <f t="shared" si="13"/>
        <v>107.8843701091147</v>
      </c>
      <c r="D1745" s="9">
        <f t="shared" si="12"/>
        <v>66.512909976772221</v>
      </c>
      <c r="E1745" s="9"/>
      <c r="F1745" s="9">
        <f ca="1">IFERROR(__xludf.DUMMYFUNCTION("""COMPUTED_VALUE"""),43562)</f>
        <v>43562</v>
      </c>
      <c r="G1745" s="9" t="str">
        <f ca="1">IFERROR(__xludf.DUMMYFUNCTION("""COMPUTED_VALUE"""),"1 USD = 141.6186 PKR")</f>
        <v>1 USD = 141.6186 PKR</v>
      </c>
      <c r="H1745" s="9" t="str">
        <f ca="1">IFERROR(__xludf.DUMMYFUNCTION("""COMPUTED_VALUE"""),"USD PKR rate for 07/04/2019")</f>
        <v>USD PKR rate for 07/04/2019</v>
      </c>
      <c r="I1745" s="9"/>
    </row>
    <row r="1746" spans="1:9" ht="14.25" customHeight="1" x14ac:dyDescent="0.3">
      <c r="A1746" s="6">
        <v>41463</v>
      </c>
      <c r="B1746" s="7">
        <v>99.917199999999994</v>
      </c>
      <c r="C1746" s="8">
        <f t="shared" si="13"/>
        <v>107.90366520371818</v>
      </c>
      <c r="D1746" s="9">
        <f t="shared" si="12"/>
        <v>66.515647809569487</v>
      </c>
      <c r="E1746" s="9"/>
      <c r="F1746" s="9">
        <f ca="1">IFERROR(__xludf.DUMMYFUNCTION("""COMPUTED_VALUE"""),43561)</f>
        <v>43561</v>
      </c>
      <c r="G1746" s="9" t="str">
        <f ca="1">IFERROR(__xludf.DUMMYFUNCTION("""COMPUTED_VALUE"""),"1 USD = 141.4396 PKR")</f>
        <v>1 USD = 141.4396 PKR</v>
      </c>
      <c r="H1746" s="9" t="str">
        <f ca="1">IFERROR(__xludf.DUMMYFUNCTION("""COMPUTED_VALUE"""),"USD PKR rate for 06/04/2019")</f>
        <v>USD PKR rate for 06/04/2019</v>
      </c>
      <c r="I1746" s="9"/>
    </row>
    <row r="1747" spans="1:9" ht="14.25" customHeight="1" x14ac:dyDescent="0.3">
      <c r="A1747" s="6">
        <v>41464</v>
      </c>
      <c r="B1747" s="7">
        <v>100.25700000000001</v>
      </c>
      <c r="C1747" s="8">
        <f t="shared" si="13"/>
        <v>107.92296374924486</v>
      </c>
      <c r="D1747" s="9">
        <f t="shared" si="12"/>
        <v>66.518385642366752</v>
      </c>
      <c r="E1747" s="9"/>
      <c r="F1747" s="9">
        <f ca="1">IFERROR(__xludf.DUMMYFUNCTION("""COMPUTED_VALUE"""),43560)</f>
        <v>43560</v>
      </c>
      <c r="G1747" s="9" t="str">
        <f ca="1">IFERROR(__xludf.DUMMYFUNCTION("""COMPUTED_VALUE"""),"1 USD = 141.4396 PKR")</f>
        <v>1 USD = 141.4396 PKR</v>
      </c>
      <c r="H1747" s="9" t="str">
        <f ca="1">IFERROR(__xludf.DUMMYFUNCTION("""COMPUTED_VALUE"""),"USD PKR rate for 05/04/2019")</f>
        <v>USD PKR rate for 05/04/2019</v>
      </c>
      <c r="I1747" s="9"/>
    </row>
    <row r="1748" spans="1:9" ht="14.25" customHeight="1" x14ac:dyDescent="0.3">
      <c r="A1748" s="6">
        <v>41465</v>
      </c>
      <c r="B1748" s="7">
        <v>98.427800000000005</v>
      </c>
      <c r="C1748" s="8">
        <f t="shared" si="13"/>
        <v>107.94226574631185</v>
      </c>
      <c r="D1748" s="9">
        <f t="shared" si="12"/>
        <v>66.521123475164018</v>
      </c>
      <c r="E1748" s="9"/>
      <c r="F1748" s="9">
        <f ca="1">IFERROR(__xludf.DUMMYFUNCTION("""COMPUTED_VALUE"""),43559)</f>
        <v>43559</v>
      </c>
      <c r="G1748" s="9" t="str">
        <f ca="1">IFERROR(__xludf.DUMMYFUNCTION("""COMPUTED_VALUE"""),"1 USD = 141.5295 PKR")</f>
        <v>1 USD = 141.5295 PKR</v>
      </c>
      <c r="H1748" s="9" t="str">
        <f ca="1">IFERROR(__xludf.DUMMYFUNCTION("""COMPUTED_VALUE"""),"USD PKR rate for 04/04/2019")</f>
        <v>USD PKR rate for 04/04/2019</v>
      </c>
      <c r="I1748" s="9"/>
    </row>
    <row r="1749" spans="1:9" ht="14.25" customHeight="1" x14ac:dyDescent="0.3">
      <c r="A1749" s="6">
        <v>41466</v>
      </c>
      <c r="B1749" s="7">
        <v>99.933499999999995</v>
      </c>
      <c r="C1749" s="8">
        <f t="shared" si="13"/>
        <v>107.96157119553664</v>
      </c>
      <c r="D1749" s="9">
        <f t="shared" si="12"/>
        <v>66.523861307961283</v>
      </c>
      <c r="E1749" s="9"/>
      <c r="F1749" s="9">
        <f ca="1">IFERROR(__xludf.DUMMYFUNCTION("""COMPUTED_VALUE"""),43558)</f>
        <v>43558</v>
      </c>
      <c r="G1749" s="9" t="str">
        <f ca="1">IFERROR(__xludf.DUMMYFUNCTION("""COMPUTED_VALUE"""),"1 USD = 141.6025 PKR")</f>
        <v>1 USD = 141.6025 PKR</v>
      </c>
      <c r="H1749" s="9" t="str">
        <f ca="1">IFERROR(__xludf.DUMMYFUNCTION("""COMPUTED_VALUE"""),"USD PKR rate for 03/04/2019")</f>
        <v>USD PKR rate for 03/04/2019</v>
      </c>
      <c r="I1749" s="9"/>
    </row>
    <row r="1750" spans="1:9" ht="14.25" customHeight="1" x14ac:dyDescent="0.3">
      <c r="A1750" s="6">
        <v>41467</v>
      </c>
      <c r="B1750" s="7">
        <v>99.994</v>
      </c>
      <c r="C1750" s="8">
        <f t="shared" si="13"/>
        <v>107.98088009753653</v>
      </c>
      <c r="D1750" s="9">
        <f t="shared" si="12"/>
        <v>66.526599140758549</v>
      </c>
      <c r="E1750" s="9"/>
      <c r="F1750" s="9">
        <f ca="1">IFERROR(__xludf.DUMMYFUNCTION("""COMPUTED_VALUE"""),43557)</f>
        <v>43557</v>
      </c>
      <c r="G1750" s="9" t="str">
        <f ca="1">IFERROR(__xludf.DUMMYFUNCTION("""COMPUTED_VALUE"""),"1 USD = 140.3449 PKR")</f>
        <v>1 USD = 140.3449 PKR</v>
      </c>
      <c r="H1750" s="9" t="str">
        <f ca="1">IFERROR(__xludf.DUMMYFUNCTION("""COMPUTED_VALUE"""),"USD PKR rate for 02/04/2019")</f>
        <v>USD PKR rate for 02/04/2019</v>
      </c>
      <c r="I1750" s="9"/>
    </row>
    <row r="1751" spans="1:9" ht="14.25" customHeight="1" x14ac:dyDescent="0.3">
      <c r="A1751" s="6">
        <v>41468</v>
      </c>
      <c r="B1751" s="7">
        <v>100.07470000000001</v>
      </c>
      <c r="C1751" s="8">
        <f t="shared" si="13"/>
        <v>108.0001924529291</v>
      </c>
      <c r="D1751" s="9">
        <f t="shared" si="12"/>
        <v>66.529336973555814</v>
      </c>
      <c r="E1751" s="9"/>
      <c r="F1751" s="9">
        <f ca="1">IFERROR(__xludf.DUMMYFUNCTION("""COMPUTED_VALUE"""),43556)</f>
        <v>43556</v>
      </c>
      <c r="G1751" s="9" t="str">
        <f ca="1">IFERROR(__xludf.DUMMYFUNCTION("""COMPUTED_VALUE"""),"1 USD = 140.8376 PKR")</f>
        <v>1 USD = 140.8376 PKR</v>
      </c>
      <c r="H1751" s="9" t="str">
        <f ca="1">IFERROR(__xludf.DUMMYFUNCTION("""COMPUTED_VALUE"""),"USD PKR rate for 01/04/2019")</f>
        <v>USD PKR rate for 01/04/2019</v>
      </c>
      <c r="I1751" s="9"/>
    </row>
    <row r="1752" spans="1:9" ht="14.25" customHeight="1" x14ac:dyDescent="0.3">
      <c r="A1752" s="6">
        <v>41469</v>
      </c>
      <c r="B1752" s="7">
        <v>100.05970000000002</v>
      </c>
      <c r="C1752" s="8">
        <f t="shared" si="13"/>
        <v>108.01950826233194</v>
      </c>
      <c r="D1752" s="9">
        <f t="shared" si="12"/>
        <v>66.53207480635308</v>
      </c>
      <c r="E1752" s="9"/>
      <c r="F1752" s="9">
        <f ca="1">IFERROR(__xludf.DUMMYFUNCTION("""COMPUTED_VALUE"""),43555)</f>
        <v>43555</v>
      </c>
      <c r="G1752" s="9" t="str">
        <f ca="1">IFERROR(__xludf.DUMMYFUNCTION("""COMPUTED_VALUE"""),"1 USD = 140.6727 PKR")</f>
        <v>1 USD = 140.6727 PKR</v>
      </c>
      <c r="H1752" s="9" t="str">
        <f ca="1">IFERROR(__xludf.DUMMYFUNCTION("""COMPUTED_VALUE"""),"USD PKR rate for 31/03/2019")</f>
        <v>USD PKR rate for 31/03/2019</v>
      </c>
      <c r="I1752" s="9"/>
    </row>
    <row r="1753" spans="1:9" ht="14.25" customHeight="1" x14ac:dyDescent="0.3">
      <c r="A1753" s="6">
        <v>41470</v>
      </c>
      <c r="B1753" s="7">
        <v>100.0913</v>
      </c>
      <c r="C1753" s="8">
        <f t="shared" si="13"/>
        <v>108.03882752636282</v>
      </c>
      <c r="D1753" s="9">
        <f t="shared" si="12"/>
        <v>66.534812639150346</v>
      </c>
      <c r="E1753" s="9"/>
      <c r="F1753" s="9">
        <f ca="1">IFERROR(__xludf.DUMMYFUNCTION("""COMPUTED_VALUE"""),43554)</f>
        <v>43554</v>
      </c>
      <c r="G1753" s="9" t="str">
        <f ca="1">IFERROR(__xludf.DUMMYFUNCTION("""COMPUTED_VALUE"""),"1 USD = 140.8252 PKR")</f>
        <v>1 USD = 140.8252 PKR</v>
      </c>
      <c r="H1753" s="9" t="str">
        <f ca="1">IFERROR(__xludf.DUMMYFUNCTION("""COMPUTED_VALUE"""),"USD PKR rate for 30/03/2019")</f>
        <v>USD PKR rate for 30/03/2019</v>
      </c>
      <c r="I1753" s="9"/>
    </row>
    <row r="1754" spans="1:9" ht="14.25" customHeight="1" x14ac:dyDescent="0.3">
      <c r="A1754" s="6">
        <v>41471</v>
      </c>
      <c r="B1754" s="7">
        <v>100.145</v>
      </c>
      <c r="C1754" s="8">
        <f t="shared" si="13"/>
        <v>108.0581502456396</v>
      </c>
      <c r="D1754" s="9">
        <f t="shared" si="12"/>
        <v>66.537550471947611</v>
      </c>
      <c r="E1754" s="9"/>
      <c r="F1754" s="9">
        <f ca="1">IFERROR(__xludf.DUMMYFUNCTION("""COMPUTED_VALUE"""),43553)</f>
        <v>43553</v>
      </c>
      <c r="G1754" s="9" t="str">
        <f ca="1">IFERROR(__xludf.DUMMYFUNCTION("""COMPUTED_VALUE"""),"1 USD = 140.824 PKR")</f>
        <v>1 USD = 140.824 PKR</v>
      </c>
      <c r="H1754" s="9" t="str">
        <f ca="1">IFERROR(__xludf.DUMMYFUNCTION("""COMPUTED_VALUE"""),"USD PKR rate for 29/03/2019")</f>
        <v>USD PKR rate for 29/03/2019</v>
      </c>
      <c r="I1754" s="9"/>
    </row>
    <row r="1755" spans="1:9" ht="14.25" customHeight="1" x14ac:dyDescent="0.3">
      <c r="A1755" s="6">
        <v>41472</v>
      </c>
      <c r="B1755" s="7">
        <v>100.1512</v>
      </c>
      <c r="C1755" s="8">
        <f t="shared" si="13"/>
        <v>108.07747642078023</v>
      </c>
      <c r="D1755" s="9">
        <f t="shared" si="12"/>
        <v>66.540288304744877</v>
      </c>
      <c r="E1755" s="9"/>
      <c r="F1755" s="9">
        <f ca="1">IFERROR(__xludf.DUMMYFUNCTION("""COMPUTED_VALUE"""),43552)</f>
        <v>43552</v>
      </c>
      <c r="G1755" s="9" t="str">
        <f ca="1">IFERROR(__xludf.DUMMYFUNCTION("""COMPUTED_VALUE"""),"1 USD = 140.5646 PKR")</f>
        <v>1 USD = 140.5646 PKR</v>
      </c>
      <c r="H1755" s="9" t="str">
        <f ca="1">IFERROR(__xludf.DUMMYFUNCTION("""COMPUTED_VALUE"""),"USD PKR rate for 28/03/2019")</f>
        <v>USD PKR rate for 28/03/2019</v>
      </c>
      <c r="I1755" s="9"/>
    </row>
    <row r="1756" spans="1:9" ht="14.25" customHeight="1" x14ac:dyDescent="0.3">
      <c r="A1756" s="6">
        <v>41473</v>
      </c>
      <c r="B1756" s="7">
        <v>100.34520000000002</v>
      </c>
      <c r="C1756" s="8">
        <f t="shared" si="13"/>
        <v>108.09680605240283</v>
      </c>
      <c r="D1756" s="9">
        <f t="shared" si="12"/>
        <v>66.543026137542142</v>
      </c>
      <c r="E1756" s="9"/>
      <c r="F1756" s="9">
        <f ca="1">IFERROR(__xludf.DUMMYFUNCTION("""COMPUTED_VALUE"""),43551)</f>
        <v>43551</v>
      </c>
      <c r="G1756" s="9" t="str">
        <f ca="1">IFERROR(__xludf.DUMMYFUNCTION("""COMPUTED_VALUE"""),"1 USD = 140.5548 PKR")</f>
        <v>1 USD = 140.5548 PKR</v>
      </c>
      <c r="H1756" s="9" t="str">
        <f ca="1">IFERROR(__xludf.DUMMYFUNCTION("""COMPUTED_VALUE"""),"USD PKR rate for 27/03/2019")</f>
        <v>USD PKR rate for 27/03/2019</v>
      </c>
      <c r="I1756" s="9"/>
    </row>
    <row r="1757" spans="1:9" ht="14.25" customHeight="1" x14ac:dyDescent="0.3">
      <c r="A1757" s="6">
        <v>41474</v>
      </c>
      <c r="B1757" s="7">
        <v>100.3036</v>
      </c>
      <c r="C1757" s="8">
        <f t="shared" si="13"/>
        <v>108.11613914112549</v>
      </c>
      <c r="D1757" s="9">
        <f t="shared" si="12"/>
        <v>66.545763970339408</v>
      </c>
      <c r="E1757" s="9"/>
      <c r="F1757" s="9">
        <f ca="1">IFERROR(__xludf.DUMMYFUNCTION("""COMPUTED_VALUE"""),43550)</f>
        <v>43550</v>
      </c>
      <c r="G1757" s="9" t="str">
        <f ca="1">IFERROR(__xludf.DUMMYFUNCTION("""COMPUTED_VALUE"""),"1 USD = 140.5423 PKR")</f>
        <v>1 USD = 140.5423 PKR</v>
      </c>
      <c r="H1757" s="9" t="str">
        <f ca="1">IFERROR(__xludf.DUMMYFUNCTION("""COMPUTED_VALUE"""),"USD PKR rate for 26/03/2019")</f>
        <v>USD PKR rate for 26/03/2019</v>
      </c>
      <c r="I1757" s="9"/>
    </row>
    <row r="1758" spans="1:9" ht="14.25" customHeight="1" x14ac:dyDescent="0.3">
      <c r="A1758" s="6">
        <v>41475</v>
      </c>
      <c r="B1758" s="7">
        <v>100.6652</v>
      </c>
      <c r="C1758" s="8">
        <f t="shared" si="13"/>
        <v>108.13547568756664</v>
      </c>
      <c r="D1758" s="9">
        <f t="shared" si="12"/>
        <v>66.548501803136674</v>
      </c>
      <c r="E1758" s="9"/>
      <c r="F1758" s="9">
        <f ca="1">IFERROR(__xludf.DUMMYFUNCTION("""COMPUTED_VALUE"""),43549)</f>
        <v>43549</v>
      </c>
      <c r="G1758" s="9" t="str">
        <f ca="1">IFERROR(__xludf.DUMMYFUNCTION("""COMPUTED_VALUE"""),"1 USD = 140.1942 PKR")</f>
        <v>1 USD = 140.1942 PKR</v>
      </c>
      <c r="H1758" s="9" t="str">
        <f ca="1">IFERROR(__xludf.DUMMYFUNCTION("""COMPUTED_VALUE"""),"USD PKR rate for 25/03/2019")</f>
        <v>USD PKR rate for 25/03/2019</v>
      </c>
      <c r="I1758" s="9"/>
    </row>
    <row r="1759" spans="1:9" ht="14.25" customHeight="1" x14ac:dyDescent="0.3">
      <c r="A1759" s="6">
        <v>41476</v>
      </c>
      <c r="B1759" s="7">
        <v>100.52970000000002</v>
      </c>
      <c r="C1759" s="8">
        <f t="shared" si="13"/>
        <v>108.15481569234467</v>
      </c>
      <c r="D1759" s="9">
        <f t="shared" si="12"/>
        <v>66.551239635933939</v>
      </c>
      <c r="E1759" s="9"/>
      <c r="F1759" s="9">
        <f ca="1">IFERROR(__xludf.DUMMYFUNCTION("""COMPUTED_VALUE"""),43548)</f>
        <v>43548</v>
      </c>
      <c r="G1759" s="9" t="str">
        <f ca="1">IFERROR(__xludf.DUMMYFUNCTION("""COMPUTED_VALUE"""),"1 USD = 139.9188 PKR")</f>
        <v>1 USD = 139.9188 PKR</v>
      </c>
      <c r="H1759" s="9" t="str">
        <f ca="1">IFERROR(__xludf.DUMMYFUNCTION("""COMPUTED_VALUE"""),"USD PKR rate for 24/03/2019")</f>
        <v>USD PKR rate for 24/03/2019</v>
      </c>
      <c r="I1759" s="9"/>
    </row>
    <row r="1760" spans="1:9" ht="14.25" customHeight="1" x14ac:dyDescent="0.3">
      <c r="A1760" s="6">
        <v>41477</v>
      </c>
      <c r="B1760" s="7">
        <v>100.4973</v>
      </c>
      <c r="C1760" s="8">
        <f t="shared" si="13"/>
        <v>108.17415915607808</v>
      </c>
      <c r="D1760" s="9">
        <f t="shared" si="12"/>
        <v>66.553977468731205</v>
      </c>
      <c r="E1760" s="9"/>
      <c r="F1760" s="9">
        <f ca="1">IFERROR(__xludf.DUMMYFUNCTION("""COMPUTED_VALUE"""),43547)</f>
        <v>43547</v>
      </c>
      <c r="G1760" s="9" t="str">
        <f ca="1">IFERROR(__xludf.DUMMYFUNCTION("""COMPUTED_VALUE"""),"1 USD = 139.985 PKR")</f>
        <v>1 USD = 139.985 PKR</v>
      </c>
      <c r="H1760" s="9" t="str">
        <f ca="1">IFERROR(__xludf.DUMMYFUNCTION("""COMPUTED_VALUE"""),"USD PKR rate for 23/03/2019")</f>
        <v>USD PKR rate for 23/03/2019</v>
      </c>
      <c r="I1760" s="9"/>
    </row>
    <row r="1761" spans="1:9" ht="14.25" customHeight="1" x14ac:dyDescent="0.3">
      <c r="A1761" s="6">
        <v>41478</v>
      </c>
      <c r="B1761" s="7">
        <v>100.4406</v>
      </c>
      <c r="C1761" s="8">
        <f t="shared" si="13"/>
        <v>108.19350607938546</v>
      </c>
      <c r="D1761" s="9">
        <f t="shared" si="12"/>
        <v>66.55671530152847</v>
      </c>
      <c r="E1761" s="9"/>
      <c r="F1761" s="9">
        <f ca="1">IFERROR(__xludf.DUMMYFUNCTION("""COMPUTED_VALUE"""),43546)</f>
        <v>43546</v>
      </c>
      <c r="G1761" s="9" t="str">
        <f ca="1">IFERROR(__xludf.DUMMYFUNCTION("""COMPUTED_VALUE"""),"1 USD = 139.6497 PKR")</f>
        <v>1 USD = 139.6497 PKR</v>
      </c>
      <c r="H1761" s="9" t="str">
        <f ca="1">IFERROR(__xludf.DUMMYFUNCTION("""COMPUTED_VALUE"""),"USD PKR rate for 22/03/2019")</f>
        <v>USD PKR rate for 22/03/2019</v>
      </c>
      <c r="I1761" s="9"/>
    </row>
    <row r="1762" spans="1:9" ht="14.25" customHeight="1" x14ac:dyDescent="0.3">
      <c r="A1762" s="6">
        <v>41479</v>
      </c>
      <c r="B1762" s="7">
        <v>100.62770000000002</v>
      </c>
      <c r="C1762" s="8">
        <f t="shared" si="13"/>
        <v>108.21285646288563</v>
      </c>
      <c r="D1762" s="9">
        <f t="shared" si="12"/>
        <v>66.559453134325736</v>
      </c>
      <c r="E1762" s="9"/>
      <c r="F1762" s="9">
        <f ca="1">IFERROR(__xludf.DUMMYFUNCTION("""COMPUTED_VALUE"""),43545)</f>
        <v>43545</v>
      </c>
      <c r="G1762" s="9" t="str">
        <f ca="1">IFERROR(__xludf.DUMMYFUNCTION("""COMPUTED_VALUE"""),"1 USD = 139.8859 PKR")</f>
        <v>1 USD = 139.8859 PKR</v>
      </c>
      <c r="H1762" s="9" t="str">
        <f ca="1">IFERROR(__xludf.DUMMYFUNCTION("""COMPUTED_VALUE"""),"USD PKR rate for 21/03/2019")</f>
        <v>USD PKR rate for 21/03/2019</v>
      </c>
      <c r="I1762" s="9"/>
    </row>
    <row r="1763" spans="1:9" ht="14.25" customHeight="1" x14ac:dyDescent="0.3">
      <c r="A1763" s="6">
        <v>41480</v>
      </c>
      <c r="B1763" s="7">
        <v>100.7024</v>
      </c>
      <c r="C1763" s="8">
        <f t="shared" si="13"/>
        <v>108.23221030719739</v>
      </c>
      <c r="D1763" s="9">
        <f t="shared" si="12"/>
        <v>66.562190967123001</v>
      </c>
      <c r="E1763" s="9"/>
      <c r="F1763" s="9">
        <f ca="1">IFERROR(__xludf.DUMMYFUNCTION("""COMPUTED_VALUE"""),43544)</f>
        <v>43544</v>
      </c>
      <c r="G1763" s="9" t="str">
        <f ca="1">IFERROR(__xludf.DUMMYFUNCTION("""COMPUTED_VALUE"""),"1 USD = 140.0672 PKR")</f>
        <v>1 USD = 140.0672 PKR</v>
      </c>
      <c r="H1763" s="9" t="str">
        <f ca="1">IFERROR(__xludf.DUMMYFUNCTION("""COMPUTED_VALUE"""),"USD PKR rate for 20/03/2019")</f>
        <v>USD PKR rate for 20/03/2019</v>
      </c>
      <c r="I1763" s="9"/>
    </row>
    <row r="1764" spans="1:9" ht="14.25" customHeight="1" x14ac:dyDescent="0.3">
      <c r="A1764" s="6">
        <v>41481</v>
      </c>
      <c r="B1764" s="7">
        <v>101.2269</v>
      </c>
      <c r="C1764" s="8">
        <f t="shared" si="13"/>
        <v>108.25156761293972</v>
      </c>
      <c r="D1764" s="9">
        <f t="shared" si="12"/>
        <v>66.564928799920267</v>
      </c>
      <c r="E1764" s="9"/>
      <c r="F1764" s="9">
        <f ca="1">IFERROR(__xludf.DUMMYFUNCTION("""COMPUTED_VALUE"""),43543)</f>
        <v>43543</v>
      </c>
      <c r="G1764" s="9" t="str">
        <f ca="1">IFERROR(__xludf.DUMMYFUNCTION("""COMPUTED_VALUE"""),"1 USD = 139.8313 PKR")</f>
        <v>1 USD = 139.8313 PKR</v>
      </c>
      <c r="H1764" s="9" t="str">
        <f ca="1">IFERROR(__xludf.DUMMYFUNCTION("""COMPUTED_VALUE"""),"USD PKR rate for 19/03/2019")</f>
        <v>USD PKR rate for 19/03/2019</v>
      </c>
      <c r="I1764" s="9"/>
    </row>
    <row r="1765" spans="1:9" ht="14.25" customHeight="1" x14ac:dyDescent="0.3">
      <c r="A1765" s="6">
        <v>41482</v>
      </c>
      <c r="B1765" s="7">
        <v>101.27850000000001</v>
      </c>
      <c r="C1765" s="8">
        <f t="shared" si="13"/>
        <v>108.2709283807317</v>
      </c>
      <c r="D1765" s="9">
        <f t="shared" si="12"/>
        <v>66.567666632717533</v>
      </c>
      <c r="E1765" s="9"/>
      <c r="F1765" s="9">
        <f ca="1">IFERROR(__xludf.DUMMYFUNCTION("""COMPUTED_VALUE"""),43542)</f>
        <v>43542</v>
      </c>
      <c r="G1765" s="9" t="str">
        <f ca="1">IFERROR(__xludf.DUMMYFUNCTION("""COMPUTED_VALUE"""),"1 USD = 140.3381 PKR")</f>
        <v>1 USD = 140.3381 PKR</v>
      </c>
      <c r="H1765" s="9" t="str">
        <f ca="1">IFERROR(__xludf.DUMMYFUNCTION("""COMPUTED_VALUE"""),"USD PKR rate for 18/03/2019")</f>
        <v>USD PKR rate for 18/03/2019</v>
      </c>
      <c r="I1765" s="9"/>
    </row>
    <row r="1766" spans="1:9" ht="14.25" customHeight="1" x14ac:dyDescent="0.3">
      <c r="A1766" s="6">
        <v>41483</v>
      </c>
      <c r="B1766" s="7">
        <v>101.357</v>
      </c>
      <c r="C1766" s="8">
        <f t="shared" si="13"/>
        <v>108.29029261119243</v>
      </c>
      <c r="D1766" s="9">
        <f t="shared" si="12"/>
        <v>66.570404465514798</v>
      </c>
      <c r="E1766" s="9"/>
      <c r="F1766" s="9">
        <f ca="1">IFERROR(__xludf.DUMMYFUNCTION("""COMPUTED_VALUE"""),43541)</f>
        <v>43541</v>
      </c>
      <c r="G1766" s="9" t="str">
        <f ca="1">IFERROR(__xludf.DUMMYFUNCTION("""COMPUTED_VALUE"""),"1 USD = 139.6169 PKR")</f>
        <v>1 USD = 139.6169 PKR</v>
      </c>
      <c r="H1766" s="9" t="str">
        <f ca="1">IFERROR(__xludf.DUMMYFUNCTION("""COMPUTED_VALUE"""),"USD PKR rate for 17/03/2019")</f>
        <v>USD PKR rate for 17/03/2019</v>
      </c>
      <c r="I1766" s="9"/>
    </row>
    <row r="1767" spans="1:9" ht="14.25" customHeight="1" x14ac:dyDescent="0.3">
      <c r="A1767" s="6">
        <v>41484</v>
      </c>
      <c r="B1767" s="7">
        <v>101.8199</v>
      </c>
      <c r="C1767" s="8">
        <f t="shared" si="13"/>
        <v>108.30966030494137</v>
      </c>
      <c r="D1767" s="9">
        <f t="shared" si="12"/>
        <v>66.573142298312064</v>
      </c>
      <c r="E1767" s="9"/>
      <c r="F1767" s="9">
        <f ca="1">IFERROR(__xludf.DUMMYFUNCTION("""COMPUTED_VALUE"""),43540)</f>
        <v>43540</v>
      </c>
      <c r="G1767" s="9" t="str">
        <f ca="1">IFERROR(__xludf.DUMMYFUNCTION("""COMPUTED_VALUE"""),"1 USD = 139.2446 PKR")</f>
        <v>1 USD = 139.2446 PKR</v>
      </c>
      <c r="H1767" s="9" t="str">
        <f ca="1">IFERROR(__xludf.DUMMYFUNCTION("""COMPUTED_VALUE"""),"USD PKR rate for 16/03/2019")</f>
        <v>USD PKR rate for 16/03/2019</v>
      </c>
      <c r="I1767" s="9"/>
    </row>
    <row r="1768" spans="1:9" ht="14.25" customHeight="1" x14ac:dyDescent="0.3">
      <c r="A1768" s="6">
        <v>41485</v>
      </c>
      <c r="B1768" s="7">
        <v>101.8729</v>
      </c>
      <c r="C1768" s="8">
        <f t="shared" si="13"/>
        <v>108.32903146259787</v>
      </c>
      <c r="D1768" s="9">
        <f t="shared" si="12"/>
        <v>66.575880131109329</v>
      </c>
      <c r="E1768" s="9"/>
      <c r="F1768" s="9">
        <f ca="1">IFERROR(__xludf.DUMMYFUNCTION("""COMPUTED_VALUE"""),43539)</f>
        <v>43539</v>
      </c>
      <c r="G1768" s="9" t="str">
        <f ca="1">IFERROR(__xludf.DUMMYFUNCTION("""COMPUTED_VALUE"""),"1 USD = 139.2446 PKR")</f>
        <v>1 USD = 139.2446 PKR</v>
      </c>
      <c r="H1768" s="9" t="str">
        <f ca="1">IFERROR(__xludf.DUMMYFUNCTION("""COMPUTED_VALUE"""),"USD PKR rate for 15/03/2019")</f>
        <v>USD PKR rate for 15/03/2019</v>
      </c>
      <c r="I1768" s="9"/>
    </row>
    <row r="1769" spans="1:9" ht="14.25" customHeight="1" x14ac:dyDescent="0.3">
      <c r="A1769" s="6">
        <v>41486</v>
      </c>
      <c r="B1769" s="7">
        <v>101.86969999999999</v>
      </c>
      <c r="C1769" s="8">
        <f t="shared" si="13"/>
        <v>108.34840608478142</v>
      </c>
      <c r="D1769" s="9">
        <f t="shared" si="12"/>
        <v>66.578617963906595</v>
      </c>
      <c r="E1769" s="9"/>
      <c r="F1769" s="9">
        <f ca="1">IFERROR(__xludf.DUMMYFUNCTION("""COMPUTED_VALUE"""),43538)</f>
        <v>43538</v>
      </c>
      <c r="G1769" s="9" t="str">
        <f ca="1">IFERROR(__xludf.DUMMYFUNCTION("""COMPUTED_VALUE"""),"1 USD = 139.8599 PKR")</f>
        <v>1 USD = 139.8599 PKR</v>
      </c>
      <c r="H1769" s="9" t="str">
        <f ca="1">IFERROR(__xludf.DUMMYFUNCTION("""COMPUTED_VALUE"""),"USD PKR rate for 14/03/2019")</f>
        <v>USD PKR rate for 14/03/2019</v>
      </c>
      <c r="I1769" s="9"/>
    </row>
    <row r="1770" spans="1:9" ht="14.25" customHeight="1" x14ac:dyDescent="0.3">
      <c r="A1770" s="6">
        <v>41487</v>
      </c>
      <c r="B1770" s="7">
        <v>101.9884</v>
      </c>
      <c r="C1770" s="8">
        <f t="shared" si="13"/>
        <v>108.36778417211166</v>
      </c>
      <c r="D1770" s="9">
        <f t="shared" si="12"/>
        <v>66.581355796703861</v>
      </c>
      <c r="E1770" s="9"/>
      <c r="F1770" s="9">
        <f ca="1">IFERROR(__xludf.DUMMYFUNCTION("""COMPUTED_VALUE"""),43537)</f>
        <v>43537</v>
      </c>
      <c r="G1770" s="9" t="str">
        <f ca="1">IFERROR(__xludf.DUMMYFUNCTION("""COMPUTED_VALUE"""),"1 USD = 139.2976 PKR")</f>
        <v>1 USD = 139.2976 PKR</v>
      </c>
      <c r="H1770" s="9" t="str">
        <f ca="1">IFERROR(__xludf.DUMMYFUNCTION("""COMPUTED_VALUE"""),"USD PKR rate for 13/03/2019")</f>
        <v>USD PKR rate for 13/03/2019</v>
      </c>
      <c r="I1770" s="9"/>
    </row>
    <row r="1771" spans="1:9" ht="14.25" customHeight="1" x14ac:dyDescent="0.3">
      <c r="A1771" s="6">
        <v>41488</v>
      </c>
      <c r="B1771" s="7">
        <v>101.8749</v>
      </c>
      <c r="C1771" s="8">
        <f t="shared" si="13"/>
        <v>108.38716572520835</v>
      </c>
      <c r="D1771" s="9">
        <f t="shared" si="12"/>
        <v>66.584093629501126</v>
      </c>
      <c r="E1771" s="9"/>
      <c r="F1771" s="9">
        <f ca="1">IFERROR(__xludf.DUMMYFUNCTION("""COMPUTED_VALUE"""),43536)</f>
        <v>43536</v>
      </c>
      <c r="G1771" s="9" t="str">
        <f ca="1">IFERROR(__xludf.DUMMYFUNCTION("""COMPUTED_VALUE"""),"1 USD = 139.7536 PKR")</f>
        <v>1 USD = 139.7536 PKR</v>
      </c>
      <c r="H1771" s="9" t="str">
        <f ca="1">IFERROR(__xludf.DUMMYFUNCTION("""COMPUTED_VALUE"""),"USD PKR rate for 12/03/2019")</f>
        <v>USD PKR rate for 12/03/2019</v>
      </c>
      <c r="I1771" s="9"/>
    </row>
    <row r="1772" spans="1:9" ht="14.25" customHeight="1" x14ac:dyDescent="0.3">
      <c r="A1772" s="6">
        <v>41489</v>
      </c>
      <c r="B1772" s="7">
        <v>102.12909999999999</v>
      </c>
      <c r="C1772" s="8">
        <f t="shared" si="13"/>
        <v>108.40655074469129</v>
      </c>
      <c r="D1772" s="9">
        <f t="shared" si="12"/>
        <v>66.586831462298392</v>
      </c>
      <c r="E1772" s="9"/>
      <c r="F1772" s="9">
        <f ca="1">IFERROR(__xludf.DUMMYFUNCTION("""COMPUTED_VALUE"""),43535)</f>
        <v>43535</v>
      </c>
      <c r="G1772" s="9" t="str">
        <f ca="1">IFERROR(__xludf.DUMMYFUNCTION("""COMPUTED_VALUE"""),"1 USD = 139.5137 PKR")</f>
        <v>1 USD = 139.5137 PKR</v>
      </c>
      <c r="H1772" s="9" t="str">
        <f ca="1">IFERROR(__xludf.DUMMYFUNCTION("""COMPUTED_VALUE"""),"USD PKR rate for 11/03/2019")</f>
        <v>USD PKR rate for 11/03/2019</v>
      </c>
      <c r="I1772" s="9"/>
    </row>
    <row r="1773" spans="1:9" ht="14.25" customHeight="1" x14ac:dyDescent="0.3">
      <c r="A1773" s="6">
        <v>41490</v>
      </c>
      <c r="B1773" s="7">
        <v>101.8155</v>
      </c>
      <c r="C1773" s="8">
        <f t="shared" si="13"/>
        <v>108.42593923118049</v>
      </c>
      <c r="D1773" s="9">
        <f t="shared" si="12"/>
        <v>66.589569295095657</v>
      </c>
      <c r="E1773" s="9"/>
      <c r="F1773" s="9">
        <f ca="1">IFERROR(__xludf.DUMMYFUNCTION("""COMPUTED_VALUE"""),43534)</f>
        <v>43534</v>
      </c>
      <c r="G1773" s="9" t="str">
        <f ca="1">IFERROR(__xludf.DUMMYFUNCTION("""COMPUTED_VALUE"""),"1 USD = 139.3712 PKR")</f>
        <v>1 USD = 139.3712 PKR</v>
      </c>
      <c r="H1773" s="9" t="str">
        <f ca="1">IFERROR(__xludf.DUMMYFUNCTION("""COMPUTED_VALUE"""),"USD PKR rate for 10/03/2019")</f>
        <v>USD PKR rate for 10/03/2019</v>
      </c>
      <c r="I1773" s="9"/>
    </row>
    <row r="1774" spans="1:9" ht="14.25" customHeight="1" x14ac:dyDescent="0.3">
      <c r="A1774" s="6">
        <v>41491</v>
      </c>
      <c r="B1774" s="7">
        <v>101.8871</v>
      </c>
      <c r="C1774" s="8">
        <f t="shared" si="13"/>
        <v>108.445331185296</v>
      </c>
      <c r="D1774" s="9">
        <f t="shared" si="12"/>
        <v>66.592307127892923</v>
      </c>
      <c r="E1774" s="9"/>
      <c r="F1774" s="9">
        <f ca="1">IFERROR(__xludf.DUMMYFUNCTION("""COMPUTED_VALUE"""),43533)</f>
        <v>43533</v>
      </c>
      <c r="G1774" s="9" t="str">
        <f ca="1">IFERROR(__xludf.DUMMYFUNCTION("""COMPUTED_VALUE"""),"1 USD = 139.7493 PKR")</f>
        <v>1 USD = 139.7493 PKR</v>
      </c>
      <c r="H1774" s="9" t="str">
        <f ca="1">IFERROR(__xludf.DUMMYFUNCTION("""COMPUTED_VALUE"""),"USD PKR rate for 09/03/2019")</f>
        <v>USD PKR rate for 09/03/2019</v>
      </c>
      <c r="I1774" s="9"/>
    </row>
    <row r="1775" spans="1:9" ht="14.25" customHeight="1" x14ac:dyDescent="0.3">
      <c r="A1775" s="6">
        <v>41492</v>
      </c>
      <c r="B1775" s="7">
        <v>102.14100000000001</v>
      </c>
      <c r="C1775" s="8">
        <f t="shared" si="13"/>
        <v>108.46472660765792</v>
      </c>
      <c r="D1775" s="9">
        <f t="shared" si="12"/>
        <v>66.595044960690188</v>
      </c>
      <c r="E1775" s="9"/>
      <c r="F1775" s="9">
        <f ca="1">IFERROR(__xludf.DUMMYFUNCTION("""COMPUTED_VALUE"""),43532)</f>
        <v>43532</v>
      </c>
      <c r="G1775" s="9" t="str">
        <f ca="1">IFERROR(__xludf.DUMMYFUNCTION("""COMPUTED_VALUE"""),"1 USD = 139.7506 PKR")</f>
        <v>1 USD = 139.7506 PKR</v>
      </c>
      <c r="H1775" s="9" t="str">
        <f ca="1">IFERROR(__xludf.DUMMYFUNCTION("""COMPUTED_VALUE"""),"USD PKR rate for 08/03/2019")</f>
        <v>USD PKR rate for 08/03/2019</v>
      </c>
      <c r="I1775" s="9"/>
    </row>
    <row r="1776" spans="1:9" ht="14.25" customHeight="1" x14ac:dyDescent="0.3">
      <c r="A1776" s="6">
        <v>41493</v>
      </c>
      <c r="B1776" s="7">
        <v>102.2135</v>
      </c>
      <c r="C1776" s="8">
        <f t="shared" si="13"/>
        <v>108.48412549888673</v>
      </c>
      <c r="D1776" s="9">
        <f t="shared" si="12"/>
        <v>66.597782793487454</v>
      </c>
      <c r="E1776" s="9"/>
      <c r="F1776" s="9">
        <f ca="1">IFERROR(__xludf.DUMMYFUNCTION("""COMPUTED_VALUE"""),43531)</f>
        <v>43531</v>
      </c>
      <c r="G1776" s="9" t="str">
        <f ca="1">IFERROR(__xludf.DUMMYFUNCTION("""COMPUTED_VALUE"""),"1 USD = 139.6718 PKR")</f>
        <v>1 USD = 139.6718 PKR</v>
      </c>
      <c r="H1776" s="9" t="str">
        <f ca="1">IFERROR(__xludf.DUMMYFUNCTION("""COMPUTED_VALUE"""),"USD PKR rate for 07/03/2019")</f>
        <v>USD PKR rate for 07/03/2019</v>
      </c>
      <c r="I1776" s="9"/>
    </row>
    <row r="1777" spans="1:9" ht="14.25" customHeight="1" x14ac:dyDescent="0.3">
      <c r="A1777" s="6">
        <v>41494</v>
      </c>
      <c r="B1777" s="7">
        <v>102.2398</v>
      </c>
      <c r="C1777" s="8">
        <f t="shared" si="13"/>
        <v>108.50352785960274</v>
      </c>
      <c r="D1777" s="9">
        <f t="shared" si="12"/>
        <v>66.60052062628472</v>
      </c>
      <c r="E1777" s="9"/>
      <c r="F1777" s="9">
        <f ca="1">IFERROR(__xludf.DUMMYFUNCTION("""COMPUTED_VALUE"""),43530)</f>
        <v>43530</v>
      </c>
      <c r="G1777" s="9" t="str">
        <f ca="1">IFERROR(__xludf.DUMMYFUNCTION("""COMPUTED_VALUE"""),"1 USD = 139.0456 PKR")</f>
        <v>1 USD = 139.0456 PKR</v>
      </c>
      <c r="H1777" s="9" t="str">
        <f ca="1">IFERROR(__xludf.DUMMYFUNCTION("""COMPUTED_VALUE"""),"USD PKR rate for 06/03/2019")</f>
        <v>USD PKR rate for 06/03/2019</v>
      </c>
      <c r="I1777" s="9"/>
    </row>
    <row r="1778" spans="1:9" ht="14.25" customHeight="1" x14ac:dyDescent="0.3">
      <c r="A1778" s="6">
        <v>41495</v>
      </c>
      <c r="B1778" s="7">
        <v>102.23280000000001</v>
      </c>
      <c r="C1778" s="8">
        <f t="shared" si="13"/>
        <v>108.52293369042648</v>
      </c>
      <c r="D1778" s="9">
        <f t="shared" si="12"/>
        <v>66.603258459081985</v>
      </c>
      <c r="E1778" s="9"/>
      <c r="F1778" s="9">
        <f ca="1">IFERROR(__xludf.DUMMYFUNCTION("""COMPUTED_VALUE"""),43529)</f>
        <v>43529</v>
      </c>
      <c r="G1778" s="9" t="str">
        <f ca="1">IFERROR(__xludf.DUMMYFUNCTION("""COMPUTED_VALUE"""),"1 USD = 139.0974 PKR")</f>
        <v>1 USD = 139.0974 PKR</v>
      </c>
      <c r="H1778" s="9" t="str">
        <f ca="1">IFERROR(__xludf.DUMMYFUNCTION("""COMPUTED_VALUE"""),"USD PKR rate for 05/03/2019")</f>
        <v>USD PKR rate for 05/03/2019</v>
      </c>
      <c r="I1778" s="9"/>
    </row>
    <row r="1779" spans="1:9" ht="14.25" customHeight="1" x14ac:dyDescent="0.3">
      <c r="A1779" s="6">
        <v>41496</v>
      </c>
      <c r="B1779" s="7">
        <v>102.1978</v>
      </c>
      <c r="C1779" s="8">
        <f t="shared" si="13"/>
        <v>108.54234299197856</v>
      </c>
      <c r="D1779" s="9">
        <f t="shared" si="12"/>
        <v>66.605996291879251</v>
      </c>
      <c r="E1779" s="9"/>
      <c r="F1779" s="9">
        <f ca="1">IFERROR(__xludf.DUMMYFUNCTION("""COMPUTED_VALUE"""),43528)</f>
        <v>43528</v>
      </c>
      <c r="G1779" s="9" t="str">
        <f ca="1">IFERROR(__xludf.DUMMYFUNCTION("""COMPUTED_VALUE"""),"1 USD = 139.6188 PKR")</f>
        <v>1 USD = 139.6188 PKR</v>
      </c>
      <c r="H1779" s="9" t="str">
        <f ca="1">IFERROR(__xludf.DUMMYFUNCTION("""COMPUTED_VALUE"""),"USD PKR rate for 04/03/2019")</f>
        <v>USD PKR rate for 04/03/2019</v>
      </c>
      <c r="I1779" s="9"/>
    </row>
    <row r="1780" spans="1:9" ht="14.25" customHeight="1" x14ac:dyDescent="0.3">
      <c r="A1780" s="6">
        <v>41497</v>
      </c>
      <c r="B1780" s="7">
        <v>102.1688</v>
      </c>
      <c r="C1780" s="8">
        <f t="shared" si="13"/>
        <v>108.56175576487973</v>
      </c>
      <c r="D1780" s="9">
        <f t="shared" si="12"/>
        <v>66.608734124676516</v>
      </c>
      <c r="E1780" s="9"/>
      <c r="F1780" s="9">
        <f ca="1">IFERROR(__xludf.DUMMYFUNCTION("""COMPUTED_VALUE"""),43527)</f>
        <v>43527</v>
      </c>
      <c r="G1780" s="9" t="str">
        <f ca="1">IFERROR(__xludf.DUMMYFUNCTION("""COMPUTED_VALUE"""),"1 USD = 139.6967 PKR")</f>
        <v>1 USD = 139.6967 PKR</v>
      </c>
      <c r="H1780" s="9" t="str">
        <f ca="1">IFERROR(__xludf.DUMMYFUNCTION("""COMPUTED_VALUE"""),"USD PKR rate for 03/03/2019")</f>
        <v>USD PKR rate for 03/03/2019</v>
      </c>
      <c r="I1780" s="9"/>
    </row>
    <row r="1781" spans="1:9" ht="14.25" customHeight="1" x14ac:dyDescent="0.3">
      <c r="A1781" s="6">
        <v>41498</v>
      </c>
      <c r="B1781" s="7">
        <v>102.65860000000001</v>
      </c>
      <c r="C1781" s="8">
        <f t="shared" si="13"/>
        <v>108.58117200975084</v>
      </c>
      <c r="D1781" s="9">
        <f t="shared" si="12"/>
        <v>66.611471957473782</v>
      </c>
      <c r="E1781" s="9"/>
      <c r="F1781" s="9">
        <f ca="1">IFERROR(__xludf.DUMMYFUNCTION("""COMPUTED_VALUE"""),43526)</f>
        <v>43526</v>
      </c>
      <c r="G1781" s="9" t="str">
        <f ca="1">IFERROR(__xludf.DUMMYFUNCTION("""COMPUTED_VALUE"""),"1 USD = 138.6277 PKR")</f>
        <v>1 USD = 138.6277 PKR</v>
      </c>
      <c r="H1781" s="9" t="str">
        <f ca="1">IFERROR(__xludf.DUMMYFUNCTION("""COMPUTED_VALUE"""),"USD PKR rate for 02/03/2019")</f>
        <v>USD PKR rate for 02/03/2019</v>
      </c>
      <c r="I1781" s="9"/>
    </row>
    <row r="1782" spans="1:9" ht="14.25" customHeight="1" x14ac:dyDescent="0.3">
      <c r="A1782" s="6">
        <v>41499</v>
      </c>
      <c r="B1782" s="7">
        <v>102.6429</v>
      </c>
      <c r="C1782" s="8">
        <f t="shared" si="13"/>
        <v>108.60059172721284</v>
      </c>
      <c r="D1782" s="9">
        <f t="shared" si="12"/>
        <v>66.614209790271047</v>
      </c>
      <c r="E1782" s="9"/>
      <c r="F1782" s="9">
        <f ca="1">IFERROR(__xludf.DUMMYFUNCTION("""COMPUTED_VALUE"""),43525)</f>
        <v>43525</v>
      </c>
      <c r="G1782" s="9" t="str">
        <f ca="1">IFERROR(__xludf.DUMMYFUNCTION("""COMPUTED_VALUE"""),"1 USD = 138.625 PKR")</f>
        <v>1 USD = 138.625 PKR</v>
      </c>
      <c r="H1782" s="9" t="str">
        <f ca="1">IFERROR(__xludf.DUMMYFUNCTION("""COMPUTED_VALUE"""),"USD PKR rate for 01/03/2019")</f>
        <v>USD PKR rate for 01/03/2019</v>
      </c>
      <c r="I1782" s="9"/>
    </row>
    <row r="1783" spans="1:9" ht="14.25" customHeight="1" x14ac:dyDescent="0.3">
      <c r="A1783" s="6">
        <v>41500</v>
      </c>
      <c r="B1783" s="7">
        <v>102.4845</v>
      </c>
      <c r="C1783" s="8">
        <f t="shared" si="13"/>
        <v>108.62001491788682</v>
      </c>
      <c r="D1783" s="9">
        <f t="shared" si="12"/>
        <v>66.616947623068313</v>
      </c>
      <c r="E1783" s="9"/>
      <c r="F1783" s="9">
        <f ca="1">IFERROR(__xludf.DUMMYFUNCTION("""COMPUTED_VALUE"""),43524)</f>
        <v>43524</v>
      </c>
      <c r="G1783" s="9" t="str">
        <f ca="1">IFERROR(__xludf.DUMMYFUNCTION("""COMPUTED_VALUE"""),"1 USD = 139.6484 PKR")</f>
        <v>1 USD = 139.6484 PKR</v>
      </c>
      <c r="H1783" s="9" t="str">
        <f ca="1">IFERROR(__xludf.DUMMYFUNCTION("""COMPUTED_VALUE"""),"USD PKR rate for 28/02/2019")</f>
        <v>USD PKR rate for 28/02/2019</v>
      </c>
      <c r="I1783" s="9"/>
    </row>
    <row r="1784" spans="1:9" ht="14.25" customHeight="1" x14ac:dyDescent="0.3">
      <c r="A1784" s="6">
        <v>41501</v>
      </c>
      <c r="B1784" s="7">
        <v>102.5194</v>
      </c>
      <c r="C1784" s="8">
        <f t="shared" si="13"/>
        <v>108.63944158239386</v>
      </c>
      <c r="D1784" s="9">
        <f t="shared" si="12"/>
        <v>66.619685455865579</v>
      </c>
      <c r="E1784" s="9"/>
      <c r="F1784" s="9">
        <f ca="1">IFERROR(__xludf.DUMMYFUNCTION("""COMPUTED_VALUE"""),43523)</f>
        <v>43523</v>
      </c>
      <c r="G1784" s="9" t="str">
        <f ca="1">IFERROR(__xludf.DUMMYFUNCTION("""COMPUTED_VALUE"""),"1 USD = 139.3081 PKR")</f>
        <v>1 USD = 139.3081 PKR</v>
      </c>
      <c r="H1784" s="9" t="str">
        <f ca="1">IFERROR(__xludf.DUMMYFUNCTION("""COMPUTED_VALUE"""),"USD PKR rate for 27/02/2019")</f>
        <v>USD PKR rate for 27/02/2019</v>
      </c>
      <c r="I1784" s="9"/>
    </row>
    <row r="1785" spans="1:9" ht="14.25" customHeight="1" x14ac:dyDescent="0.3">
      <c r="A1785" s="6">
        <v>41502</v>
      </c>
      <c r="B1785" s="7">
        <v>102.8387</v>
      </c>
      <c r="C1785" s="8">
        <f t="shared" si="13"/>
        <v>108.65887172135542</v>
      </c>
      <c r="D1785" s="9">
        <f t="shared" si="12"/>
        <v>66.622423288662844</v>
      </c>
      <c r="E1785" s="9"/>
      <c r="F1785" s="9">
        <f ca="1">IFERROR(__xludf.DUMMYFUNCTION("""COMPUTED_VALUE"""),43522)</f>
        <v>43522</v>
      </c>
      <c r="G1785" s="9" t="str">
        <f ca="1">IFERROR(__xludf.DUMMYFUNCTION("""COMPUTED_VALUE"""),"1 USD = 139.4071 PKR")</f>
        <v>1 USD = 139.4071 PKR</v>
      </c>
      <c r="H1785" s="9" t="str">
        <f ca="1">IFERROR(__xludf.DUMMYFUNCTION("""COMPUTED_VALUE"""),"USD PKR rate for 26/02/2019")</f>
        <v>USD PKR rate for 26/02/2019</v>
      </c>
      <c r="I1785" s="9"/>
    </row>
    <row r="1786" spans="1:9" ht="14.25" customHeight="1" x14ac:dyDescent="0.3">
      <c r="A1786" s="6">
        <v>41503</v>
      </c>
      <c r="B1786" s="7">
        <v>102.81189999999999</v>
      </c>
      <c r="C1786" s="8">
        <f t="shared" si="13"/>
        <v>108.67830533539284</v>
      </c>
      <c r="D1786" s="9">
        <f t="shared" si="12"/>
        <v>66.62516112146011</v>
      </c>
      <c r="E1786" s="9"/>
      <c r="F1786" s="9">
        <f ca="1">IFERROR(__xludf.DUMMYFUNCTION("""COMPUTED_VALUE"""),43521)</f>
        <v>43521</v>
      </c>
      <c r="G1786" s="9" t="str">
        <f ca="1">IFERROR(__xludf.DUMMYFUNCTION("""COMPUTED_VALUE"""),"1 USD = 139.3935 PKR")</f>
        <v>1 USD = 139.3935 PKR</v>
      </c>
      <c r="H1786" s="9" t="str">
        <f ca="1">IFERROR(__xludf.DUMMYFUNCTION("""COMPUTED_VALUE"""),"USD PKR rate for 25/02/2019")</f>
        <v>USD PKR rate for 25/02/2019</v>
      </c>
      <c r="I1786" s="9"/>
    </row>
    <row r="1787" spans="1:9" ht="14.25" customHeight="1" x14ac:dyDescent="0.3">
      <c r="A1787" s="6">
        <v>41504</v>
      </c>
      <c r="B1787" s="7">
        <v>102.9088</v>
      </c>
      <c r="C1787" s="8">
        <f t="shared" si="13"/>
        <v>108.69774242512764</v>
      </c>
      <c r="D1787" s="9">
        <f t="shared" si="12"/>
        <v>66.627898954257375</v>
      </c>
      <c r="E1787" s="9"/>
      <c r="F1787" s="9">
        <f ca="1">IFERROR(__xludf.DUMMYFUNCTION("""COMPUTED_VALUE"""),43520)</f>
        <v>43520</v>
      </c>
      <c r="G1787" s="9" t="str">
        <f ca="1">IFERROR(__xludf.DUMMYFUNCTION("""COMPUTED_VALUE"""),"1 USD = 139.6929 PKR")</f>
        <v>1 USD = 139.6929 PKR</v>
      </c>
      <c r="H1787" s="9" t="str">
        <f ca="1">IFERROR(__xludf.DUMMYFUNCTION("""COMPUTED_VALUE"""),"USD PKR rate for 24/02/2019")</f>
        <v>USD PKR rate for 24/02/2019</v>
      </c>
      <c r="I1787" s="9"/>
    </row>
    <row r="1788" spans="1:9" ht="14.25" customHeight="1" x14ac:dyDescent="0.3">
      <c r="A1788" s="6">
        <v>41505</v>
      </c>
      <c r="B1788" s="7">
        <v>103.10639999999999</v>
      </c>
      <c r="C1788" s="8">
        <f t="shared" si="13"/>
        <v>108.71718299118143</v>
      </c>
      <c r="D1788" s="9">
        <f t="shared" ref="D1788:D2042" si="14">(A1788-$A$3)/365.2524</f>
        <v>66.630636787054641</v>
      </c>
      <c r="E1788" s="9"/>
      <c r="F1788" s="9">
        <f ca="1">IFERROR(__xludf.DUMMYFUNCTION("""COMPUTED_VALUE"""),43519)</f>
        <v>43519</v>
      </c>
      <c r="G1788" s="9" t="str">
        <f ca="1">IFERROR(__xludf.DUMMYFUNCTION("""COMPUTED_VALUE"""),"1 USD = 139.685 PKR")</f>
        <v>1 USD = 139.685 PKR</v>
      </c>
      <c r="H1788" s="9" t="str">
        <f ca="1">IFERROR(__xludf.DUMMYFUNCTION("""COMPUTED_VALUE"""),"USD PKR rate for 23/02/2019")</f>
        <v>USD PKR rate for 23/02/2019</v>
      </c>
      <c r="I1788" s="9"/>
    </row>
    <row r="1789" spans="1:9" ht="14.25" customHeight="1" x14ac:dyDescent="0.3">
      <c r="A1789" s="6">
        <v>41506</v>
      </c>
      <c r="B1789" s="7">
        <v>103.15170000000002</v>
      </c>
      <c r="C1789" s="8">
        <f t="shared" ref="C1789:C2043" si="15">(1+$C$1)^D1789*$C$3</f>
        <v>108.73662703417597</v>
      </c>
      <c r="D1789" s="9">
        <f t="shared" si="14"/>
        <v>66.633374619851907</v>
      </c>
      <c r="E1789" s="9"/>
      <c r="F1789" s="9">
        <f ca="1">IFERROR(__xludf.DUMMYFUNCTION("""COMPUTED_VALUE"""),43518)</f>
        <v>43518</v>
      </c>
      <c r="G1789" s="9" t="str">
        <f ca="1">IFERROR(__xludf.DUMMYFUNCTION("""COMPUTED_VALUE"""),"1 USD = 139.7301 PKR")</f>
        <v>1 USD = 139.7301 PKR</v>
      </c>
      <c r="H1789" s="9" t="str">
        <f ca="1">IFERROR(__xludf.DUMMYFUNCTION("""COMPUTED_VALUE"""),"USD PKR rate for 22/02/2019")</f>
        <v>USD PKR rate for 22/02/2019</v>
      </c>
      <c r="I1789" s="9"/>
    </row>
    <row r="1790" spans="1:9" ht="14.25" customHeight="1" x14ac:dyDescent="0.3">
      <c r="A1790" s="6">
        <v>41507</v>
      </c>
      <c r="B1790" s="7">
        <v>103.669</v>
      </c>
      <c r="C1790" s="8">
        <f t="shared" si="15"/>
        <v>108.75607455473308</v>
      </c>
      <c r="D1790" s="9">
        <f t="shared" si="14"/>
        <v>66.636112452649172</v>
      </c>
      <c r="E1790" s="9"/>
      <c r="F1790" s="9">
        <f ca="1">IFERROR(__xludf.DUMMYFUNCTION("""COMPUTED_VALUE"""),43517)</f>
        <v>43517</v>
      </c>
      <c r="G1790" s="9" t="str">
        <f ca="1">IFERROR(__xludf.DUMMYFUNCTION("""COMPUTED_VALUE"""),"1 USD = 139.569 PKR")</f>
        <v>1 USD = 139.569 PKR</v>
      </c>
      <c r="H1790" s="9" t="str">
        <f ca="1">IFERROR(__xludf.DUMMYFUNCTION("""COMPUTED_VALUE"""),"USD PKR rate for 21/02/2019")</f>
        <v>USD PKR rate for 21/02/2019</v>
      </c>
      <c r="I1790" s="9"/>
    </row>
    <row r="1791" spans="1:9" ht="14.25" customHeight="1" x14ac:dyDescent="0.3">
      <c r="A1791" s="6">
        <v>41508</v>
      </c>
      <c r="B1791" s="7">
        <v>103.41160000000001</v>
      </c>
      <c r="C1791" s="8">
        <f t="shared" si="15"/>
        <v>108.77552555347472</v>
      </c>
      <c r="D1791" s="9">
        <f t="shared" si="14"/>
        <v>66.638850285446438</v>
      </c>
      <c r="E1791" s="9"/>
      <c r="F1791" s="9">
        <f ca="1">IFERROR(__xludf.DUMMYFUNCTION("""COMPUTED_VALUE"""),43516)</f>
        <v>43516</v>
      </c>
      <c r="G1791" s="9" t="str">
        <f ca="1">IFERROR(__xludf.DUMMYFUNCTION("""COMPUTED_VALUE"""),"1 USD = 139.0934 PKR")</f>
        <v>1 USD = 139.0934 PKR</v>
      </c>
      <c r="H1791" s="9" t="str">
        <f ca="1">IFERROR(__xludf.DUMMYFUNCTION("""COMPUTED_VALUE"""),"USD PKR rate for 20/02/2019")</f>
        <v>USD PKR rate for 20/02/2019</v>
      </c>
      <c r="I1791" s="9"/>
    </row>
    <row r="1792" spans="1:9" ht="14.25" customHeight="1" x14ac:dyDescent="0.3">
      <c r="A1792" s="6">
        <v>41509</v>
      </c>
      <c r="B1792" s="7">
        <v>103.6217</v>
      </c>
      <c r="C1792" s="8">
        <f t="shared" si="15"/>
        <v>108.794980031023</v>
      </c>
      <c r="D1792" s="9">
        <f t="shared" si="14"/>
        <v>66.641588118243703</v>
      </c>
      <c r="E1792" s="9"/>
      <c r="F1792" s="9">
        <f ca="1">IFERROR(__xludf.DUMMYFUNCTION("""COMPUTED_VALUE"""),43515)</f>
        <v>43515</v>
      </c>
      <c r="G1792" s="9" t="str">
        <f ca="1">IFERROR(__xludf.DUMMYFUNCTION("""COMPUTED_VALUE"""),"1 USD = 139.1276 PKR")</f>
        <v>1 USD = 139.1276 PKR</v>
      </c>
      <c r="H1792" s="9" t="str">
        <f ca="1">IFERROR(__xludf.DUMMYFUNCTION("""COMPUTED_VALUE"""),"USD PKR rate for 19/02/2019")</f>
        <v>USD PKR rate for 19/02/2019</v>
      </c>
      <c r="I1792" s="9"/>
    </row>
    <row r="1793" spans="1:9" ht="14.25" customHeight="1" x14ac:dyDescent="0.3">
      <c r="A1793" s="6">
        <v>41510</v>
      </c>
      <c r="B1793" s="7">
        <v>103.5184</v>
      </c>
      <c r="C1793" s="8">
        <f t="shared" si="15"/>
        <v>108.81443798799999</v>
      </c>
      <c r="D1793" s="9">
        <f t="shared" si="14"/>
        <v>66.644325951040969</v>
      </c>
      <c r="E1793" s="9"/>
      <c r="F1793" s="9">
        <f ca="1">IFERROR(__xludf.DUMMYFUNCTION("""COMPUTED_VALUE"""),43514)</f>
        <v>43514</v>
      </c>
      <c r="G1793" s="9" t="str">
        <f ca="1">IFERROR(__xludf.DUMMYFUNCTION("""COMPUTED_VALUE"""),"1 USD = 139.5208 PKR")</f>
        <v>1 USD = 139.5208 PKR</v>
      </c>
      <c r="H1793" s="9" t="str">
        <f ca="1">IFERROR(__xludf.DUMMYFUNCTION("""COMPUTED_VALUE"""),"USD PKR rate for 18/02/2019")</f>
        <v>USD PKR rate for 18/02/2019</v>
      </c>
      <c r="I1793" s="9"/>
    </row>
    <row r="1794" spans="1:9" ht="14.25" customHeight="1" x14ac:dyDescent="0.3">
      <c r="A1794" s="6">
        <v>41511</v>
      </c>
      <c r="B1794" s="7">
        <v>103.52209999999999</v>
      </c>
      <c r="C1794" s="8">
        <f t="shared" si="15"/>
        <v>108.83389942502818</v>
      </c>
      <c r="D1794" s="9">
        <f t="shared" si="14"/>
        <v>66.647063783838234</v>
      </c>
      <c r="E1794" s="9"/>
      <c r="F1794" s="9">
        <f ca="1">IFERROR(__xludf.DUMMYFUNCTION("""COMPUTED_VALUE"""),43513)</f>
        <v>43513</v>
      </c>
      <c r="G1794" s="9" t="str">
        <f ca="1">IFERROR(__xludf.DUMMYFUNCTION("""COMPUTED_VALUE"""),"1 USD = 139.4253 PKR")</f>
        <v>1 USD = 139.4253 PKR</v>
      </c>
      <c r="H1794" s="9" t="str">
        <f ca="1">IFERROR(__xludf.DUMMYFUNCTION("""COMPUTED_VALUE"""),"USD PKR rate for 17/02/2019")</f>
        <v>USD PKR rate for 17/02/2019</v>
      </c>
      <c r="I1794" s="9"/>
    </row>
    <row r="1795" spans="1:9" ht="14.25" customHeight="1" x14ac:dyDescent="0.3">
      <c r="A1795" s="6">
        <v>41512</v>
      </c>
      <c r="B1795" s="7">
        <v>103.5968</v>
      </c>
      <c r="C1795" s="8">
        <f t="shared" si="15"/>
        <v>108.85336434272985</v>
      </c>
      <c r="D1795" s="9">
        <f t="shared" si="14"/>
        <v>66.6498016166355</v>
      </c>
      <c r="E1795" s="9"/>
      <c r="F1795" s="9">
        <f ca="1">IFERROR(__xludf.DUMMYFUNCTION("""COMPUTED_VALUE"""),43512)</f>
        <v>43512</v>
      </c>
      <c r="G1795" s="9" t="str">
        <f ca="1">IFERROR(__xludf.DUMMYFUNCTION("""COMPUTED_VALUE"""),"1 USD = 139.1491 PKR")</f>
        <v>1 USD = 139.1491 PKR</v>
      </c>
      <c r="H1795" s="9" t="str">
        <f ca="1">IFERROR(__xludf.DUMMYFUNCTION("""COMPUTED_VALUE"""),"USD PKR rate for 16/02/2019")</f>
        <v>USD PKR rate for 16/02/2019</v>
      </c>
      <c r="I1795" s="9"/>
    </row>
    <row r="1796" spans="1:9" ht="14.25" customHeight="1" x14ac:dyDescent="0.3">
      <c r="A1796" s="6">
        <v>41513</v>
      </c>
      <c r="B1796" s="7">
        <v>103.5825</v>
      </c>
      <c r="C1796" s="8">
        <f t="shared" si="15"/>
        <v>108.87283274172755</v>
      </c>
      <c r="D1796" s="9">
        <f t="shared" si="14"/>
        <v>66.652539449432766</v>
      </c>
      <c r="E1796" s="9"/>
      <c r="F1796" s="9">
        <f ca="1">IFERROR(__xludf.DUMMYFUNCTION("""COMPUTED_VALUE"""),43511)</f>
        <v>43511</v>
      </c>
      <c r="G1796" s="9" t="str">
        <f ca="1">IFERROR(__xludf.DUMMYFUNCTION("""COMPUTED_VALUE"""),"1 USD = 139.1509 PKR")</f>
        <v>1 USD = 139.1509 PKR</v>
      </c>
      <c r="H1796" s="9" t="str">
        <f ca="1">IFERROR(__xludf.DUMMYFUNCTION("""COMPUTED_VALUE"""),"USD PKR rate for 15/02/2019")</f>
        <v>USD PKR rate for 15/02/2019</v>
      </c>
      <c r="I1796" s="9"/>
    </row>
    <row r="1797" spans="1:9" ht="14.25" customHeight="1" x14ac:dyDescent="0.3">
      <c r="A1797" s="6">
        <v>41514</v>
      </c>
      <c r="B1797" s="7">
        <v>103.8651</v>
      </c>
      <c r="C1797" s="8">
        <f t="shared" si="15"/>
        <v>108.89230462264392</v>
      </c>
      <c r="D1797" s="9">
        <f t="shared" si="14"/>
        <v>66.655277282230031</v>
      </c>
      <c r="E1797" s="9"/>
      <c r="F1797" s="9">
        <f ca="1">IFERROR(__xludf.DUMMYFUNCTION("""COMPUTED_VALUE"""),43510)</f>
        <v>43510</v>
      </c>
      <c r="G1797" s="9" t="str">
        <f ca="1">IFERROR(__xludf.DUMMYFUNCTION("""COMPUTED_VALUE"""),"1 USD = 139.5936 PKR")</f>
        <v>1 USD = 139.5936 PKR</v>
      </c>
      <c r="H1797" s="9" t="str">
        <f ca="1">IFERROR(__xludf.DUMMYFUNCTION("""COMPUTED_VALUE"""),"USD PKR rate for 14/02/2019")</f>
        <v>USD PKR rate for 14/02/2019</v>
      </c>
      <c r="I1797" s="9"/>
    </row>
    <row r="1798" spans="1:9" ht="14.25" customHeight="1" x14ac:dyDescent="0.3">
      <c r="A1798" s="6">
        <v>41515</v>
      </c>
      <c r="B1798" s="7">
        <v>104.28</v>
      </c>
      <c r="C1798" s="8">
        <f t="shared" si="15"/>
        <v>108.91177998610166</v>
      </c>
      <c r="D1798" s="9">
        <f t="shared" si="14"/>
        <v>66.658015115027297</v>
      </c>
      <c r="E1798" s="9"/>
      <c r="F1798" s="9">
        <f ca="1">IFERROR(__xludf.DUMMYFUNCTION("""COMPUTED_VALUE"""),43509)</f>
        <v>43509</v>
      </c>
      <c r="G1798" s="9" t="str">
        <f ca="1">IFERROR(__xludf.DUMMYFUNCTION("""COMPUTED_VALUE"""),"1 USD = 139.7989 PKR")</f>
        <v>1 USD = 139.7989 PKR</v>
      </c>
      <c r="H1798" s="9" t="str">
        <f ca="1">IFERROR(__xludf.DUMMYFUNCTION("""COMPUTED_VALUE"""),"USD PKR rate for 13/02/2019")</f>
        <v>USD PKR rate for 13/02/2019</v>
      </c>
      <c r="I1798" s="9"/>
    </row>
    <row r="1799" spans="1:9" ht="14.25" customHeight="1" x14ac:dyDescent="0.3">
      <c r="A1799" s="6">
        <v>41516</v>
      </c>
      <c r="B1799" s="7">
        <v>104.38790000000002</v>
      </c>
      <c r="C1799" s="8">
        <f t="shared" si="15"/>
        <v>108.93125883272366</v>
      </c>
      <c r="D1799" s="9">
        <f t="shared" si="14"/>
        <v>66.660752947824562</v>
      </c>
      <c r="E1799" s="9"/>
      <c r="F1799" s="9">
        <f ca="1">IFERROR(__xludf.DUMMYFUNCTION("""COMPUTED_VALUE"""),43508)</f>
        <v>43508</v>
      </c>
      <c r="G1799" s="9" t="str">
        <f ca="1">IFERROR(__xludf.DUMMYFUNCTION("""COMPUTED_VALUE"""),"1 USD = 139.4845 PKR")</f>
        <v>1 USD = 139.4845 PKR</v>
      </c>
      <c r="H1799" s="9" t="str">
        <f ca="1">IFERROR(__xludf.DUMMYFUNCTION("""COMPUTED_VALUE"""),"USD PKR rate for 12/02/2019")</f>
        <v>USD PKR rate for 12/02/2019</v>
      </c>
      <c r="I1799" s="9"/>
    </row>
    <row r="1800" spans="1:9" ht="14.25" customHeight="1" x14ac:dyDescent="0.3">
      <c r="A1800" s="6">
        <v>41517</v>
      </c>
      <c r="B1800" s="7">
        <v>104.452</v>
      </c>
      <c r="C1800" s="8">
        <f t="shared" si="15"/>
        <v>108.95074116313286</v>
      </c>
      <c r="D1800" s="9">
        <f t="shared" si="14"/>
        <v>66.663490780621828</v>
      </c>
      <c r="E1800" s="9"/>
      <c r="F1800" s="9">
        <f ca="1">IFERROR(__xludf.DUMMYFUNCTION("""COMPUTED_VALUE"""),43507)</f>
        <v>43507</v>
      </c>
      <c r="G1800" s="9" t="str">
        <f ca="1">IFERROR(__xludf.DUMMYFUNCTION("""COMPUTED_VALUE"""),"1 USD = 139.5407 PKR")</f>
        <v>1 USD = 139.5407 PKR</v>
      </c>
      <c r="H1800" s="9" t="str">
        <f ca="1">IFERROR(__xludf.DUMMYFUNCTION("""COMPUTED_VALUE"""),"USD PKR rate for 11/02/2019")</f>
        <v>USD PKR rate for 11/02/2019</v>
      </c>
      <c r="I1800" s="9"/>
    </row>
    <row r="1801" spans="1:9" ht="14.25" customHeight="1" x14ac:dyDescent="0.3">
      <c r="A1801" s="6">
        <v>41518</v>
      </c>
      <c r="B1801" s="7">
        <v>104.4513</v>
      </c>
      <c r="C1801" s="8">
        <f t="shared" si="15"/>
        <v>108.97022697795234</v>
      </c>
      <c r="D1801" s="9">
        <f t="shared" si="14"/>
        <v>66.666228613419094</v>
      </c>
      <c r="E1801" s="9"/>
      <c r="F1801" s="9">
        <f ca="1">IFERROR(__xludf.DUMMYFUNCTION("""COMPUTED_VALUE"""),43506)</f>
        <v>43506</v>
      </c>
      <c r="G1801" s="9" t="str">
        <f ca="1">IFERROR(__xludf.DUMMYFUNCTION("""COMPUTED_VALUE"""),"1 USD = 139.4799 PKR")</f>
        <v>1 USD = 139.4799 PKR</v>
      </c>
      <c r="H1801" s="9" t="str">
        <f ca="1">IFERROR(__xludf.DUMMYFUNCTION("""COMPUTED_VALUE"""),"USD PKR rate for 10/02/2019")</f>
        <v>USD PKR rate for 10/02/2019</v>
      </c>
      <c r="I1801" s="9"/>
    </row>
    <row r="1802" spans="1:9" ht="14.25" customHeight="1" x14ac:dyDescent="0.3">
      <c r="A1802" s="6">
        <v>41519</v>
      </c>
      <c r="B1802" s="7">
        <v>104.7734</v>
      </c>
      <c r="C1802" s="8">
        <f t="shared" si="15"/>
        <v>108.98971627780517</v>
      </c>
      <c r="D1802" s="9">
        <f t="shared" si="14"/>
        <v>66.668966446216359</v>
      </c>
      <c r="E1802" s="9"/>
      <c r="F1802" s="9">
        <f ca="1">IFERROR(__xludf.DUMMYFUNCTION("""COMPUTED_VALUE"""),43505)</f>
        <v>43505</v>
      </c>
      <c r="G1802" s="9" t="str">
        <f ca="1">IFERROR(__xludf.DUMMYFUNCTION("""COMPUTED_VALUE"""),"1 USD = 139.6497 PKR")</f>
        <v>1 USD = 139.6497 PKR</v>
      </c>
      <c r="H1802" s="9" t="str">
        <f ca="1">IFERROR(__xludf.DUMMYFUNCTION("""COMPUTED_VALUE"""),"USD PKR rate for 09/02/2019")</f>
        <v>USD PKR rate for 09/02/2019</v>
      </c>
      <c r="I1802" s="9"/>
    </row>
    <row r="1803" spans="1:9" ht="14.25" customHeight="1" x14ac:dyDescent="0.3">
      <c r="A1803" s="6">
        <v>41520</v>
      </c>
      <c r="B1803" s="7">
        <v>104.8357</v>
      </c>
      <c r="C1803" s="8">
        <f t="shared" si="15"/>
        <v>109.0092090633149</v>
      </c>
      <c r="D1803" s="9">
        <f t="shared" si="14"/>
        <v>66.671704279013625</v>
      </c>
      <c r="E1803" s="9"/>
      <c r="F1803" s="9">
        <f ca="1">IFERROR(__xludf.DUMMYFUNCTION("""COMPUTED_VALUE"""),43504)</f>
        <v>43504</v>
      </c>
      <c r="G1803" s="9" t="str">
        <f ca="1">IFERROR(__xludf.DUMMYFUNCTION("""COMPUTED_VALUE"""),"1 USD = 138.7996 PKR")</f>
        <v>1 USD = 138.7996 PKR</v>
      </c>
      <c r="H1803" s="9" t="str">
        <f ca="1">IFERROR(__xludf.DUMMYFUNCTION("""COMPUTED_VALUE"""),"USD PKR rate for 08/02/2019")</f>
        <v>USD PKR rate for 08/02/2019</v>
      </c>
      <c r="I1803" s="9"/>
    </row>
    <row r="1804" spans="1:9" ht="14.25" customHeight="1" x14ac:dyDescent="0.3">
      <c r="A1804" s="6">
        <v>41521</v>
      </c>
      <c r="B1804" s="7">
        <v>104.69140000000002</v>
      </c>
      <c r="C1804" s="8">
        <f t="shared" si="15"/>
        <v>109.02870533510477</v>
      </c>
      <c r="D1804" s="9">
        <f t="shared" si="14"/>
        <v>66.67444211181089</v>
      </c>
      <c r="E1804" s="9"/>
      <c r="F1804" s="9">
        <f ca="1">IFERROR(__xludf.DUMMYFUNCTION("""COMPUTED_VALUE"""),43503)</f>
        <v>43503</v>
      </c>
      <c r="G1804" s="9" t="str">
        <f ca="1">IFERROR(__xludf.DUMMYFUNCTION("""COMPUTED_VALUE"""),"1 USD = 139.2484 PKR")</f>
        <v>1 USD = 139.2484 PKR</v>
      </c>
      <c r="H1804" s="9" t="str">
        <f ca="1">IFERROR(__xludf.DUMMYFUNCTION("""COMPUTED_VALUE"""),"USD PKR rate for 07/02/2019")</f>
        <v>USD PKR rate for 07/02/2019</v>
      </c>
      <c r="I1804" s="9"/>
    </row>
    <row r="1805" spans="1:9" ht="14.25" customHeight="1" x14ac:dyDescent="0.3">
      <c r="A1805" s="6">
        <v>41522</v>
      </c>
      <c r="B1805" s="7">
        <v>105.0395</v>
      </c>
      <c r="C1805" s="8">
        <f t="shared" si="15"/>
        <v>109.04820509379834</v>
      </c>
      <c r="D1805" s="9">
        <f t="shared" si="14"/>
        <v>66.677179944608156</v>
      </c>
      <c r="E1805" s="9"/>
      <c r="F1805" s="9">
        <f ca="1">IFERROR(__xludf.DUMMYFUNCTION("""COMPUTED_VALUE"""),43502)</f>
        <v>43502</v>
      </c>
      <c r="G1805" s="9" t="str">
        <f ca="1">IFERROR(__xludf.DUMMYFUNCTION("""COMPUTED_VALUE"""),"1 USD = 139.2205 PKR")</f>
        <v>1 USD = 139.2205 PKR</v>
      </c>
      <c r="H1805" s="9" t="str">
        <f ca="1">IFERROR(__xludf.DUMMYFUNCTION("""COMPUTED_VALUE"""),"USD PKR rate for 06/02/2019")</f>
        <v>USD PKR rate for 06/02/2019</v>
      </c>
      <c r="I1805" s="9"/>
    </row>
    <row r="1806" spans="1:9" ht="14.25" customHeight="1" x14ac:dyDescent="0.3">
      <c r="A1806" s="6">
        <v>41523</v>
      </c>
      <c r="B1806" s="7">
        <v>104.6317</v>
      </c>
      <c r="C1806" s="8">
        <f t="shared" si="15"/>
        <v>109.06770834001924</v>
      </c>
      <c r="D1806" s="9">
        <f t="shared" si="14"/>
        <v>66.679917777405421</v>
      </c>
      <c r="E1806" s="9"/>
      <c r="F1806" s="9">
        <f ca="1">IFERROR(__xludf.DUMMYFUNCTION("""COMPUTED_VALUE"""),43501)</f>
        <v>43501</v>
      </c>
      <c r="G1806" s="9" t="str">
        <f ca="1">IFERROR(__xludf.DUMMYFUNCTION("""COMPUTED_VALUE"""),"1 USD = 138.8518 PKR")</f>
        <v>1 USD = 138.8518 PKR</v>
      </c>
      <c r="H1806" s="9" t="str">
        <f ca="1">IFERROR(__xludf.DUMMYFUNCTION("""COMPUTED_VALUE"""),"USD PKR rate for 05/02/2019")</f>
        <v>USD PKR rate for 05/02/2019</v>
      </c>
      <c r="I1806" s="9"/>
    </row>
    <row r="1807" spans="1:9" ht="14.25" customHeight="1" x14ac:dyDescent="0.3">
      <c r="A1807" s="6">
        <v>41524</v>
      </c>
      <c r="B1807" s="7">
        <v>104.71810000000001</v>
      </c>
      <c r="C1807" s="8">
        <f t="shared" si="15"/>
        <v>109.08721507439121</v>
      </c>
      <c r="D1807" s="9">
        <f t="shared" si="14"/>
        <v>66.682655610202687</v>
      </c>
      <c r="E1807" s="9"/>
      <c r="F1807" s="9">
        <f ca="1">IFERROR(__xludf.DUMMYFUNCTION("""COMPUTED_VALUE"""),43500)</f>
        <v>43500</v>
      </c>
      <c r="G1807" s="9" t="str">
        <f ca="1">IFERROR(__xludf.DUMMYFUNCTION("""COMPUTED_VALUE"""),"1 USD = 139.4084 PKR")</f>
        <v>1 USD = 139.4084 PKR</v>
      </c>
      <c r="H1807" s="9" t="str">
        <f ca="1">IFERROR(__xludf.DUMMYFUNCTION("""COMPUTED_VALUE"""),"USD PKR rate for 04/02/2019")</f>
        <v>USD PKR rate for 04/02/2019</v>
      </c>
      <c r="I1807" s="9"/>
    </row>
    <row r="1808" spans="1:9" ht="14.25" customHeight="1" x14ac:dyDescent="0.3">
      <c r="A1808" s="6">
        <v>41525</v>
      </c>
      <c r="B1808" s="7">
        <v>104.518</v>
      </c>
      <c r="C1808" s="8">
        <f t="shared" si="15"/>
        <v>109.10672529753811</v>
      </c>
      <c r="D1808" s="9">
        <f t="shared" si="14"/>
        <v>66.685393442999953</v>
      </c>
      <c r="E1808" s="9"/>
      <c r="F1808" s="9">
        <f ca="1">IFERROR(__xludf.DUMMYFUNCTION("""COMPUTED_VALUE"""),43499)</f>
        <v>43499</v>
      </c>
      <c r="G1808" s="9" t="str">
        <f ca="1">IFERROR(__xludf.DUMMYFUNCTION("""COMPUTED_VALUE"""),"1 USD = 139.1094 PKR")</f>
        <v>1 USD = 139.1094 PKR</v>
      </c>
      <c r="H1808" s="9" t="str">
        <f ca="1">IFERROR(__xludf.DUMMYFUNCTION("""COMPUTED_VALUE"""),"USD PKR rate for 03/02/2019")</f>
        <v>USD PKR rate for 03/02/2019</v>
      </c>
      <c r="I1808" s="9"/>
    </row>
    <row r="1809" spans="1:9" ht="14.25" customHeight="1" x14ac:dyDescent="0.3">
      <c r="A1809" s="6">
        <v>41526</v>
      </c>
      <c r="B1809" s="7">
        <v>104.49469999999999</v>
      </c>
      <c r="C1809" s="8">
        <f t="shared" si="15"/>
        <v>109.12623901008399</v>
      </c>
      <c r="D1809" s="9">
        <f t="shared" si="14"/>
        <v>66.688131275797232</v>
      </c>
      <c r="E1809" s="9"/>
      <c r="F1809" s="9">
        <f ca="1">IFERROR(__xludf.DUMMYFUNCTION("""COMPUTED_VALUE"""),43498)</f>
        <v>43498</v>
      </c>
      <c r="G1809" s="9" t="str">
        <f ca="1">IFERROR(__xludf.DUMMYFUNCTION("""COMPUTED_VALUE"""),"1 USD = 138.4471 PKR")</f>
        <v>1 USD = 138.4471 PKR</v>
      </c>
      <c r="H1809" s="9" t="str">
        <f ca="1">IFERROR(__xludf.DUMMYFUNCTION("""COMPUTED_VALUE"""),"USD PKR rate for 02/02/2019")</f>
        <v>USD PKR rate for 02/02/2019</v>
      </c>
      <c r="I1809" s="9"/>
    </row>
    <row r="1810" spans="1:9" ht="14.25" customHeight="1" x14ac:dyDescent="0.3">
      <c r="A1810" s="6">
        <v>41527</v>
      </c>
      <c r="B1810" s="7">
        <v>104.5217</v>
      </c>
      <c r="C1810" s="8">
        <f t="shared" si="15"/>
        <v>109.14575621265273</v>
      </c>
      <c r="D1810" s="9">
        <f t="shared" si="14"/>
        <v>66.690869108594498</v>
      </c>
      <c r="E1810" s="9"/>
      <c r="F1810" s="9">
        <f ca="1">IFERROR(__xludf.DUMMYFUNCTION("""COMPUTED_VALUE"""),43497)</f>
        <v>43497</v>
      </c>
      <c r="G1810" s="9" t="str">
        <f ca="1">IFERROR(__xludf.DUMMYFUNCTION("""COMPUTED_VALUE"""),"1 USD = 138.4471 PKR")</f>
        <v>1 USD = 138.4471 PKR</v>
      </c>
      <c r="H1810" s="9" t="str">
        <f ca="1">IFERROR(__xludf.DUMMYFUNCTION("""COMPUTED_VALUE"""),"USD PKR rate for 01/02/2019")</f>
        <v>USD PKR rate for 01/02/2019</v>
      </c>
      <c r="I1810" s="9"/>
    </row>
    <row r="1811" spans="1:9" ht="14.25" customHeight="1" x14ac:dyDescent="0.3">
      <c r="A1811" s="6">
        <v>41528</v>
      </c>
      <c r="B1811" s="7">
        <v>104.42810000000001</v>
      </c>
      <c r="C1811" s="8">
        <f t="shared" si="15"/>
        <v>109.16527690586867</v>
      </c>
      <c r="D1811" s="9">
        <f t="shared" si="14"/>
        <v>66.693606941391764</v>
      </c>
      <c r="E1811" s="9"/>
      <c r="F1811" s="9">
        <f ca="1">IFERROR(__xludf.DUMMYFUNCTION("""COMPUTED_VALUE"""),43496)</f>
        <v>43496</v>
      </c>
      <c r="G1811" s="9" t="str">
        <f ca="1">IFERROR(__xludf.DUMMYFUNCTION("""COMPUTED_VALUE"""),"1 USD = 139.8126 PKR")</f>
        <v>1 USD = 139.8126 PKR</v>
      </c>
      <c r="H1811" s="9" t="str">
        <f ca="1">IFERROR(__xludf.DUMMYFUNCTION("""COMPUTED_VALUE"""),"USD PKR rate for 31/01/2019")</f>
        <v>USD PKR rate for 31/01/2019</v>
      </c>
      <c r="I1811" s="9"/>
    </row>
    <row r="1812" spans="1:9" ht="14.25" customHeight="1" x14ac:dyDescent="0.3">
      <c r="A1812" s="6">
        <v>41529</v>
      </c>
      <c r="B1812" s="7">
        <v>104.58580000000001</v>
      </c>
      <c r="C1812" s="8">
        <f t="shared" si="15"/>
        <v>109.18480109035592</v>
      </c>
      <c r="D1812" s="9">
        <f t="shared" si="14"/>
        <v>66.696344774189029</v>
      </c>
      <c r="E1812" s="9"/>
      <c r="F1812" s="9">
        <f ca="1">IFERROR(__xludf.DUMMYFUNCTION("""COMPUTED_VALUE"""),43495)</f>
        <v>43495</v>
      </c>
      <c r="G1812" s="9" t="str">
        <f ca="1">IFERROR(__xludf.DUMMYFUNCTION("""COMPUTED_VALUE"""),"1 USD = 139.4629 PKR")</f>
        <v>1 USD = 139.4629 PKR</v>
      </c>
      <c r="H1812" s="9" t="str">
        <f ca="1">IFERROR(__xludf.DUMMYFUNCTION("""COMPUTED_VALUE"""),"USD PKR rate for 30/01/2019")</f>
        <v>USD PKR rate for 30/01/2019</v>
      </c>
      <c r="I1812" s="9"/>
    </row>
    <row r="1813" spans="1:9" ht="14.25" customHeight="1" x14ac:dyDescent="0.3">
      <c r="A1813" s="6">
        <v>41530</v>
      </c>
      <c r="B1813" s="7">
        <v>104.625</v>
      </c>
      <c r="C1813" s="8">
        <f t="shared" si="15"/>
        <v>109.20432876673918</v>
      </c>
      <c r="D1813" s="9">
        <f t="shared" si="14"/>
        <v>66.699082606986295</v>
      </c>
      <c r="E1813" s="9"/>
      <c r="F1813" s="9">
        <f ca="1">IFERROR(__xludf.DUMMYFUNCTION("""COMPUTED_VALUE"""),43494)</f>
        <v>43494</v>
      </c>
      <c r="G1813" s="9" t="str">
        <f ca="1">IFERROR(__xludf.DUMMYFUNCTION("""COMPUTED_VALUE"""),"1 USD = 139.5876 PKR")</f>
        <v>1 USD = 139.5876 PKR</v>
      </c>
      <c r="H1813" s="9" t="str">
        <f ca="1">IFERROR(__xludf.DUMMYFUNCTION("""COMPUTED_VALUE"""),"USD PKR rate for 29/01/2019")</f>
        <v>USD PKR rate for 29/01/2019</v>
      </c>
      <c r="I1813" s="9"/>
    </row>
    <row r="1814" spans="1:9" ht="14.25" customHeight="1" x14ac:dyDescent="0.3">
      <c r="A1814" s="6">
        <v>41531</v>
      </c>
      <c r="B1814" s="7">
        <v>104.77430000000001</v>
      </c>
      <c r="C1814" s="8">
        <f t="shared" si="15"/>
        <v>109.22385993564281</v>
      </c>
      <c r="D1814" s="9">
        <f t="shared" si="14"/>
        <v>66.70182043978356</v>
      </c>
      <c r="E1814" s="9"/>
      <c r="F1814" s="9">
        <f ca="1">IFERROR(__xludf.DUMMYFUNCTION("""COMPUTED_VALUE"""),43493)</f>
        <v>43493</v>
      </c>
      <c r="G1814" s="9" t="str">
        <f ca="1">IFERROR(__xludf.DUMMYFUNCTION("""COMPUTED_VALUE"""),"1 USD = 139.1516 PKR")</f>
        <v>1 USD = 139.1516 PKR</v>
      </c>
      <c r="H1814" s="9" t="str">
        <f ca="1">IFERROR(__xludf.DUMMYFUNCTION("""COMPUTED_VALUE"""),"USD PKR rate for 28/01/2019")</f>
        <v>USD PKR rate for 28/01/2019</v>
      </c>
      <c r="I1814" s="9"/>
    </row>
    <row r="1815" spans="1:9" ht="14.25" customHeight="1" x14ac:dyDescent="0.3">
      <c r="A1815" s="6">
        <v>41532</v>
      </c>
      <c r="B1815" s="7">
        <v>104.57840000000002</v>
      </c>
      <c r="C1815" s="8">
        <f t="shared" si="15"/>
        <v>109.24339459769148</v>
      </c>
      <c r="D1815" s="9">
        <f t="shared" si="14"/>
        <v>66.704558272580826</v>
      </c>
      <c r="E1815" s="9"/>
      <c r="F1815" s="9">
        <f ca="1">IFERROR(__xludf.DUMMYFUNCTION("""COMPUTED_VALUE"""),43492)</f>
        <v>43492</v>
      </c>
      <c r="G1815" s="9" t="str">
        <f ca="1">IFERROR(__xludf.DUMMYFUNCTION("""COMPUTED_VALUE"""),"1 USD = 139.215 PKR")</f>
        <v>1 USD = 139.215 PKR</v>
      </c>
      <c r="H1815" s="9" t="str">
        <f ca="1">IFERROR(__xludf.DUMMYFUNCTION("""COMPUTED_VALUE"""),"USD PKR rate for 27/01/2019")</f>
        <v>USD PKR rate for 27/01/2019</v>
      </c>
      <c r="I1815" s="9"/>
    </row>
    <row r="1816" spans="1:9" ht="14.25" customHeight="1" x14ac:dyDescent="0.3">
      <c r="A1816" s="6">
        <v>41533</v>
      </c>
      <c r="B1816" s="7">
        <v>104.7709</v>
      </c>
      <c r="C1816" s="8">
        <f t="shared" si="15"/>
        <v>109.26293275350994</v>
      </c>
      <c r="D1816" s="9">
        <f t="shared" si="14"/>
        <v>66.707296105378092</v>
      </c>
      <c r="E1816" s="9"/>
      <c r="F1816" s="9">
        <f ca="1">IFERROR(__xludf.DUMMYFUNCTION("""COMPUTED_VALUE"""),43491)</f>
        <v>43491</v>
      </c>
      <c r="G1816" s="9" t="str">
        <f ca="1">IFERROR(__xludf.DUMMYFUNCTION("""COMPUTED_VALUE"""),"1 USD = 139.2108 PKR")</f>
        <v>1 USD = 139.2108 PKR</v>
      </c>
      <c r="H1816" s="9" t="str">
        <f ca="1">IFERROR(__xludf.DUMMYFUNCTION("""COMPUTED_VALUE"""),"USD PKR rate for 26/01/2019")</f>
        <v>USD PKR rate for 26/01/2019</v>
      </c>
      <c r="I1816" s="9"/>
    </row>
    <row r="1817" spans="1:9" ht="14.25" customHeight="1" x14ac:dyDescent="0.3">
      <c r="A1817" s="6">
        <v>41534</v>
      </c>
      <c r="B1817" s="7">
        <v>104.6568</v>
      </c>
      <c r="C1817" s="8">
        <f t="shared" si="15"/>
        <v>109.28247440372304</v>
      </c>
      <c r="D1817" s="9">
        <f t="shared" si="14"/>
        <v>66.710033938175357</v>
      </c>
      <c r="E1817" s="9"/>
      <c r="F1817" s="9">
        <f ca="1">IFERROR(__xludf.DUMMYFUNCTION("""COMPUTED_VALUE"""),43490)</f>
        <v>43490</v>
      </c>
      <c r="G1817" s="9" t="str">
        <f ca="1">IFERROR(__xludf.DUMMYFUNCTION("""COMPUTED_VALUE"""),"1 USD = 139.1246 PKR")</f>
        <v>1 USD = 139.1246 PKR</v>
      </c>
      <c r="H1817" s="9" t="str">
        <f ca="1">IFERROR(__xludf.DUMMYFUNCTION("""COMPUTED_VALUE"""),"USD PKR rate for 25/01/2019")</f>
        <v>USD PKR rate for 25/01/2019</v>
      </c>
      <c r="I1817" s="9"/>
    </row>
    <row r="1818" spans="1:9" ht="14.25" customHeight="1" x14ac:dyDescent="0.3">
      <c r="A1818" s="6">
        <v>41535</v>
      </c>
      <c r="B1818" s="7">
        <v>104.6999</v>
      </c>
      <c r="C1818" s="8">
        <f t="shared" si="15"/>
        <v>109.30201954895576</v>
      </c>
      <c r="D1818" s="9">
        <f t="shared" si="14"/>
        <v>66.712771770972623</v>
      </c>
      <c r="E1818" s="9"/>
      <c r="F1818" s="9">
        <f ca="1">IFERROR(__xludf.DUMMYFUNCTION("""COMPUTED_VALUE"""),43489)</f>
        <v>43489</v>
      </c>
      <c r="G1818" s="9" t="str">
        <f ca="1">IFERROR(__xludf.DUMMYFUNCTION("""COMPUTED_VALUE"""),"1 USD = 139.5897 PKR")</f>
        <v>1 USD = 139.5897 PKR</v>
      </c>
      <c r="H1818" s="9" t="str">
        <f ca="1">IFERROR(__xludf.DUMMYFUNCTION("""COMPUTED_VALUE"""),"USD PKR rate for 24/01/2019")</f>
        <v>USD PKR rate for 24/01/2019</v>
      </c>
      <c r="I1818" s="9"/>
    </row>
    <row r="1819" spans="1:9" ht="14.25" customHeight="1" x14ac:dyDescent="0.3">
      <c r="A1819" s="6">
        <v>41536</v>
      </c>
      <c r="B1819" s="7">
        <v>105.1412</v>
      </c>
      <c r="C1819" s="8">
        <f t="shared" si="15"/>
        <v>109.32156818983319</v>
      </c>
      <c r="D1819" s="9">
        <f t="shared" si="14"/>
        <v>66.715509603769888</v>
      </c>
      <c r="E1819" s="9"/>
      <c r="F1819" s="9">
        <f ca="1">IFERROR(__xludf.DUMMYFUNCTION("""COMPUTED_VALUE"""),43488)</f>
        <v>43488</v>
      </c>
      <c r="G1819" s="9" t="str">
        <f ca="1">IFERROR(__xludf.DUMMYFUNCTION("""COMPUTED_VALUE"""),"1 USD = 139.5872 PKR")</f>
        <v>1 USD = 139.5872 PKR</v>
      </c>
      <c r="H1819" s="9" t="str">
        <f ca="1">IFERROR(__xludf.DUMMYFUNCTION("""COMPUTED_VALUE"""),"USD PKR rate for 23/01/2019")</f>
        <v>USD PKR rate for 23/01/2019</v>
      </c>
      <c r="I1819" s="9"/>
    </row>
    <row r="1820" spans="1:9" ht="14.25" customHeight="1" x14ac:dyDescent="0.3">
      <c r="A1820" s="6">
        <v>41537</v>
      </c>
      <c r="B1820" s="7">
        <v>104.908</v>
      </c>
      <c r="C1820" s="8">
        <f t="shared" si="15"/>
        <v>109.34112032698049</v>
      </c>
      <c r="D1820" s="9">
        <f t="shared" si="14"/>
        <v>66.718247436567154</v>
      </c>
      <c r="E1820" s="9"/>
      <c r="F1820" s="9">
        <f ca="1">IFERROR(__xludf.DUMMYFUNCTION("""COMPUTED_VALUE"""),43487)</f>
        <v>43487</v>
      </c>
      <c r="G1820" s="9" t="str">
        <f ca="1">IFERROR(__xludf.DUMMYFUNCTION("""COMPUTED_VALUE"""),"1 USD = 139.8773 PKR")</f>
        <v>1 USD = 139.8773 PKR</v>
      </c>
      <c r="H1820" s="9" t="str">
        <f ca="1">IFERROR(__xludf.DUMMYFUNCTION("""COMPUTED_VALUE"""),"USD PKR rate for 22/01/2019")</f>
        <v>USD PKR rate for 22/01/2019</v>
      </c>
      <c r="I1820" s="9"/>
    </row>
    <row r="1821" spans="1:9" ht="14.25" customHeight="1" x14ac:dyDescent="0.3">
      <c r="A1821" s="6">
        <v>41538</v>
      </c>
      <c r="B1821" s="7">
        <v>104.9974</v>
      </c>
      <c r="C1821" s="8">
        <f t="shared" si="15"/>
        <v>109.36067596102288</v>
      </c>
      <c r="D1821" s="9">
        <f t="shared" si="14"/>
        <v>66.720985269364419</v>
      </c>
      <c r="E1821" s="9"/>
      <c r="F1821" s="9">
        <f ca="1">IFERROR(__xludf.DUMMYFUNCTION("""COMPUTED_VALUE"""),43486)</f>
        <v>43486</v>
      </c>
      <c r="G1821" s="9" t="str">
        <f ca="1">IFERROR(__xludf.DUMMYFUNCTION("""COMPUTED_VALUE"""),"1 USD = 139.9215 PKR")</f>
        <v>1 USD = 139.9215 PKR</v>
      </c>
      <c r="H1821" s="9" t="str">
        <f ca="1">IFERROR(__xludf.DUMMYFUNCTION("""COMPUTED_VALUE"""),"USD PKR rate for 21/01/2019")</f>
        <v>USD PKR rate for 21/01/2019</v>
      </c>
      <c r="I1821" s="9"/>
    </row>
    <row r="1822" spans="1:9" ht="14.25" customHeight="1" x14ac:dyDescent="0.3">
      <c r="A1822" s="6">
        <v>41539</v>
      </c>
      <c r="B1822" s="7">
        <v>104.9551</v>
      </c>
      <c r="C1822" s="8">
        <f t="shared" si="15"/>
        <v>109.38023509258599</v>
      </c>
      <c r="D1822" s="9">
        <f t="shared" si="14"/>
        <v>66.723723102161685</v>
      </c>
      <c r="E1822" s="9"/>
      <c r="F1822" s="9">
        <f ca="1">IFERROR(__xludf.DUMMYFUNCTION("""COMPUTED_VALUE"""),43485)</f>
        <v>43485</v>
      </c>
      <c r="G1822" s="9" t="str">
        <f ca="1">IFERROR(__xludf.DUMMYFUNCTION("""COMPUTED_VALUE"""),"1 USD = 139.2 PKR")</f>
        <v>1 USD = 139.2 PKR</v>
      </c>
      <c r="H1822" s="9" t="str">
        <f ca="1">IFERROR(__xludf.DUMMYFUNCTION("""COMPUTED_VALUE"""),"USD PKR rate for 20/01/2019")</f>
        <v>USD PKR rate for 20/01/2019</v>
      </c>
      <c r="I1822" s="9"/>
    </row>
    <row r="1823" spans="1:9" ht="14.25" customHeight="1" x14ac:dyDescent="0.3">
      <c r="A1823" s="6">
        <v>41540</v>
      </c>
      <c r="B1823" s="7">
        <v>105.83150000000001</v>
      </c>
      <c r="C1823" s="8">
        <f t="shared" si="15"/>
        <v>109.39979772229528</v>
      </c>
      <c r="D1823" s="9">
        <f t="shared" si="14"/>
        <v>66.726460934958951</v>
      </c>
      <c r="E1823" s="9"/>
      <c r="F1823" s="9">
        <f ca="1">IFERROR(__xludf.DUMMYFUNCTION("""COMPUTED_VALUE"""),43484)</f>
        <v>43484</v>
      </c>
      <c r="G1823" s="9" t="str">
        <f ca="1">IFERROR(__xludf.DUMMYFUNCTION("""COMPUTED_VALUE"""),"1 USD = 139.1997 PKR")</f>
        <v>1 USD = 139.1997 PKR</v>
      </c>
      <c r="H1823" s="9" t="str">
        <f ca="1">IFERROR(__xludf.DUMMYFUNCTION("""COMPUTED_VALUE"""),"USD PKR rate for 19/01/2019")</f>
        <v>USD PKR rate for 19/01/2019</v>
      </c>
      <c r="I1823" s="9"/>
    </row>
    <row r="1824" spans="1:9" ht="14.25" customHeight="1" x14ac:dyDescent="0.3">
      <c r="A1824" s="6">
        <v>41541</v>
      </c>
      <c r="B1824" s="7">
        <v>105.99660000000002</v>
      </c>
      <c r="C1824" s="8">
        <f t="shared" si="15"/>
        <v>109.41936385077634</v>
      </c>
      <c r="D1824" s="9">
        <f t="shared" si="14"/>
        <v>66.729198767756216</v>
      </c>
      <c r="E1824" s="9"/>
      <c r="F1824" s="9">
        <f ca="1">IFERROR(__xludf.DUMMYFUNCTION("""COMPUTED_VALUE"""),43483)</f>
        <v>43483</v>
      </c>
      <c r="G1824" s="9" t="str">
        <f ca="1">IFERROR(__xludf.DUMMYFUNCTION("""COMPUTED_VALUE"""),"1 USD = 139.1997 PKR")</f>
        <v>1 USD = 139.1997 PKR</v>
      </c>
      <c r="H1824" s="9" t="str">
        <f ca="1">IFERROR(__xludf.DUMMYFUNCTION("""COMPUTED_VALUE"""),"USD PKR rate for 18/01/2019")</f>
        <v>USD PKR rate for 18/01/2019</v>
      </c>
      <c r="I1824" s="9"/>
    </row>
    <row r="1825" spans="1:9" ht="14.25" customHeight="1" x14ac:dyDescent="0.3">
      <c r="A1825" s="6">
        <v>41542</v>
      </c>
      <c r="B1825" s="7">
        <v>106.2642</v>
      </c>
      <c r="C1825" s="8">
        <f t="shared" si="15"/>
        <v>109.43893347865496</v>
      </c>
      <c r="D1825" s="9">
        <f t="shared" si="14"/>
        <v>66.731936600553482</v>
      </c>
      <c r="E1825" s="9"/>
      <c r="F1825" s="9">
        <f ca="1">IFERROR(__xludf.DUMMYFUNCTION("""COMPUTED_VALUE"""),43482)</f>
        <v>43482</v>
      </c>
      <c r="G1825" s="9" t="str">
        <f ca="1">IFERROR(__xludf.DUMMYFUNCTION("""COMPUTED_VALUE"""),"1 USD = 139.5957 PKR")</f>
        <v>1 USD = 139.5957 PKR</v>
      </c>
      <c r="H1825" s="9" t="str">
        <f ca="1">IFERROR(__xludf.DUMMYFUNCTION("""COMPUTED_VALUE"""),"USD PKR rate for 17/01/2019")</f>
        <v>USD PKR rate for 17/01/2019</v>
      </c>
      <c r="I1825" s="9"/>
    </row>
    <row r="1826" spans="1:9" ht="14.25" customHeight="1" x14ac:dyDescent="0.3">
      <c r="A1826" s="6">
        <v>41543</v>
      </c>
      <c r="B1826" s="7">
        <v>105.9121</v>
      </c>
      <c r="C1826" s="8">
        <f t="shared" si="15"/>
        <v>109.45850660655697</v>
      </c>
      <c r="D1826" s="9">
        <f t="shared" si="14"/>
        <v>66.734674433350747</v>
      </c>
      <c r="E1826" s="9"/>
      <c r="F1826" s="9">
        <f ca="1">IFERROR(__xludf.DUMMYFUNCTION("""COMPUTED_VALUE"""),43481)</f>
        <v>43481</v>
      </c>
      <c r="G1826" s="9" t="str">
        <f ca="1">IFERROR(__xludf.DUMMYFUNCTION("""COMPUTED_VALUE"""),"1 USD = 139.6996 PKR")</f>
        <v>1 USD = 139.6996 PKR</v>
      </c>
      <c r="H1826" s="9" t="str">
        <f ca="1">IFERROR(__xludf.DUMMYFUNCTION("""COMPUTED_VALUE"""),"USD PKR rate for 16/01/2019")</f>
        <v>USD PKR rate for 16/01/2019</v>
      </c>
      <c r="I1826" s="9"/>
    </row>
    <row r="1827" spans="1:9" ht="14.25" customHeight="1" x14ac:dyDescent="0.3">
      <c r="A1827" s="6">
        <v>41544</v>
      </c>
      <c r="B1827" s="7">
        <v>105.8232</v>
      </c>
      <c r="C1827" s="8">
        <f t="shared" si="15"/>
        <v>109.4780832351084</v>
      </c>
      <c r="D1827" s="9">
        <f t="shared" si="14"/>
        <v>66.737412266148013</v>
      </c>
      <c r="E1827" s="9"/>
      <c r="F1827" s="9">
        <f ca="1">IFERROR(__xludf.DUMMYFUNCTION("""COMPUTED_VALUE"""),43480)</f>
        <v>43480</v>
      </c>
      <c r="G1827" s="9" t="str">
        <f ca="1">IFERROR(__xludf.DUMMYFUNCTION("""COMPUTED_VALUE"""),"1 USD = 138.9999 PKR")</f>
        <v>1 USD = 138.9999 PKR</v>
      </c>
      <c r="H1827" s="9" t="str">
        <f ca="1">IFERROR(__xludf.DUMMYFUNCTION("""COMPUTED_VALUE"""),"USD PKR rate for 15/01/2019")</f>
        <v>USD PKR rate for 15/01/2019</v>
      </c>
      <c r="I1827" s="9"/>
    </row>
    <row r="1828" spans="1:9" ht="14.25" customHeight="1" x14ac:dyDescent="0.3">
      <c r="A1828" s="6">
        <v>41545</v>
      </c>
      <c r="B1828" s="7">
        <v>105.7323</v>
      </c>
      <c r="C1828" s="8">
        <f t="shared" si="15"/>
        <v>109.49766336493529</v>
      </c>
      <c r="D1828" s="9">
        <f t="shared" si="14"/>
        <v>66.740150098945279</v>
      </c>
      <c r="E1828" s="9"/>
      <c r="F1828" s="9">
        <f ca="1">IFERROR(__xludf.DUMMYFUNCTION("""COMPUTED_VALUE"""),43479)</f>
        <v>43479</v>
      </c>
      <c r="G1828" s="9" t="str">
        <f ca="1">IFERROR(__xludf.DUMMYFUNCTION("""COMPUTED_VALUE"""),"1 USD = 140.0835 PKR")</f>
        <v>1 USD = 140.0835 PKR</v>
      </c>
      <c r="H1828" s="9" t="str">
        <f ca="1">IFERROR(__xludf.DUMMYFUNCTION("""COMPUTED_VALUE"""),"USD PKR rate for 14/01/2019")</f>
        <v>USD PKR rate for 14/01/2019</v>
      </c>
      <c r="I1828" s="9"/>
    </row>
    <row r="1829" spans="1:9" ht="14.25" customHeight="1" x14ac:dyDescent="0.3">
      <c r="A1829" s="6">
        <v>41546</v>
      </c>
      <c r="B1829" s="7">
        <v>105.64630000000001</v>
      </c>
      <c r="C1829" s="8">
        <f t="shared" si="15"/>
        <v>109.51724699666386</v>
      </c>
      <c r="D1829" s="9">
        <f t="shared" si="14"/>
        <v>66.742887931742544</v>
      </c>
      <c r="E1829" s="9"/>
      <c r="F1829" s="9">
        <f ca="1">IFERROR(__xludf.DUMMYFUNCTION("""COMPUTED_VALUE"""),43478)</f>
        <v>43478</v>
      </c>
      <c r="G1829" s="9" t="str">
        <f ca="1">IFERROR(__xludf.DUMMYFUNCTION("""COMPUTED_VALUE"""),"1 USD = 139.8609 PKR")</f>
        <v>1 USD = 139.8609 PKR</v>
      </c>
      <c r="H1829" s="9" t="str">
        <f ca="1">IFERROR(__xludf.DUMMYFUNCTION("""COMPUTED_VALUE"""),"USD PKR rate for 13/01/2019")</f>
        <v>USD PKR rate for 13/01/2019</v>
      </c>
      <c r="I1829" s="9"/>
    </row>
    <row r="1830" spans="1:9" ht="14.25" customHeight="1" x14ac:dyDescent="0.3">
      <c r="A1830" s="6">
        <v>41547</v>
      </c>
      <c r="B1830" s="7">
        <v>105.82900000000001</v>
      </c>
      <c r="C1830" s="8">
        <f t="shared" si="15"/>
        <v>109.53683413092034</v>
      </c>
      <c r="D1830" s="9">
        <f t="shared" si="14"/>
        <v>66.74562576453981</v>
      </c>
      <c r="E1830" s="9"/>
      <c r="F1830" s="9">
        <f ca="1">IFERROR(__xludf.DUMMYFUNCTION("""COMPUTED_VALUE"""),43477)</f>
        <v>43477</v>
      </c>
      <c r="G1830" s="9" t="str">
        <f ca="1">IFERROR(__xludf.DUMMYFUNCTION("""COMPUTED_VALUE"""),"1 USD = 139.8741 PKR")</f>
        <v>1 USD = 139.8741 PKR</v>
      </c>
      <c r="H1830" s="9" t="str">
        <f ca="1">IFERROR(__xludf.DUMMYFUNCTION("""COMPUTED_VALUE"""),"USD PKR rate for 12/01/2019")</f>
        <v>USD PKR rate for 12/01/2019</v>
      </c>
      <c r="I1830" s="9"/>
    </row>
    <row r="1831" spans="1:9" ht="14.25" customHeight="1" x14ac:dyDescent="0.3">
      <c r="A1831" s="6">
        <v>41548</v>
      </c>
      <c r="B1831" s="7">
        <v>105.8197</v>
      </c>
      <c r="C1831" s="8">
        <f t="shared" si="15"/>
        <v>109.55642476833135</v>
      </c>
      <c r="D1831" s="9">
        <f t="shared" si="14"/>
        <v>66.748363597337075</v>
      </c>
      <c r="E1831" s="9"/>
      <c r="F1831" s="9">
        <f ca="1">IFERROR(__xludf.DUMMYFUNCTION("""COMPUTED_VALUE"""),43476)</f>
        <v>43476</v>
      </c>
      <c r="G1831" s="9" t="str">
        <f ca="1">IFERROR(__xludf.DUMMYFUNCTION("""COMPUTED_VALUE"""),"1 USD = 139.8755 PKR")</f>
        <v>1 USD = 139.8755 PKR</v>
      </c>
      <c r="H1831" s="9" t="str">
        <f ca="1">IFERROR(__xludf.DUMMYFUNCTION("""COMPUTED_VALUE"""),"USD PKR rate for 11/01/2019")</f>
        <v>USD PKR rate for 11/01/2019</v>
      </c>
      <c r="I1831" s="9"/>
    </row>
    <row r="1832" spans="1:9" ht="14.25" customHeight="1" x14ac:dyDescent="0.3">
      <c r="A1832" s="6">
        <v>41549</v>
      </c>
      <c r="B1832" s="7">
        <v>105.7323</v>
      </c>
      <c r="C1832" s="8">
        <f t="shared" si="15"/>
        <v>109.57601890952333</v>
      </c>
      <c r="D1832" s="9">
        <f t="shared" si="14"/>
        <v>66.751101430134341</v>
      </c>
      <c r="E1832" s="9"/>
      <c r="F1832" s="9">
        <f ca="1">IFERROR(__xludf.DUMMYFUNCTION("""COMPUTED_VALUE"""),43475)</f>
        <v>43475</v>
      </c>
      <c r="G1832" s="9" t="str">
        <f ca="1">IFERROR(__xludf.DUMMYFUNCTION("""COMPUTED_VALUE"""),"1 USD = 139.7668 PKR")</f>
        <v>1 USD = 139.7668 PKR</v>
      </c>
      <c r="H1832" s="9" t="str">
        <f ca="1">IFERROR(__xludf.DUMMYFUNCTION("""COMPUTED_VALUE"""),"USD PKR rate for 10/01/2019")</f>
        <v>USD PKR rate for 10/01/2019</v>
      </c>
      <c r="I1832" s="9"/>
    </row>
    <row r="1833" spans="1:9" ht="14.25" customHeight="1" x14ac:dyDescent="0.3">
      <c r="A1833" s="6">
        <v>41550</v>
      </c>
      <c r="B1833" s="7">
        <v>105.86920000000002</v>
      </c>
      <c r="C1833" s="8">
        <f t="shared" si="15"/>
        <v>109.59561655512289</v>
      </c>
      <c r="D1833" s="9">
        <f t="shared" si="14"/>
        <v>66.753839262931606</v>
      </c>
      <c r="E1833" s="9"/>
      <c r="F1833" s="9">
        <f ca="1">IFERROR(__xludf.DUMMYFUNCTION("""COMPUTED_VALUE"""),43474)</f>
        <v>43474</v>
      </c>
      <c r="G1833" s="9" t="str">
        <f ca="1">IFERROR(__xludf.DUMMYFUNCTION("""COMPUTED_VALUE"""),"1 USD = 139.9661 PKR")</f>
        <v>1 USD = 139.9661 PKR</v>
      </c>
      <c r="H1833" s="9" t="str">
        <f ca="1">IFERROR(__xludf.DUMMYFUNCTION("""COMPUTED_VALUE"""),"USD PKR rate for 09/01/2019")</f>
        <v>USD PKR rate for 09/01/2019</v>
      </c>
      <c r="I1833" s="9"/>
    </row>
    <row r="1834" spans="1:9" ht="14.25" customHeight="1" x14ac:dyDescent="0.3">
      <c r="A1834" s="6">
        <v>41551</v>
      </c>
      <c r="B1834" s="7">
        <v>106.20229999999999</v>
      </c>
      <c r="C1834" s="8">
        <f t="shared" si="15"/>
        <v>109.61521770575685</v>
      </c>
      <c r="D1834" s="9">
        <f t="shared" si="14"/>
        <v>66.756577095728872</v>
      </c>
      <c r="E1834" s="9"/>
      <c r="F1834" s="9">
        <f ca="1">IFERROR(__xludf.DUMMYFUNCTION("""COMPUTED_VALUE"""),43473)</f>
        <v>43473</v>
      </c>
      <c r="G1834" s="9" t="str">
        <f ca="1">IFERROR(__xludf.DUMMYFUNCTION("""COMPUTED_VALUE"""),"1 USD = 139.3733 PKR")</f>
        <v>1 USD = 139.3733 PKR</v>
      </c>
      <c r="H1834" s="9" t="str">
        <f ca="1">IFERROR(__xludf.DUMMYFUNCTION("""COMPUTED_VALUE"""),"USD PKR rate for 08/01/2019")</f>
        <v>USD PKR rate for 08/01/2019</v>
      </c>
      <c r="I1834" s="9"/>
    </row>
    <row r="1835" spans="1:9" ht="14.25" customHeight="1" x14ac:dyDescent="0.3">
      <c r="A1835" s="6">
        <v>41552</v>
      </c>
      <c r="B1835" s="7">
        <v>106.14190000000001</v>
      </c>
      <c r="C1835" s="8">
        <f t="shared" si="15"/>
        <v>109.63482236205205</v>
      </c>
      <c r="D1835" s="9">
        <f t="shared" si="14"/>
        <v>66.759314928526138</v>
      </c>
      <c r="E1835" s="9"/>
      <c r="F1835" s="9">
        <f ca="1">IFERROR(__xludf.DUMMYFUNCTION("""COMPUTED_VALUE"""),43472)</f>
        <v>43472</v>
      </c>
      <c r="G1835" s="9" t="str">
        <f ca="1">IFERROR(__xludf.DUMMYFUNCTION("""COMPUTED_VALUE"""),"1 USD = 139.0251 PKR")</f>
        <v>1 USD = 139.0251 PKR</v>
      </c>
      <c r="H1835" s="9" t="str">
        <f ca="1">IFERROR(__xludf.DUMMYFUNCTION("""COMPUTED_VALUE"""),"USD PKR rate for 07/01/2019")</f>
        <v>USD PKR rate for 07/01/2019</v>
      </c>
      <c r="I1835" s="9"/>
    </row>
    <row r="1836" spans="1:9" ht="14.25" customHeight="1" x14ac:dyDescent="0.3">
      <c r="A1836" s="6">
        <v>41553</v>
      </c>
      <c r="B1836" s="7">
        <v>106.184</v>
      </c>
      <c r="C1836" s="8">
        <f t="shared" si="15"/>
        <v>109.6544305246355</v>
      </c>
      <c r="D1836" s="9">
        <f t="shared" si="14"/>
        <v>66.762052761323403</v>
      </c>
      <c r="E1836" s="9"/>
      <c r="F1836" s="9">
        <f ca="1">IFERROR(__xludf.DUMMYFUNCTION("""COMPUTED_VALUE"""),43471)</f>
        <v>43471</v>
      </c>
      <c r="G1836" s="9" t="str">
        <f ca="1">IFERROR(__xludf.DUMMYFUNCTION("""COMPUTED_VALUE"""),"1 USD = 139.0042 PKR")</f>
        <v>1 USD = 139.0042 PKR</v>
      </c>
      <c r="H1836" s="9" t="str">
        <f ca="1">IFERROR(__xludf.DUMMYFUNCTION("""COMPUTED_VALUE"""),"USD PKR rate for 06/01/2019")</f>
        <v>USD PKR rate for 06/01/2019</v>
      </c>
      <c r="I1836" s="9"/>
    </row>
    <row r="1837" spans="1:9" ht="14.25" customHeight="1" x14ac:dyDescent="0.3">
      <c r="A1837" s="6">
        <v>41554</v>
      </c>
      <c r="B1837" s="7">
        <v>106.24469999999999</v>
      </c>
      <c r="C1837" s="8">
        <f t="shared" si="15"/>
        <v>109.67404219413427</v>
      </c>
      <c r="D1837" s="9">
        <f t="shared" si="14"/>
        <v>66.764790594120669</v>
      </c>
      <c r="E1837" s="9"/>
      <c r="F1837" s="9">
        <f ca="1">IFERROR(__xludf.DUMMYFUNCTION("""COMPUTED_VALUE"""),43470)</f>
        <v>43470</v>
      </c>
      <c r="G1837" s="9" t="str">
        <f ca="1">IFERROR(__xludf.DUMMYFUNCTION("""COMPUTED_VALUE"""),"1 USD = 138.9961 PKR")</f>
        <v>1 USD = 138.9961 PKR</v>
      </c>
      <c r="H1837" s="9" t="str">
        <f ca="1">IFERROR(__xludf.DUMMYFUNCTION("""COMPUTED_VALUE"""),"USD PKR rate for 05/01/2019")</f>
        <v>USD PKR rate for 05/01/2019</v>
      </c>
      <c r="I1837" s="9"/>
    </row>
    <row r="1838" spans="1:9" ht="14.25" customHeight="1" x14ac:dyDescent="0.3">
      <c r="A1838" s="6">
        <v>41555</v>
      </c>
      <c r="B1838" s="7">
        <v>105.9551</v>
      </c>
      <c r="C1838" s="8">
        <f t="shared" si="15"/>
        <v>109.6936573711756</v>
      </c>
      <c r="D1838" s="9">
        <f t="shared" si="14"/>
        <v>66.767528426917934</v>
      </c>
      <c r="E1838" s="9"/>
      <c r="F1838" s="9">
        <f ca="1">IFERROR(__xludf.DUMMYFUNCTION("""COMPUTED_VALUE"""),43469)</f>
        <v>43469</v>
      </c>
      <c r="G1838" s="9" t="str">
        <f ca="1">IFERROR(__xludf.DUMMYFUNCTION("""COMPUTED_VALUE"""),"1 USD = 138.9943 PKR")</f>
        <v>1 USD = 138.9943 PKR</v>
      </c>
      <c r="H1838" s="9" t="str">
        <f ca="1">IFERROR(__xludf.DUMMYFUNCTION("""COMPUTED_VALUE"""),"USD PKR rate for 04/01/2019")</f>
        <v>USD PKR rate for 04/01/2019</v>
      </c>
      <c r="I1838" s="9"/>
    </row>
    <row r="1839" spans="1:9" ht="14.25" customHeight="1" x14ac:dyDescent="0.3">
      <c r="A1839" s="6">
        <v>41556</v>
      </c>
      <c r="B1839" s="7">
        <v>106.0368</v>
      </c>
      <c r="C1839" s="8">
        <f t="shared" si="15"/>
        <v>109.7132760563867</v>
      </c>
      <c r="D1839" s="9">
        <f t="shared" si="14"/>
        <v>66.7702662597152</v>
      </c>
      <c r="E1839" s="9"/>
      <c r="F1839" s="9">
        <f ca="1">IFERROR(__xludf.DUMMYFUNCTION("""COMPUTED_VALUE"""),43468)</f>
        <v>43468</v>
      </c>
      <c r="G1839" s="9" t="str">
        <f ca="1">IFERROR(__xludf.DUMMYFUNCTION("""COMPUTED_VALUE"""),"1 USD = 139.0471 PKR")</f>
        <v>1 USD = 139.0471 PKR</v>
      </c>
      <c r="H1839" s="9" t="str">
        <f ca="1">IFERROR(__xludf.DUMMYFUNCTION("""COMPUTED_VALUE"""),"USD PKR rate for 03/01/2019")</f>
        <v>USD PKR rate for 03/01/2019</v>
      </c>
      <c r="I1839" s="9"/>
    </row>
    <row r="1840" spans="1:9" ht="14.25" customHeight="1" x14ac:dyDescent="0.3">
      <c r="A1840" s="6">
        <v>41557</v>
      </c>
      <c r="B1840" s="7">
        <v>106.0954</v>
      </c>
      <c r="C1840" s="8">
        <f t="shared" si="15"/>
        <v>109.73289825039519</v>
      </c>
      <c r="D1840" s="9">
        <f t="shared" si="14"/>
        <v>66.773004092512465</v>
      </c>
      <c r="E1840" s="9"/>
      <c r="F1840" s="9">
        <f ca="1">IFERROR(__xludf.DUMMYFUNCTION("""COMPUTED_VALUE"""),43467)</f>
        <v>43467</v>
      </c>
      <c r="G1840" s="9" t="str">
        <f ca="1">IFERROR(__xludf.DUMMYFUNCTION("""COMPUTED_VALUE"""),"1 USD = 139.5414 PKR")</f>
        <v>1 USD = 139.5414 PKR</v>
      </c>
      <c r="H1840" s="9" t="str">
        <f ca="1">IFERROR(__xludf.DUMMYFUNCTION("""COMPUTED_VALUE"""),"USD PKR rate for 02/01/2019")</f>
        <v>USD PKR rate for 02/01/2019</v>
      </c>
      <c r="I1840" s="9"/>
    </row>
    <row r="1841" spans="1:9" ht="14.25" customHeight="1" x14ac:dyDescent="0.3">
      <c r="A1841" s="6">
        <v>41558</v>
      </c>
      <c r="B1841" s="7">
        <v>106.20280000000001</v>
      </c>
      <c r="C1841" s="8">
        <f t="shared" si="15"/>
        <v>109.75252395382856</v>
      </c>
      <c r="D1841" s="9">
        <f t="shared" si="14"/>
        <v>66.775741925309731</v>
      </c>
      <c r="E1841" s="9"/>
      <c r="F1841" s="9">
        <f ca="1">IFERROR(__xludf.DUMMYFUNCTION("""COMPUTED_VALUE"""),43466)</f>
        <v>43466</v>
      </c>
      <c r="G1841" s="9" t="str">
        <f ca="1">IFERROR(__xludf.DUMMYFUNCTION("""COMPUTED_VALUE"""),"1 USD = 139.5406 PKR")</f>
        <v>1 USD = 139.5406 PKR</v>
      </c>
      <c r="H1841" s="9" t="str">
        <f ca="1">IFERROR(__xludf.DUMMYFUNCTION("""COMPUTED_VALUE"""),"USD PKR rate for 01/01/2019")</f>
        <v>USD PKR rate for 01/01/2019</v>
      </c>
      <c r="I1841" s="9"/>
    </row>
    <row r="1842" spans="1:9" ht="14.25" customHeight="1" x14ac:dyDescent="0.3">
      <c r="A1842" s="6">
        <v>41559</v>
      </c>
      <c r="B1842" s="7">
        <v>106.1985</v>
      </c>
      <c r="C1842" s="8">
        <f t="shared" si="15"/>
        <v>109.77215316731443</v>
      </c>
      <c r="D1842" s="9">
        <f t="shared" si="14"/>
        <v>66.778479758106997</v>
      </c>
      <c r="E1842" s="9"/>
      <c r="F1842" s="9">
        <f ca="1">IFERROR(__xludf.DUMMYFUNCTION("""COMPUTED_VALUE"""),43465)</f>
        <v>43465</v>
      </c>
      <c r="G1842" s="9" t="str">
        <f ca="1">IFERROR(__xludf.DUMMYFUNCTION("""COMPUTED_VALUE"""),"1 USD = 139.8502 PKR")</f>
        <v>1 USD = 139.8502 PKR</v>
      </c>
      <c r="H1842" s="9" t="str">
        <f ca="1">IFERROR(__xludf.DUMMYFUNCTION("""COMPUTED_VALUE"""),"USD PKR rate for 31/12/2018")</f>
        <v>USD PKR rate for 31/12/2018</v>
      </c>
      <c r="I1842" s="9"/>
    </row>
    <row r="1843" spans="1:9" ht="14.25" customHeight="1" x14ac:dyDescent="0.3">
      <c r="A1843" s="6">
        <v>41560</v>
      </c>
      <c r="B1843" s="7">
        <v>106.1455</v>
      </c>
      <c r="C1843" s="8">
        <f t="shared" si="15"/>
        <v>109.79178589148057</v>
      </c>
      <c r="D1843" s="9">
        <f t="shared" si="14"/>
        <v>66.781217590904262</v>
      </c>
      <c r="E1843" s="9"/>
      <c r="F1843" s="9">
        <f ca="1">IFERROR(__xludf.DUMMYFUNCTION("""COMPUTED_VALUE"""),43464)</f>
        <v>43464</v>
      </c>
      <c r="G1843" s="9" t="str">
        <f ca="1">IFERROR(__xludf.DUMMYFUNCTION("""COMPUTED_VALUE"""),"1 USD = 139.1272 PKR")</f>
        <v>1 USD = 139.1272 PKR</v>
      </c>
      <c r="H1843" s="9" t="str">
        <f ca="1">IFERROR(__xludf.DUMMYFUNCTION("""COMPUTED_VALUE"""),"USD PKR rate for 30/12/2018")</f>
        <v>USD PKR rate for 30/12/2018</v>
      </c>
      <c r="I1843" s="9"/>
    </row>
    <row r="1844" spans="1:9" ht="14.25" customHeight="1" x14ac:dyDescent="0.3">
      <c r="A1844" s="6">
        <v>41561</v>
      </c>
      <c r="B1844" s="7">
        <v>106.25700000000001</v>
      </c>
      <c r="C1844" s="8">
        <f t="shared" si="15"/>
        <v>109.81142212695489</v>
      </c>
      <c r="D1844" s="9">
        <f t="shared" si="14"/>
        <v>66.783955423701528</v>
      </c>
      <c r="E1844" s="9"/>
      <c r="F1844" s="9">
        <f ca="1">IFERROR(__xludf.DUMMYFUNCTION("""COMPUTED_VALUE"""),43463)</f>
        <v>43463</v>
      </c>
      <c r="G1844" s="9" t="str">
        <f ca="1">IFERROR(__xludf.DUMMYFUNCTION("""COMPUTED_VALUE"""),"1 USD = 139.1247 PKR")</f>
        <v>1 USD = 139.1247 PKR</v>
      </c>
      <c r="H1844" s="9" t="str">
        <f ca="1">IFERROR(__xludf.DUMMYFUNCTION("""COMPUTED_VALUE"""),"USD PKR rate for 29/12/2018")</f>
        <v>USD PKR rate for 29/12/2018</v>
      </c>
      <c r="I1844" s="9"/>
    </row>
    <row r="1845" spans="1:9" ht="14.25" customHeight="1" x14ac:dyDescent="0.3">
      <c r="A1845" s="6">
        <v>41562</v>
      </c>
      <c r="B1845" s="7">
        <v>106.1061</v>
      </c>
      <c r="C1845" s="8">
        <f t="shared" si="15"/>
        <v>109.8310618743654</v>
      </c>
      <c r="D1845" s="9">
        <f t="shared" si="14"/>
        <v>66.786693256498793</v>
      </c>
      <c r="E1845" s="9"/>
      <c r="F1845" s="9">
        <f ca="1">IFERROR(__xludf.DUMMYFUNCTION("""COMPUTED_VALUE"""),43462)</f>
        <v>43462</v>
      </c>
      <c r="G1845" s="9" t="str">
        <f ca="1">IFERROR(__xludf.DUMMYFUNCTION("""COMPUTED_VALUE"""),"1 USD = 139.1247 PKR")</f>
        <v>1 USD = 139.1247 PKR</v>
      </c>
      <c r="H1845" s="9" t="str">
        <f ca="1">IFERROR(__xludf.DUMMYFUNCTION("""COMPUTED_VALUE"""),"USD PKR rate for 28/12/2018")</f>
        <v>USD PKR rate for 28/12/2018</v>
      </c>
      <c r="I1845" s="9"/>
    </row>
    <row r="1846" spans="1:9" ht="14.25" customHeight="1" x14ac:dyDescent="0.3">
      <c r="A1846" s="6">
        <v>41563</v>
      </c>
      <c r="B1846" s="7">
        <v>106.3113</v>
      </c>
      <c r="C1846" s="8">
        <f t="shared" si="15"/>
        <v>109.85070513434015</v>
      </c>
      <c r="D1846" s="9">
        <f t="shared" si="14"/>
        <v>66.789431089296059</v>
      </c>
      <c r="E1846" s="9"/>
      <c r="F1846" s="9">
        <f ca="1">IFERROR(__xludf.DUMMYFUNCTION("""COMPUTED_VALUE"""),43461)</f>
        <v>43461</v>
      </c>
      <c r="G1846" s="9" t="str">
        <f ca="1">IFERROR(__xludf.DUMMYFUNCTION("""COMPUTED_VALUE"""),"1 USD = 139.2765 PKR")</f>
        <v>1 USD = 139.2765 PKR</v>
      </c>
      <c r="H1846" s="9" t="str">
        <f ca="1">IFERROR(__xludf.DUMMYFUNCTION("""COMPUTED_VALUE"""),"USD PKR rate for 27/12/2018")</f>
        <v>USD PKR rate for 27/12/2018</v>
      </c>
      <c r="I1846" s="9"/>
    </row>
    <row r="1847" spans="1:9" ht="14.25" customHeight="1" x14ac:dyDescent="0.3">
      <c r="A1847" s="6">
        <v>41564</v>
      </c>
      <c r="B1847" s="7">
        <v>105.96840000000002</v>
      </c>
      <c r="C1847" s="8">
        <f t="shared" si="15"/>
        <v>109.87035190750741</v>
      </c>
      <c r="D1847" s="9">
        <f t="shared" si="14"/>
        <v>66.792168922093325</v>
      </c>
      <c r="E1847" s="9"/>
      <c r="F1847" s="9">
        <f ca="1">IFERROR(__xludf.DUMMYFUNCTION("""COMPUTED_VALUE"""),43460)</f>
        <v>43460</v>
      </c>
      <c r="G1847" s="9" t="str">
        <f ca="1">IFERROR(__xludf.DUMMYFUNCTION("""COMPUTED_VALUE"""),"1 USD = 139.786 PKR")</f>
        <v>1 USD = 139.786 PKR</v>
      </c>
      <c r="H1847" s="9" t="str">
        <f ca="1">IFERROR(__xludf.DUMMYFUNCTION("""COMPUTED_VALUE"""),"USD PKR rate for 26/12/2018")</f>
        <v>USD PKR rate for 26/12/2018</v>
      </c>
      <c r="I1847" s="9"/>
    </row>
    <row r="1848" spans="1:9" ht="14.25" customHeight="1" x14ac:dyDescent="0.3">
      <c r="A1848" s="6">
        <v>41565</v>
      </c>
      <c r="B1848" s="7">
        <v>105.9958</v>
      </c>
      <c r="C1848" s="8">
        <f t="shared" si="15"/>
        <v>109.89000219449539</v>
      </c>
      <c r="D1848" s="9">
        <f t="shared" si="14"/>
        <v>66.79490675489059</v>
      </c>
      <c r="E1848" s="9"/>
      <c r="F1848" s="9">
        <f ca="1">IFERROR(__xludf.DUMMYFUNCTION("""COMPUTED_VALUE"""),43459)</f>
        <v>43459</v>
      </c>
      <c r="G1848" s="9" t="str">
        <f ca="1">IFERROR(__xludf.DUMMYFUNCTION("""COMPUTED_VALUE"""),"1 USD = 139.5549 PKR")</f>
        <v>1 USD = 139.5549 PKR</v>
      </c>
      <c r="H1848" s="9" t="str">
        <f ca="1">IFERROR(__xludf.DUMMYFUNCTION("""COMPUTED_VALUE"""),"USD PKR rate for 25/12/2018")</f>
        <v>USD PKR rate for 25/12/2018</v>
      </c>
      <c r="I1848" s="9"/>
    </row>
    <row r="1849" spans="1:9" ht="14.25" customHeight="1" x14ac:dyDescent="0.3">
      <c r="A1849" s="6">
        <v>41566</v>
      </c>
      <c r="B1849" s="7">
        <v>105.9007</v>
      </c>
      <c r="C1849" s="8">
        <f t="shared" si="15"/>
        <v>109.90965599593278</v>
      </c>
      <c r="D1849" s="9">
        <f t="shared" si="14"/>
        <v>66.797644587687856</v>
      </c>
      <c r="E1849" s="9"/>
      <c r="F1849" s="9">
        <f ca="1">IFERROR(__xludf.DUMMYFUNCTION("""COMPUTED_VALUE"""),43458)</f>
        <v>43458</v>
      </c>
      <c r="G1849" s="9" t="str">
        <f ca="1">IFERROR(__xludf.DUMMYFUNCTION("""COMPUTED_VALUE"""),"1 USD = 139.6335 PKR")</f>
        <v>1 USD = 139.6335 PKR</v>
      </c>
      <c r="H1849" s="9" t="str">
        <f ca="1">IFERROR(__xludf.DUMMYFUNCTION("""COMPUTED_VALUE"""),"USD PKR rate for 24/12/2018")</f>
        <v>USD PKR rate for 24/12/2018</v>
      </c>
      <c r="I1849" s="9"/>
    </row>
    <row r="1850" spans="1:9" ht="14.25" customHeight="1" x14ac:dyDescent="0.3">
      <c r="A1850" s="6">
        <v>41567</v>
      </c>
      <c r="B1850" s="7">
        <v>106.069</v>
      </c>
      <c r="C1850" s="8">
        <f t="shared" si="15"/>
        <v>109.92931331244796</v>
      </c>
      <c r="D1850" s="9">
        <f t="shared" si="14"/>
        <v>66.800382420485121</v>
      </c>
      <c r="E1850" s="9"/>
      <c r="F1850" s="9">
        <f ca="1">IFERROR(__xludf.DUMMYFUNCTION("""COMPUTED_VALUE"""),43457)</f>
        <v>43457</v>
      </c>
      <c r="G1850" s="9" t="str">
        <f ca="1">IFERROR(__xludf.DUMMYFUNCTION("""COMPUTED_VALUE"""),"1 USD = 139.5735 PKR")</f>
        <v>1 USD = 139.5735 PKR</v>
      </c>
      <c r="H1850" s="9" t="str">
        <f ca="1">IFERROR(__xludf.DUMMYFUNCTION("""COMPUTED_VALUE"""),"USD PKR rate for 23/12/2018")</f>
        <v>USD PKR rate for 23/12/2018</v>
      </c>
      <c r="I1850" s="9"/>
    </row>
    <row r="1851" spans="1:9" ht="14.25" customHeight="1" x14ac:dyDescent="0.3">
      <c r="A1851" s="6">
        <v>41568</v>
      </c>
      <c r="B1851" s="7">
        <v>106.40530000000001</v>
      </c>
      <c r="C1851" s="8">
        <f t="shared" si="15"/>
        <v>109.94897414466966</v>
      </c>
      <c r="D1851" s="9">
        <f t="shared" si="14"/>
        <v>66.803120253282387</v>
      </c>
      <c r="E1851" s="9"/>
      <c r="F1851" s="9">
        <f ca="1">IFERROR(__xludf.DUMMYFUNCTION("""COMPUTED_VALUE"""),43456)</f>
        <v>43456</v>
      </c>
      <c r="G1851" s="9" t="str">
        <f ca="1">IFERROR(__xludf.DUMMYFUNCTION("""COMPUTED_VALUE"""),"1 USD = 139.1505 PKR")</f>
        <v>1 USD = 139.1505 PKR</v>
      </c>
      <c r="H1851" s="9" t="str">
        <f ca="1">IFERROR(__xludf.DUMMYFUNCTION("""COMPUTED_VALUE"""),"USD PKR rate for 22/12/2018")</f>
        <v>USD PKR rate for 22/12/2018</v>
      </c>
      <c r="I1851" s="9"/>
    </row>
    <row r="1852" spans="1:9" ht="14.25" customHeight="1" x14ac:dyDescent="0.3">
      <c r="A1852" s="6">
        <v>41569</v>
      </c>
      <c r="B1852" s="7">
        <v>106.19119999999999</v>
      </c>
      <c r="C1852" s="8">
        <f t="shared" si="15"/>
        <v>109.96863849322666</v>
      </c>
      <c r="D1852" s="9">
        <f t="shared" si="14"/>
        <v>66.805858086079652</v>
      </c>
      <c r="E1852" s="9"/>
      <c r="F1852" s="9">
        <f ca="1">IFERROR(__xludf.DUMMYFUNCTION("""COMPUTED_VALUE"""),43455)</f>
        <v>43455</v>
      </c>
      <c r="G1852" s="9" t="str">
        <f ca="1">IFERROR(__xludf.DUMMYFUNCTION("""COMPUTED_VALUE"""),"1 USD = 139.15 PKR")</f>
        <v>1 USD = 139.15 PKR</v>
      </c>
      <c r="H1852" s="9" t="str">
        <f ca="1">IFERROR(__xludf.DUMMYFUNCTION("""COMPUTED_VALUE"""),"USD PKR rate for 21/12/2018")</f>
        <v>USD PKR rate for 21/12/2018</v>
      </c>
      <c r="I1852" s="9"/>
    </row>
    <row r="1853" spans="1:9" ht="14.25" customHeight="1" x14ac:dyDescent="0.3">
      <c r="A1853" s="6">
        <v>41570</v>
      </c>
      <c r="B1853" s="7">
        <v>106.461</v>
      </c>
      <c r="C1853" s="8">
        <f t="shared" si="15"/>
        <v>109.98830635874785</v>
      </c>
      <c r="D1853" s="9">
        <f t="shared" si="14"/>
        <v>66.808595918876918</v>
      </c>
      <c r="E1853" s="9"/>
      <c r="F1853" s="9">
        <f ca="1">IFERROR(__xludf.DUMMYFUNCTION("""COMPUTED_VALUE"""),43454)</f>
        <v>43454</v>
      </c>
      <c r="G1853" s="9" t="str">
        <f ca="1">IFERROR(__xludf.DUMMYFUNCTION("""COMPUTED_VALUE"""),"1 USD = 138.9999 PKR")</f>
        <v>1 USD = 138.9999 PKR</v>
      </c>
      <c r="H1853" s="9" t="str">
        <f ca="1">IFERROR(__xludf.DUMMYFUNCTION("""COMPUTED_VALUE"""),"USD PKR rate for 20/12/2018")</f>
        <v>USD PKR rate for 20/12/2018</v>
      </c>
      <c r="I1853" s="9"/>
    </row>
    <row r="1854" spans="1:9" ht="14.25" customHeight="1" x14ac:dyDescent="0.3">
      <c r="A1854" s="6">
        <v>41571</v>
      </c>
      <c r="B1854" s="7">
        <v>106.4028</v>
      </c>
      <c r="C1854" s="8">
        <f t="shared" si="15"/>
        <v>110.00797774186222</v>
      </c>
      <c r="D1854" s="9">
        <f t="shared" si="14"/>
        <v>66.811333751674184</v>
      </c>
      <c r="E1854" s="9"/>
      <c r="F1854" s="9">
        <f ca="1">IFERROR(__xludf.DUMMYFUNCTION("""COMPUTED_VALUE"""),43453)</f>
        <v>43453</v>
      </c>
      <c r="G1854" s="9" t="str">
        <f ca="1">IFERROR(__xludf.DUMMYFUNCTION("""COMPUTED_VALUE"""),"1 USD = 139.5823 PKR")</f>
        <v>1 USD = 139.5823 PKR</v>
      </c>
      <c r="H1854" s="9" t="str">
        <f ca="1">IFERROR(__xludf.DUMMYFUNCTION("""COMPUTED_VALUE"""),"USD PKR rate for 19/12/2018")</f>
        <v>USD PKR rate for 19/12/2018</v>
      </c>
      <c r="I1854" s="9"/>
    </row>
    <row r="1855" spans="1:9" ht="14.25" customHeight="1" x14ac:dyDescent="0.3">
      <c r="A1855" s="6">
        <v>41572</v>
      </c>
      <c r="B1855" s="7">
        <v>106.3121</v>
      </c>
      <c r="C1855" s="8">
        <f t="shared" si="15"/>
        <v>110.02765264319891</v>
      </c>
      <c r="D1855" s="9">
        <f t="shared" si="14"/>
        <v>66.814071584471449</v>
      </c>
      <c r="E1855" s="9"/>
      <c r="F1855" s="9">
        <f ca="1">IFERROR(__xludf.DUMMYFUNCTION("""COMPUTED_VALUE"""),43452)</f>
        <v>43452</v>
      </c>
      <c r="G1855" s="9" t="str">
        <f ca="1">IFERROR(__xludf.DUMMYFUNCTION("""COMPUTED_VALUE"""),"1 USD = 139.6958 PKR")</f>
        <v>1 USD = 139.6958 PKR</v>
      </c>
      <c r="H1855" s="9" t="str">
        <f ca="1">IFERROR(__xludf.DUMMYFUNCTION("""COMPUTED_VALUE"""),"USD PKR rate for 18/12/2018")</f>
        <v>USD PKR rate for 18/12/2018</v>
      </c>
      <c r="I1855" s="9"/>
    </row>
    <row r="1856" spans="1:9" ht="14.25" customHeight="1" x14ac:dyDescent="0.3">
      <c r="A1856" s="6">
        <v>41573</v>
      </c>
      <c r="B1856" s="7">
        <v>106.2604</v>
      </c>
      <c r="C1856" s="8">
        <f t="shared" si="15"/>
        <v>110.04733106338713</v>
      </c>
      <c r="D1856" s="9">
        <f t="shared" si="14"/>
        <v>66.816809417268715</v>
      </c>
      <c r="E1856" s="9"/>
      <c r="F1856" s="9">
        <f ca="1">IFERROR(__xludf.DUMMYFUNCTION("""COMPUTED_VALUE"""),43451)</f>
        <v>43451</v>
      </c>
      <c r="G1856" s="9" t="str">
        <f ca="1">IFERROR(__xludf.DUMMYFUNCTION("""COMPUTED_VALUE"""),"1 USD = 139.5614 PKR")</f>
        <v>1 USD = 139.5614 PKR</v>
      </c>
      <c r="H1856" s="9" t="str">
        <f ca="1">IFERROR(__xludf.DUMMYFUNCTION("""COMPUTED_VALUE"""),"USD PKR rate for 17/12/2018")</f>
        <v>USD PKR rate for 17/12/2018</v>
      </c>
      <c r="I1856" s="9"/>
    </row>
    <row r="1857" spans="1:9" ht="14.25" customHeight="1" x14ac:dyDescent="0.3">
      <c r="A1857" s="6">
        <v>41574</v>
      </c>
      <c r="B1857" s="7">
        <v>106.34</v>
      </c>
      <c r="C1857" s="8">
        <f t="shared" si="15"/>
        <v>110.06701300305615</v>
      </c>
      <c r="D1857" s="9">
        <f t="shared" si="14"/>
        <v>66.81954725006598</v>
      </c>
      <c r="E1857" s="9"/>
      <c r="F1857" s="9">
        <f ca="1">IFERROR(__xludf.DUMMYFUNCTION("""COMPUTED_VALUE"""),43450)</f>
        <v>43450</v>
      </c>
      <c r="G1857" s="9" t="str">
        <f ca="1">IFERROR(__xludf.DUMMYFUNCTION("""COMPUTED_VALUE"""),"1 USD = 139.5231 PKR")</f>
        <v>1 USD = 139.5231 PKR</v>
      </c>
      <c r="H1857" s="9" t="str">
        <f ca="1">IFERROR(__xludf.DUMMYFUNCTION("""COMPUTED_VALUE"""),"USD PKR rate for 16/12/2018")</f>
        <v>USD PKR rate for 16/12/2018</v>
      </c>
      <c r="I1857" s="9"/>
    </row>
    <row r="1858" spans="1:9" ht="14.25" customHeight="1" x14ac:dyDescent="0.3">
      <c r="A1858" s="6">
        <v>41575</v>
      </c>
      <c r="B1858" s="7">
        <v>106.509</v>
      </c>
      <c r="C1858" s="8">
        <f t="shared" si="15"/>
        <v>110.08669846283561</v>
      </c>
      <c r="D1858" s="9">
        <f t="shared" si="14"/>
        <v>66.822285082863246</v>
      </c>
      <c r="E1858" s="9"/>
      <c r="F1858" s="9">
        <f ca="1">IFERROR(__xludf.DUMMYFUNCTION("""COMPUTED_VALUE"""),43449)</f>
        <v>43449</v>
      </c>
      <c r="G1858" s="9" t="str">
        <f ca="1">IFERROR(__xludf.DUMMYFUNCTION("""COMPUTED_VALUE"""),"1 USD = 139.0998 PKR")</f>
        <v>1 USD = 139.0998 PKR</v>
      </c>
      <c r="H1858" s="9" t="str">
        <f ca="1">IFERROR(__xludf.DUMMYFUNCTION("""COMPUTED_VALUE"""),"USD PKR rate for 15/12/2018")</f>
        <v>USD PKR rate for 15/12/2018</v>
      </c>
      <c r="I1858" s="9"/>
    </row>
    <row r="1859" spans="1:9" ht="14.25" customHeight="1" x14ac:dyDescent="0.3">
      <c r="A1859" s="6">
        <v>41576</v>
      </c>
      <c r="B1859" s="7">
        <v>106.6738</v>
      </c>
      <c r="C1859" s="8">
        <f t="shared" si="15"/>
        <v>110.10638744335503</v>
      </c>
      <c r="D1859" s="9">
        <f t="shared" si="14"/>
        <v>66.825022915660512</v>
      </c>
      <c r="E1859" s="9"/>
      <c r="F1859" s="9">
        <f ca="1">IFERROR(__xludf.DUMMYFUNCTION("""COMPUTED_VALUE"""),43448)</f>
        <v>43448</v>
      </c>
      <c r="G1859" s="9" t="str">
        <f ca="1">IFERROR(__xludf.DUMMYFUNCTION("""COMPUTED_VALUE"""),"1 USD = 139.0998 PKR")</f>
        <v>1 USD = 139.0998 PKR</v>
      </c>
      <c r="H1859" s="9" t="str">
        <f ca="1">IFERROR(__xludf.DUMMYFUNCTION("""COMPUTED_VALUE"""),"USD PKR rate for 14/12/2018")</f>
        <v>USD PKR rate for 14/12/2018</v>
      </c>
      <c r="I1859" s="9"/>
    </row>
    <row r="1860" spans="1:9" ht="14.25" customHeight="1" x14ac:dyDescent="0.3">
      <c r="A1860" s="6">
        <v>41577</v>
      </c>
      <c r="B1860" s="7">
        <v>106.7225</v>
      </c>
      <c r="C1860" s="8">
        <f t="shared" si="15"/>
        <v>110.12607994524402</v>
      </c>
      <c r="D1860" s="9">
        <f t="shared" si="14"/>
        <v>66.827760748457777</v>
      </c>
      <c r="E1860" s="9"/>
      <c r="F1860" s="9">
        <f ca="1">IFERROR(__xludf.DUMMYFUNCTION("""COMPUTED_VALUE"""),43447)</f>
        <v>43447</v>
      </c>
      <c r="G1860" s="9" t="str">
        <f ca="1">IFERROR(__xludf.DUMMYFUNCTION("""COMPUTED_VALUE"""),"1 USD = 139.5161 PKR")</f>
        <v>1 USD = 139.5161 PKR</v>
      </c>
      <c r="H1860" s="9" t="str">
        <f ca="1">IFERROR(__xludf.DUMMYFUNCTION("""COMPUTED_VALUE"""),"USD PKR rate for 13/12/2018")</f>
        <v>USD PKR rate for 13/12/2018</v>
      </c>
      <c r="I1860" s="9"/>
    </row>
    <row r="1861" spans="1:9" ht="14.25" customHeight="1" x14ac:dyDescent="0.3">
      <c r="A1861" s="6">
        <v>41578</v>
      </c>
      <c r="B1861" s="7">
        <v>106.86539999999999</v>
      </c>
      <c r="C1861" s="8">
        <f t="shared" si="15"/>
        <v>110.14577596913242</v>
      </c>
      <c r="D1861" s="9">
        <f t="shared" si="14"/>
        <v>66.830498581255043</v>
      </c>
      <c r="E1861" s="9"/>
      <c r="F1861" s="9">
        <f ca="1">IFERROR(__xludf.DUMMYFUNCTION("""COMPUTED_VALUE"""),43446)</f>
        <v>43446</v>
      </c>
      <c r="G1861" s="9" t="str">
        <f ca="1">IFERROR(__xludf.DUMMYFUNCTION("""COMPUTED_VALUE"""),"1 USD = 139.052 PKR")</f>
        <v>1 USD = 139.052 PKR</v>
      </c>
      <c r="H1861" s="9" t="str">
        <f ca="1">IFERROR(__xludf.DUMMYFUNCTION("""COMPUTED_VALUE"""),"USD PKR rate for 12/12/2018")</f>
        <v>USD PKR rate for 12/12/2018</v>
      </c>
      <c r="I1861" s="9"/>
    </row>
    <row r="1862" spans="1:9" ht="14.25" customHeight="1" x14ac:dyDescent="0.3">
      <c r="A1862" s="6">
        <v>41579</v>
      </c>
      <c r="B1862" s="7">
        <v>107.0132</v>
      </c>
      <c r="C1862" s="8">
        <f t="shared" si="15"/>
        <v>110.16547551565013</v>
      </c>
      <c r="D1862" s="9">
        <f t="shared" si="14"/>
        <v>66.833236414052308</v>
      </c>
      <c r="E1862" s="9"/>
      <c r="F1862" s="9">
        <f ca="1">IFERROR(__xludf.DUMMYFUNCTION("""COMPUTED_VALUE"""),43445)</f>
        <v>43445</v>
      </c>
      <c r="G1862" s="9" t="str">
        <f ca="1">IFERROR(__xludf.DUMMYFUNCTION("""COMPUTED_VALUE"""),"1 USD = 139.4567 PKR")</f>
        <v>1 USD = 139.4567 PKR</v>
      </c>
      <c r="H1862" s="9" t="str">
        <f ca="1">IFERROR(__xludf.DUMMYFUNCTION("""COMPUTED_VALUE"""),"USD PKR rate for 11/12/2018")</f>
        <v>USD PKR rate for 11/12/2018</v>
      </c>
      <c r="I1862" s="9"/>
    </row>
    <row r="1863" spans="1:9" ht="14.25" customHeight="1" x14ac:dyDescent="0.3">
      <c r="A1863" s="6">
        <v>41580</v>
      </c>
      <c r="B1863" s="7">
        <v>106.9294</v>
      </c>
      <c r="C1863" s="8">
        <f t="shared" si="15"/>
        <v>110.18517858542718</v>
      </c>
      <c r="D1863" s="9">
        <f t="shared" si="14"/>
        <v>66.835974246849574</v>
      </c>
      <c r="E1863" s="9"/>
      <c r="F1863" s="9">
        <f ca="1">IFERROR(__xludf.DUMMYFUNCTION("""COMPUTED_VALUE"""),43444)</f>
        <v>43444</v>
      </c>
      <c r="G1863" s="9" t="str">
        <f ca="1">IFERROR(__xludf.DUMMYFUNCTION("""COMPUTED_VALUE"""),"1 USD = 138.9701 PKR")</f>
        <v>1 USD = 138.9701 PKR</v>
      </c>
      <c r="H1863" s="9" t="str">
        <f ca="1">IFERROR(__xludf.DUMMYFUNCTION("""COMPUTED_VALUE"""),"USD PKR rate for 10/12/2018")</f>
        <v>USD PKR rate for 10/12/2018</v>
      </c>
      <c r="I1863" s="9"/>
    </row>
    <row r="1864" spans="1:9" ht="14.25" customHeight="1" x14ac:dyDescent="0.3">
      <c r="A1864" s="6">
        <v>41581</v>
      </c>
      <c r="B1864" s="7">
        <v>107.17189999999999</v>
      </c>
      <c r="C1864" s="8">
        <f t="shared" si="15"/>
        <v>110.20488517909369</v>
      </c>
      <c r="D1864" s="9">
        <f t="shared" si="14"/>
        <v>66.838712079646839</v>
      </c>
      <c r="E1864" s="9"/>
      <c r="F1864" s="9">
        <f ca="1">IFERROR(__xludf.DUMMYFUNCTION("""COMPUTED_VALUE"""),43443)</f>
        <v>43443</v>
      </c>
      <c r="G1864" s="9" t="str">
        <f ca="1">IFERROR(__xludf.DUMMYFUNCTION("""COMPUTED_VALUE"""),"1 USD = 138.9253 PKR")</f>
        <v>1 USD = 138.9253 PKR</v>
      </c>
      <c r="H1864" s="9" t="str">
        <f ca="1">IFERROR(__xludf.DUMMYFUNCTION("""COMPUTED_VALUE"""),"USD PKR rate for 09/12/2018")</f>
        <v>USD PKR rate for 09/12/2018</v>
      </c>
      <c r="I1864" s="9"/>
    </row>
    <row r="1865" spans="1:9" ht="14.25" customHeight="1" x14ac:dyDescent="0.3">
      <c r="A1865" s="6">
        <v>41582</v>
      </c>
      <c r="B1865" s="7">
        <v>107.1041</v>
      </c>
      <c r="C1865" s="8">
        <f t="shared" si="15"/>
        <v>110.22459529727992</v>
      </c>
      <c r="D1865" s="9">
        <f t="shared" si="14"/>
        <v>66.841449912444105</v>
      </c>
      <c r="E1865" s="9"/>
      <c r="F1865" s="9">
        <f ca="1">IFERROR(__xludf.DUMMYFUNCTION("""COMPUTED_VALUE"""),43442)</f>
        <v>43442</v>
      </c>
      <c r="G1865" s="9" t="str">
        <f ca="1">IFERROR(__xludf.DUMMYFUNCTION("""COMPUTED_VALUE"""),"1 USD = 138.7502 PKR")</f>
        <v>1 USD = 138.7502 PKR</v>
      </c>
      <c r="H1865" s="9" t="str">
        <f ca="1">IFERROR(__xludf.DUMMYFUNCTION("""COMPUTED_VALUE"""),"USD PKR rate for 08/12/2018")</f>
        <v>USD PKR rate for 08/12/2018</v>
      </c>
      <c r="I1865" s="9"/>
    </row>
    <row r="1866" spans="1:9" ht="14.25" customHeight="1" x14ac:dyDescent="0.3">
      <c r="A1866" s="6">
        <v>41583</v>
      </c>
      <c r="B1866" s="7">
        <v>107.32429999999999</v>
      </c>
      <c r="C1866" s="8">
        <f t="shared" si="15"/>
        <v>110.24430894061609</v>
      </c>
      <c r="D1866" s="9">
        <f t="shared" si="14"/>
        <v>66.844187745241371</v>
      </c>
      <c r="E1866" s="9"/>
      <c r="F1866" s="9">
        <f ca="1">IFERROR(__xludf.DUMMYFUNCTION("""COMPUTED_VALUE"""),43441)</f>
        <v>43441</v>
      </c>
      <c r="G1866" s="9" t="str">
        <f ca="1">IFERROR(__xludf.DUMMYFUNCTION("""COMPUTED_VALUE"""),"1 USD = 138.7502 PKR")</f>
        <v>1 USD = 138.7502 PKR</v>
      </c>
      <c r="H1866" s="9" t="str">
        <f ca="1">IFERROR(__xludf.DUMMYFUNCTION("""COMPUTED_VALUE"""),"USD PKR rate for 07/12/2018")</f>
        <v>USD PKR rate for 07/12/2018</v>
      </c>
      <c r="I1866" s="9"/>
    </row>
    <row r="1867" spans="1:9" ht="14.25" customHeight="1" x14ac:dyDescent="0.3">
      <c r="A1867" s="6">
        <v>41584</v>
      </c>
      <c r="B1867" s="7">
        <v>107.25190000000001</v>
      </c>
      <c r="C1867" s="8">
        <f t="shared" si="15"/>
        <v>110.26402610973292</v>
      </c>
      <c r="D1867" s="9">
        <f t="shared" si="14"/>
        <v>66.846925578038636</v>
      </c>
      <c r="E1867" s="9"/>
      <c r="F1867" s="9">
        <f ca="1">IFERROR(__xludf.DUMMYFUNCTION("""COMPUTED_VALUE"""),43440)</f>
        <v>43440</v>
      </c>
      <c r="G1867" s="9" t="str">
        <f ca="1">IFERROR(__xludf.DUMMYFUNCTION("""COMPUTED_VALUE"""),"1 USD = 138.6298 PKR")</f>
        <v>1 USD = 138.6298 PKR</v>
      </c>
      <c r="H1867" s="9" t="str">
        <f ca="1">IFERROR(__xludf.DUMMYFUNCTION("""COMPUTED_VALUE"""),"USD PKR rate for 06/12/2018")</f>
        <v>USD PKR rate for 06/12/2018</v>
      </c>
      <c r="I1867" s="9"/>
    </row>
    <row r="1868" spans="1:9" ht="14.25" customHeight="1" x14ac:dyDescent="0.3">
      <c r="A1868" s="6">
        <v>41585</v>
      </c>
      <c r="B1868" s="7">
        <v>107.36190000000001</v>
      </c>
      <c r="C1868" s="8">
        <f t="shared" si="15"/>
        <v>110.2837468052609</v>
      </c>
      <c r="D1868" s="9">
        <f t="shared" si="14"/>
        <v>66.849663410835902</v>
      </c>
      <c r="E1868" s="9"/>
      <c r="F1868" s="9">
        <f ca="1">IFERROR(__xludf.DUMMYFUNCTION("""COMPUTED_VALUE"""),43439)</f>
        <v>43439</v>
      </c>
      <c r="G1868" s="9" t="str">
        <f ca="1">IFERROR(__xludf.DUMMYFUNCTION("""COMPUTED_VALUE"""),"1 USD = 138.5471 PKR")</f>
        <v>1 USD = 138.5471 PKR</v>
      </c>
      <c r="H1868" s="9" t="str">
        <f ca="1">IFERROR(__xludf.DUMMYFUNCTION("""COMPUTED_VALUE"""),"USD PKR rate for 05/12/2018")</f>
        <v>USD PKR rate for 05/12/2018</v>
      </c>
      <c r="I1868" s="9"/>
    </row>
    <row r="1869" spans="1:9" ht="14.25" customHeight="1" x14ac:dyDescent="0.3">
      <c r="A1869" s="6">
        <v>41586</v>
      </c>
      <c r="B1869" s="7">
        <v>107.35360000000001</v>
      </c>
      <c r="C1869" s="8">
        <f t="shared" si="15"/>
        <v>110.3034710278307</v>
      </c>
      <c r="D1869" s="9">
        <f t="shared" si="14"/>
        <v>66.852401243633167</v>
      </c>
      <c r="E1869" s="9"/>
      <c r="F1869" s="9">
        <f ca="1">IFERROR(__xludf.DUMMYFUNCTION("""COMPUTED_VALUE"""),43438)</f>
        <v>43438</v>
      </c>
      <c r="G1869" s="9" t="str">
        <f ca="1">IFERROR(__xludf.DUMMYFUNCTION("""COMPUTED_VALUE"""),"1 USD = 137.5967 PKR")</f>
        <v>1 USD = 137.5967 PKR</v>
      </c>
      <c r="H1869" s="9" t="str">
        <f ca="1">IFERROR(__xludf.DUMMYFUNCTION("""COMPUTED_VALUE"""),"USD PKR rate for 04/12/2018")</f>
        <v>USD PKR rate for 04/12/2018</v>
      </c>
      <c r="I1869" s="9"/>
    </row>
    <row r="1870" spans="1:9" ht="14.25" customHeight="1" x14ac:dyDescent="0.3">
      <c r="A1870" s="6">
        <v>41587</v>
      </c>
      <c r="B1870" s="7">
        <v>107.443</v>
      </c>
      <c r="C1870" s="8">
        <f t="shared" si="15"/>
        <v>110.32319877807313</v>
      </c>
      <c r="D1870" s="9">
        <f t="shared" si="14"/>
        <v>66.855139076430433</v>
      </c>
      <c r="E1870" s="9"/>
      <c r="F1870" s="9">
        <f ca="1">IFERROR(__xludf.DUMMYFUNCTION("""COMPUTED_VALUE"""),43437)</f>
        <v>43437</v>
      </c>
      <c r="G1870" s="9" t="str">
        <f ca="1">IFERROR(__xludf.DUMMYFUNCTION("""COMPUTED_VALUE"""),"1 USD = 138.9462 PKR")</f>
        <v>1 USD = 138.9462 PKR</v>
      </c>
      <c r="H1870" s="9" t="str">
        <f ca="1">IFERROR(__xludf.DUMMYFUNCTION("""COMPUTED_VALUE"""),"USD PKR rate for 03/12/2018")</f>
        <v>USD PKR rate for 03/12/2018</v>
      </c>
      <c r="I1870" s="9"/>
    </row>
    <row r="1871" spans="1:9" ht="14.25" customHeight="1" x14ac:dyDescent="0.3">
      <c r="A1871" s="6">
        <v>41588</v>
      </c>
      <c r="B1871" s="7">
        <v>107.57470000000001</v>
      </c>
      <c r="C1871" s="8">
        <f t="shared" si="15"/>
        <v>110.34293005661912</v>
      </c>
      <c r="D1871" s="9">
        <f t="shared" si="14"/>
        <v>66.857876909227699</v>
      </c>
      <c r="E1871" s="9"/>
      <c r="F1871" s="9">
        <f ca="1">IFERROR(__xludf.DUMMYFUNCTION("""COMPUTED_VALUE"""),43436)</f>
        <v>43436</v>
      </c>
      <c r="G1871" s="9" t="str">
        <f ca="1">IFERROR(__xludf.DUMMYFUNCTION("""COMPUTED_VALUE"""),"1 USD = 139.5656 PKR")</f>
        <v>1 USD = 139.5656 PKR</v>
      </c>
      <c r="H1871" s="9" t="str">
        <f ca="1">IFERROR(__xludf.DUMMYFUNCTION("""COMPUTED_VALUE"""),"USD PKR rate for 02/12/2018")</f>
        <v>USD PKR rate for 02/12/2018</v>
      </c>
      <c r="I1871" s="9"/>
    </row>
    <row r="1872" spans="1:9" ht="14.25" customHeight="1" x14ac:dyDescent="0.3">
      <c r="A1872" s="6">
        <v>41589</v>
      </c>
      <c r="B1872" s="7">
        <v>107.4218</v>
      </c>
      <c r="C1872" s="8">
        <f t="shared" si="15"/>
        <v>110.3626648640997</v>
      </c>
      <c r="D1872" s="9">
        <f t="shared" si="14"/>
        <v>66.860614742024964</v>
      </c>
      <c r="E1872" s="9"/>
      <c r="F1872" s="9">
        <f ca="1">IFERROR(__xludf.DUMMYFUNCTION("""COMPUTED_VALUE"""),43435)</f>
        <v>43435</v>
      </c>
      <c r="G1872" s="9" t="str">
        <f ca="1">IFERROR(__xludf.DUMMYFUNCTION("""COMPUTED_VALUE"""),"1 USD = 134.1847 PKR")</f>
        <v>1 USD = 134.1847 PKR</v>
      </c>
      <c r="H1872" s="9" t="str">
        <f ca="1">IFERROR(__xludf.DUMMYFUNCTION("""COMPUTED_VALUE"""),"USD PKR rate for 01/12/2018")</f>
        <v>USD PKR rate for 01/12/2018</v>
      </c>
      <c r="I1872" s="9"/>
    </row>
    <row r="1873" spans="1:9" ht="14.25" customHeight="1" x14ac:dyDescent="0.3">
      <c r="A1873" s="6">
        <v>41590</v>
      </c>
      <c r="B1873" s="7">
        <v>107.52419999999999</v>
      </c>
      <c r="C1873" s="8">
        <f t="shared" si="15"/>
        <v>110.38240320114603</v>
      </c>
      <c r="D1873" s="9">
        <f t="shared" si="14"/>
        <v>66.86335257482223</v>
      </c>
      <c r="E1873" s="9"/>
      <c r="F1873" s="9">
        <f ca="1">IFERROR(__xludf.DUMMYFUNCTION("""COMPUTED_VALUE"""),43434)</f>
        <v>43434</v>
      </c>
      <c r="G1873" s="9" t="str">
        <f ca="1">IFERROR(__xludf.DUMMYFUNCTION("""COMPUTED_VALUE"""),"1 USD = 134.1902 PKR")</f>
        <v>1 USD = 134.1902 PKR</v>
      </c>
      <c r="H1873" s="9" t="str">
        <f ca="1">IFERROR(__xludf.DUMMYFUNCTION("""COMPUTED_VALUE"""),"USD PKR rate for 30/11/2018")</f>
        <v>USD PKR rate for 30/11/2018</v>
      </c>
      <c r="I1873" s="9"/>
    </row>
    <row r="1874" spans="1:9" ht="14.25" customHeight="1" x14ac:dyDescent="0.3">
      <c r="A1874" s="6">
        <v>41591</v>
      </c>
      <c r="B1874" s="7">
        <v>107.38079999999999</v>
      </c>
      <c r="C1874" s="8">
        <f t="shared" si="15"/>
        <v>110.40214506838939</v>
      </c>
      <c r="D1874" s="9">
        <f t="shared" si="14"/>
        <v>66.866090407619495</v>
      </c>
      <c r="E1874" s="9"/>
      <c r="F1874" s="9">
        <f ca="1">IFERROR(__xludf.DUMMYFUNCTION("""COMPUTED_VALUE"""),43433)</f>
        <v>43433</v>
      </c>
      <c r="G1874" s="9" t="str">
        <f ca="1">IFERROR(__xludf.DUMMYFUNCTION("""COMPUTED_VALUE"""),"1 USD = 134.3128 PKR")</f>
        <v>1 USD = 134.3128 PKR</v>
      </c>
      <c r="H1874" s="9" t="str">
        <f ca="1">IFERROR(__xludf.DUMMYFUNCTION("""COMPUTED_VALUE"""),"USD PKR rate for 29/11/2018")</f>
        <v>USD PKR rate for 29/11/2018</v>
      </c>
      <c r="I1874" s="9"/>
    </row>
    <row r="1875" spans="1:9" ht="14.25" customHeight="1" x14ac:dyDescent="0.3">
      <c r="A1875" s="6">
        <v>41592</v>
      </c>
      <c r="B1875" s="7">
        <v>107.51479999999999</v>
      </c>
      <c r="C1875" s="8">
        <f t="shared" si="15"/>
        <v>110.42189046646102</v>
      </c>
      <c r="D1875" s="9">
        <f t="shared" si="14"/>
        <v>66.868828240416761</v>
      </c>
      <c r="E1875" s="9"/>
      <c r="F1875" s="9">
        <f ca="1">IFERROR(__xludf.DUMMYFUNCTION("""COMPUTED_VALUE"""),43432)</f>
        <v>43432</v>
      </c>
      <c r="G1875" s="9" t="str">
        <f ca="1">IFERROR(__xludf.DUMMYFUNCTION("""COMPUTED_VALUE"""),"1 USD = 134.5551 PKR")</f>
        <v>1 USD = 134.5551 PKR</v>
      </c>
      <c r="H1875" s="9" t="str">
        <f ca="1">IFERROR(__xludf.DUMMYFUNCTION("""COMPUTED_VALUE"""),"USD PKR rate for 28/11/2018")</f>
        <v>USD PKR rate for 28/11/2018</v>
      </c>
      <c r="I1875" s="9"/>
    </row>
    <row r="1876" spans="1:9" ht="14.25" customHeight="1" x14ac:dyDescent="0.3">
      <c r="A1876" s="6">
        <v>41593</v>
      </c>
      <c r="B1876" s="7">
        <v>107.1768</v>
      </c>
      <c r="C1876" s="8">
        <f t="shared" si="15"/>
        <v>110.44163939599261</v>
      </c>
      <c r="D1876" s="9">
        <f t="shared" si="14"/>
        <v>66.871566073214026</v>
      </c>
      <c r="E1876" s="9"/>
      <c r="F1876" s="9">
        <f ca="1">IFERROR(__xludf.DUMMYFUNCTION("""COMPUTED_VALUE"""),43431)</f>
        <v>43431</v>
      </c>
      <c r="G1876" s="9" t="str">
        <f ca="1">IFERROR(__xludf.DUMMYFUNCTION("""COMPUTED_VALUE"""),"1 USD = 134.6281 PKR")</f>
        <v>1 USD = 134.6281 PKR</v>
      </c>
      <c r="H1876" s="9" t="str">
        <f ca="1">IFERROR(__xludf.DUMMYFUNCTION("""COMPUTED_VALUE"""),"USD PKR rate for 27/11/2018")</f>
        <v>USD PKR rate for 27/11/2018</v>
      </c>
      <c r="I1876" s="9"/>
    </row>
    <row r="1877" spans="1:9" ht="14.25" customHeight="1" x14ac:dyDescent="0.3">
      <c r="A1877" s="6">
        <v>41594</v>
      </c>
      <c r="B1877" s="7">
        <v>107.15819999999999</v>
      </c>
      <c r="C1877" s="8">
        <f t="shared" si="15"/>
        <v>110.46139185761569</v>
      </c>
      <c r="D1877" s="9">
        <f t="shared" si="14"/>
        <v>66.874303906011292</v>
      </c>
      <c r="E1877" s="9"/>
      <c r="F1877" s="9">
        <f ca="1">IFERROR(__xludf.DUMMYFUNCTION("""COMPUTED_VALUE"""),43430)</f>
        <v>43430</v>
      </c>
      <c r="G1877" s="9" t="str">
        <f ca="1">IFERROR(__xludf.DUMMYFUNCTION("""COMPUTED_VALUE"""),"1 USD = 134.4475 PKR")</f>
        <v>1 USD = 134.4475 PKR</v>
      </c>
      <c r="H1877" s="9" t="str">
        <f ca="1">IFERROR(__xludf.DUMMYFUNCTION("""COMPUTED_VALUE"""),"USD PKR rate for 26/11/2018")</f>
        <v>USD PKR rate for 26/11/2018</v>
      </c>
      <c r="I1877" s="9"/>
    </row>
    <row r="1878" spans="1:9" ht="14.25" customHeight="1" x14ac:dyDescent="0.3">
      <c r="A1878" s="6">
        <v>41595</v>
      </c>
      <c r="B1878" s="7">
        <v>107.2414</v>
      </c>
      <c r="C1878" s="8">
        <f t="shared" si="15"/>
        <v>110.48114785196195</v>
      </c>
      <c r="D1878" s="9">
        <f t="shared" si="14"/>
        <v>66.877041738808558</v>
      </c>
      <c r="E1878" s="9"/>
      <c r="F1878" s="9">
        <f ca="1">IFERROR(__xludf.DUMMYFUNCTION("""COMPUTED_VALUE"""),43429)</f>
        <v>43429</v>
      </c>
      <c r="G1878" s="9" t="str">
        <f ca="1">IFERROR(__xludf.DUMMYFUNCTION("""COMPUTED_VALUE"""),"1 USD = 134.4535 PKR")</f>
        <v>1 USD = 134.4535 PKR</v>
      </c>
      <c r="H1878" s="9" t="str">
        <f ca="1">IFERROR(__xludf.DUMMYFUNCTION("""COMPUTED_VALUE"""),"USD PKR rate for 25/11/2018")</f>
        <v>USD PKR rate for 25/11/2018</v>
      </c>
      <c r="I1878" s="9"/>
    </row>
    <row r="1879" spans="1:9" ht="14.25" customHeight="1" x14ac:dyDescent="0.3">
      <c r="A1879" s="6">
        <v>41596</v>
      </c>
      <c r="B1879" s="7">
        <v>107.3597</v>
      </c>
      <c r="C1879" s="8">
        <f t="shared" si="15"/>
        <v>110.5009073796632</v>
      </c>
      <c r="D1879" s="9">
        <f t="shared" si="14"/>
        <v>66.879779571605823</v>
      </c>
      <c r="E1879" s="9"/>
      <c r="F1879" s="9">
        <f ca="1">IFERROR(__xludf.DUMMYFUNCTION("""COMPUTED_VALUE"""),43428)</f>
        <v>43428</v>
      </c>
      <c r="G1879" s="9" t="str">
        <f ca="1">IFERROR(__xludf.DUMMYFUNCTION("""COMPUTED_VALUE"""),"1 USD = 134.4301 PKR")</f>
        <v>1 USD = 134.4301 PKR</v>
      </c>
      <c r="H1879" s="9" t="str">
        <f ca="1">IFERROR(__xludf.DUMMYFUNCTION("""COMPUTED_VALUE"""),"USD PKR rate for 24/11/2018")</f>
        <v>USD PKR rate for 24/11/2018</v>
      </c>
      <c r="I1879" s="9"/>
    </row>
    <row r="1880" spans="1:9" ht="14.25" customHeight="1" x14ac:dyDescent="0.3">
      <c r="A1880" s="6">
        <v>41597</v>
      </c>
      <c r="B1880" s="7">
        <v>107.51609999999999</v>
      </c>
      <c r="C1880" s="8">
        <f t="shared" si="15"/>
        <v>110.52067044135143</v>
      </c>
      <c r="D1880" s="9">
        <f t="shared" si="14"/>
        <v>66.882517404403089</v>
      </c>
      <c r="E1880" s="9"/>
      <c r="F1880" s="9">
        <f ca="1">IFERROR(__xludf.DUMMYFUNCTION("""COMPUTED_VALUE"""),43427)</f>
        <v>43427</v>
      </c>
      <c r="G1880" s="9" t="str">
        <f ca="1">IFERROR(__xludf.DUMMYFUNCTION("""COMPUTED_VALUE"""),"1 USD = 134.4302 PKR")</f>
        <v>1 USD = 134.4302 PKR</v>
      </c>
      <c r="H1880" s="9" t="str">
        <f ca="1">IFERROR(__xludf.DUMMYFUNCTION("""COMPUTED_VALUE"""),"USD PKR rate for 23/11/2018")</f>
        <v>USD PKR rate for 23/11/2018</v>
      </c>
      <c r="I1880" s="9"/>
    </row>
    <row r="1881" spans="1:9" ht="14.25" customHeight="1" x14ac:dyDescent="0.3">
      <c r="A1881" s="6">
        <v>41598</v>
      </c>
      <c r="B1881" s="7">
        <v>107.68429999999999</v>
      </c>
      <c r="C1881" s="8">
        <f t="shared" si="15"/>
        <v>110.54043703765865</v>
      </c>
      <c r="D1881" s="9">
        <f t="shared" si="14"/>
        <v>66.885255237200354</v>
      </c>
      <c r="E1881" s="9"/>
      <c r="F1881" s="9">
        <f ca="1">IFERROR(__xludf.DUMMYFUNCTION("""COMPUTED_VALUE"""),43426)</f>
        <v>43426</v>
      </c>
      <c r="G1881" s="9" t="str">
        <f ca="1">IFERROR(__xludf.DUMMYFUNCTION("""COMPUTED_VALUE"""),"1 USD = 134.5507 PKR")</f>
        <v>1 USD = 134.5507 PKR</v>
      </c>
      <c r="H1881" s="9" t="str">
        <f ca="1">IFERROR(__xludf.DUMMYFUNCTION("""COMPUTED_VALUE"""),"USD PKR rate for 22/11/2018")</f>
        <v>USD PKR rate for 22/11/2018</v>
      </c>
      <c r="I1881" s="9"/>
    </row>
    <row r="1882" spans="1:9" ht="14.25" customHeight="1" x14ac:dyDescent="0.3">
      <c r="A1882" s="6">
        <v>41599</v>
      </c>
      <c r="B1882" s="7">
        <v>107.7508</v>
      </c>
      <c r="C1882" s="8">
        <f t="shared" si="15"/>
        <v>110.56020716921705</v>
      </c>
      <c r="D1882" s="9">
        <f t="shared" si="14"/>
        <v>66.88799306999762</v>
      </c>
      <c r="E1882" s="9"/>
      <c r="F1882" s="9">
        <f ca="1">IFERROR(__xludf.DUMMYFUNCTION("""COMPUTED_VALUE"""),43425)</f>
        <v>43425</v>
      </c>
      <c r="G1882" s="9" t="str">
        <f ca="1">IFERROR(__xludf.DUMMYFUNCTION("""COMPUTED_VALUE"""),"1 USD = 134.3446 PKR")</f>
        <v>1 USD = 134.3446 PKR</v>
      </c>
      <c r="H1882" s="9" t="str">
        <f ca="1">IFERROR(__xludf.DUMMYFUNCTION("""COMPUTED_VALUE"""),"USD PKR rate for 21/11/2018")</f>
        <v>USD PKR rate for 21/11/2018</v>
      </c>
      <c r="I1882" s="9"/>
    </row>
    <row r="1883" spans="1:9" ht="14.25" customHeight="1" x14ac:dyDescent="0.3">
      <c r="A1883" s="6">
        <v>41600</v>
      </c>
      <c r="B1883" s="7">
        <v>107.625</v>
      </c>
      <c r="C1883" s="8">
        <f t="shared" si="15"/>
        <v>110.57998083665889</v>
      </c>
      <c r="D1883" s="9">
        <f t="shared" si="14"/>
        <v>66.890730902794886</v>
      </c>
      <c r="E1883" s="9"/>
      <c r="F1883" s="9">
        <f ca="1">IFERROR(__xludf.DUMMYFUNCTION("""COMPUTED_VALUE"""),43424)</f>
        <v>43424</v>
      </c>
      <c r="G1883" s="9" t="str">
        <f ca="1">IFERROR(__xludf.DUMMYFUNCTION("""COMPUTED_VALUE"""),"1 USD = 134.3952 PKR")</f>
        <v>1 USD = 134.3952 PKR</v>
      </c>
      <c r="H1883" s="9" t="str">
        <f ca="1">IFERROR(__xludf.DUMMYFUNCTION("""COMPUTED_VALUE"""),"USD PKR rate for 20/11/2018")</f>
        <v>USD PKR rate for 20/11/2018</v>
      </c>
      <c r="I1883" s="9"/>
    </row>
    <row r="1884" spans="1:9" ht="14.25" customHeight="1" x14ac:dyDescent="0.3">
      <c r="A1884" s="6">
        <v>41601</v>
      </c>
      <c r="B1884" s="7">
        <v>107.5932</v>
      </c>
      <c r="C1884" s="8">
        <f t="shared" si="15"/>
        <v>110.59975804061649</v>
      </c>
      <c r="D1884" s="9">
        <f t="shared" si="14"/>
        <v>66.893468735592151</v>
      </c>
      <c r="E1884" s="9"/>
      <c r="F1884" s="9">
        <f ca="1">IFERROR(__xludf.DUMMYFUNCTION("""COMPUTED_VALUE"""),43423)</f>
        <v>43423</v>
      </c>
      <c r="G1884" s="9" t="str">
        <f ca="1">IFERROR(__xludf.DUMMYFUNCTION("""COMPUTED_VALUE"""),"1 USD = 134.1281 PKR")</f>
        <v>1 USD = 134.1281 PKR</v>
      </c>
      <c r="H1884" s="9" t="str">
        <f ca="1">IFERROR(__xludf.DUMMYFUNCTION("""COMPUTED_VALUE"""),"USD PKR rate for 19/11/2018")</f>
        <v>USD PKR rate for 19/11/2018</v>
      </c>
      <c r="I1884" s="9"/>
    </row>
    <row r="1885" spans="1:9" ht="14.25" customHeight="1" x14ac:dyDescent="0.3">
      <c r="A1885" s="6">
        <v>41602</v>
      </c>
      <c r="B1885" s="7">
        <v>107.51390000000001</v>
      </c>
      <c r="C1885" s="8">
        <f t="shared" si="15"/>
        <v>110.61953878172251</v>
      </c>
      <c r="D1885" s="9">
        <f t="shared" si="14"/>
        <v>66.896206568389417</v>
      </c>
      <c r="E1885" s="9"/>
      <c r="F1885" s="9">
        <f ca="1">IFERROR(__xludf.DUMMYFUNCTION("""COMPUTED_VALUE"""),43422)</f>
        <v>43422</v>
      </c>
      <c r="G1885" s="9" t="str">
        <f ca="1">IFERROR(__xludf.DUMMYFUNCTION("""COMPUTED_VALUE"""),"1 USD = 133.4996 PKR")</f>
        <v>1 USD = 133.4996 PKR</v>
      </c>
      <c r="H1885" s="9" t="str">
        <f ca="1">IFERROR(__xludf.DUMMYFUNCTION("""COMPUTED_VALUE"""),"USD PKR rate for 18/11/2018")</f>
        <v>USD PKR rate for 18/11/2018</v>
      </c>
      <c r="I1885" s="9"/>
    </row>
    <row r="1886" spans="1:9" ht="14.25" customHeight="1" x14ac:dyDescent="0.3">
      <c r="A1886" s="6">
        <v>41603</v>
      </c>
      <c r="B1886" s="7">
        <v>107.8137</v>
      </c>
      <c r="C1886" s="8">
        <f t="shared" si="15"/>
        <v>110.63932306060953</v>
      </c>
      <c r="D1886" s="9">
        <f t="shared" si="14"/>
        <v>66.898944401186682</v>
      </c>
      <c r="E1886" s="9"/>
      <c r="F1886" s="9">
        <f ca="1">IFERROR(__xludf.DUMMYFUNCTION("""COMPUTED_VALUE"""),43421)</f>
        <v>43421</v>
      </c>
      <c r="G1886" s="9" t="str">
        <f ca="1">IFERROR(__xludf.DUMMYFUNCTION("""COMPUTED_VALUE"""),"1 USD = 133.3738 PKR")</f>
        <v>1 USD = 133.3738 PKR</v>
      </c>
      <c r="H1886" s="9" t="str">
        <f ca="1">IFERROR(__xludf.DUMMYFUNCTION("""COMPUTED_VALUE"""),"USD PKR rate for 17/11/2018")</f>
        <v>USD PKR rate for 17/11/2018</v>
      </c>
      <c r="I1886" s="9"/>
    </row>
    <row r="1887" spans="1:9" ht="14.25" customHeight="1" x14ac:dyDescent="0.3">
      <c r="A1887" s="6">
        <v>41604</v>
      </c>
      <c r="B1887" s="7">
        <v>108.24469999999999</v>
      </c>
      <c r="C1887" s="8">
        <f t="shared" si="15"/>
        <v>110.65911087791021</v>
      </c>
      <c r="D1887" s="9">
        <f t="shared" si="14"/>
        <v>66.901682233983948</v>
      </c>
      <c r="E1887" s="9"/>
      <c r="F1887" s="9">
        <f ca="1">IFERROR(__xludf.DUMMYFUNCTION("""COMPUTED_VALUE"""),43420)</f>
        <v>43420</v>
      </c>
      <c r="G1887" s="9" t="str">
        <f ca="1">IFERROR(__xludf.DUMMYFUNCTION("""COMPUTED_VALUE"""),"1 USD = 133.9994 PKR")</f>
        <v>1 USD = 133.9994 PKR</v>
      </c>
      <c r="H1887" s="9" t="str">
        <f ca="1">IFERROR(__xludf.DUMMYFUNCTION("""COMPUTED_VALUE"""),"USD PKR rate for 16/11/2018")</f>
        <v>USD PKR rate for 16/11/2018</v>
      </c>
      <c r="I1887" s="9"/>
    </row>
    <row r="1888" spans="1:9" ht="14.25" customHeight="1" x14ac:dyDescent="0.3">
      <c r="A1888" s="6">
        <v>41605</v>
      </c>
      <c r="B1888" s="7">
        <v>108.28630000000001</v>
      </c>
      <c r="C1888" s="8">
        <f t="shared" si="15"/>
        <v>110.67890223425746</v>
      </c>
      <c r="D1888" s="9">
        <f t="shared" si="14"/>
        <v>66.904420066781213</v>
      </c>
      <c r="E1888" s="9"/>
      <c r="F1888" s="9">
        <f ca="1">IFERROR(__xludf.DUMMYFUNCTION("""COMPUTED_VALUE"""),43419)</f>
        <v>43419</v>
      </c>
      <c r="G1888" s="9" t="str">
        <f ca="1">IFERROR(__xludf.DUMMYFUNCTION("""COMPUTED_VALUE"""),"1 USD = 133.9951 PKR")</f>
        <v>1 USD = 133.9951 PKR</v>
      </c>
      <c r="H1888" s="9" t="str">
        <f ca="1">IFERROR(__xludf.DUMMYFUNCTION("""COMPUTED_VALUE"""),"USD PKR rate for 15/11/2018")</f>
        <v>USD PKR rate for 15/11/2018</v>
      </c>
      <c r="I1888" s="9"/>
    </row>
    <row r="1889" spans="1:9" ht="14.25" customHeight="1" x14ac:dyDescent="0.3">
      <c r="A1889" s="6">
        <v>41606</v>
      </c>
      <c r="B1889" s="7">
        <v>108.3706</v>
      </c>
      <c r="C1889" s="8">
        <f t="shared" si="15"/>
        <v>110.69869713028419</v>
      </c>
      <c r="D1889" s="9">
        <f t="shared" si="14"/>
        <v>66.907157899578479</v>
      </c>
      <c r="E1889" s="9"/>
      <c r="F1889" s="9">
        <f ca="1">IFERROR(__xludf.DUMMYFUNCTION("""COMPUTED_VALUE"""),43418)</f>
        <v>43418</v>
      </c>
      <c r="G1889" s="9" t="str">
        <f ca="1">IFERROR(__xludf.DUMMYFUNCTION("""COMPUTED_VALUE"""),"1 USD = 134.248 PKR")</f>
        <v>1 USD = 134.248 PKR</v>
      </c>
      <c r="H1889" s="9" t="str">
        <f ca="1">IFERROR(__xludf.DUMMYFUNCTION("""COMPUTED_VALUE"""),"USD PKR rate for 14/11/2018")</f>
        <v>USD PKR rate for 14/11/2018</v>
      </c>
      <c r="I1889" s="9"/>
    </row>
    <row r="1890" spans="1:9" ht="14.25" customHeight="1" x14ac:dyDescent="0.3">
      <c r="A1890" s="6">
        <v>41607</v>
      </c>
      <c r="B1890" s="7">
        <v>108.473</v>
      </c>
      <c r="C1890" s="8">
        <f t="shared" si="15"/>
        <v>110.71849556662349</v>
      </c>
      <c r="D1890" s="9">
        <f t="shared" si="14"/>
        <v>66.909895732375745</v>
      </c>
      <c r="E1890" s="9"/>
      <c r="F1890" s="9">
        <f ca="1">IFERROR(__xludf.DUMMYFUNCTION("""COMPUTED_VALUE"""),43417)</f>
        <v>43417</v>
      </c>
      <c r="G1890" s="9" t="str">
        <f ca="1">IFERROR(__xludf.DUMMYFUNCTION("""COMPUTED_VALUE"""),"1 USD = 132.9979 PKR")</f>
        <v>1 USD = 132.9979 PKR</v>
      </c>
      <c r="H1890" s="9" t="str">
        <f ca="1">IFERROR(__xludf.DUMMYFUNCTION("""COMPUTED_VALUE"""),"USD PKR rate for 13/11/2018")</f>
        <v>USD PKR rate for 13/11/2018</v>
      </c>
      <c r="I1890" s="9"/>
    </row>
    <row r="1891" spans="1:9" ht="14.25" customHeight="1" x14ac:dyDescent="0.3">
      <c r="A1891" s="6">
        <v>41608</v>
      </c>
      <c r="B1891" s="7">
        <v>108.4653</v>
      </c>
      <c r="C1891" s="8">
        <f t="shared" si="15"/>
        <v>110.73829754390854</v>
      </c>
      <c r="D1891" s="9">
        <f t="shared" si="14"/>
        <v>66.91263356517301</v>
      </c>
      <c r="E1891" s="9"/>
      <c r="F1891" s="9">
        <f ca="1">IFERROR(__xludf.DUMMYFUNCTION("""COMPUTED_VALUE"""),43416)</f>
        <v>43416</v>
      </c>
      <c r="G1891" s="9" t="str">
        <f ca="1">IFERROR(__xludf.DUMMYFUNCTION("""COMPUTED_VALUE"""),"1 USD = 134.1787 PKR")</f>
        <v>1 USD = 134.1787 PKR</v>
      </c>
      <c r="H1891" s="9" t="str">
        <f ca="1">IFERROR(__xludf.DUMMYFUNCTION("""COMPUTED_VALUE"""),"USD PKR rate for 12/11/2018")</f>
        <v>USD PKR rate for 12/11/2018</v>
      </c>
      <c r="I1891" s="9"/>
    </row>
    <row r="1892" spans="1:9" ht="14.25" customHeight="1" x14ac:dyDescent="0.3">
      <c r="A1892" s="6">
        <v>41609</v>
      </c>
      <c r="B1892" s="7">
        <v>108.53919999999999</v>
      </c>
      <c r="C1892" s="8">
        <f t="shared" si="15"/>
        <v>110.75810306277266</v>
      </c>
      <c r="D1892" s="9">
        <f t="shared" si="14"/>
        <v>66.915371397970276</v>
      </c>
      <c r="E1892" s="9"/>
      <c r="F1892" s="9">
        <f ca="1">IFERROR(__xludf.DUMMYFUNCTION("""COMPUTED_VALUE"""),43415)</f>
        <v>43415</v>
      </c>
      <c r="G1892" s="9" t="str">
        <f ca="1">IFERROR(__xludf.DUMMYFUNCTION("""COMPUTED_VALUE"""),"1 USD = 133.9212 PKR")</f>
        <v>1 USD = 133.9212 PKR</v>
      </c>
      <c r="H1892" s="9" t="str">
        <f ca="1">IFERROR(__xludf.DUMMYFUNCTION("""COMPUTED_VALUE"""),"USD PKR rate for 11/11/2018")</f>
        <v>USD PKR rate for 11/11/2018</v>
      </c>
      <c r="I1892" s="9"/>
    </row>
    <row r="1893" spans="1:9" ht="14.25" customHeight="1" x14ac:dyDescent="0.3">
      <c r="A1893" s="6">
        <v>41610</v>
      </c>
      <c r="B1893" s="7">
        <v>108.51309999999999</v>
      </c>
      <c r="C1893" s="8">
        <f t="shared" si="15"/>
        <v>110.77791212384913</v>
      </c>
      <c r="D1893" s="9">
        <f t="shared" si="14"/>
        <v>66.918109230767541</v>
      </c>
      <c r="E1893" s="9"/>
      <c r="F1893" s="9">
        <f ca="1">IFERROR(__xludf.DUMMYFUNCTION("""COMPUTED_VALUE"""),43414)</f>
        <v>43414</v>
      </c>
      <c r="G1893" s="9" t="str">
        <f ca="1">IFERROR(__xludf.DUMMYFUNCTION("""COMPUTED_VALUE"""),"1 USD = 134.0022 PKR")</f>
        <v>1 USD = 134.0022 PKR</v>
      </c>
      <c r="H1893" s="9" t="str">
        <f ca="1">IFERROR(__xludf.DUMMYFUNCTION("""COMPUTED_VALUE"""),"USD PKR rate for 10/11/2018")</f>
        <v>USD PKR rate for 10/11/2018</v>
      </c>
      <c r="I1893" s="9"/>
    </row>
    <row r="1894" spans="1:9" ht="14.25" customHeight="1" x14ac:dyDescent="0.3">
      <c r="A1894" s="6">
        <v>41611</v>
      </c>
      <c r="B1894" s="7">
        <v>108.5827</v>
      </c>
      <c r="C1894" s="8">
        <f t="shared" si="15"/>
        <v>110.79772472777168</v>
      </c>
      <c r="D1894" s="9">
        <f t="shared" si="14"/>
        <v>66.920847063564807</v>
      </c>
      <c r="E1894" s="9"/>
      <c r="F1894" s="9">
        <f ca="1">IFERROR(__xludf.DUMMYFUNCTION("""COMPUTED_VALUE"""),43413)</f>
        <v>43413</v>
      </c>
      <c r="G1894" s="9" t="str">
        <f ca="1">IFERROR(__xludf.DUMMYFUNCTION("""COMPUTED_VALUE"""),"1 USD = 133.9999 PKR")</f>
        <v>1 USD = 133.9999 PKR</v>
      </c>
      <c r="H1894" s="9" t="str">
        <f ca="1">IFERROR(__xludf.DUMMYFUNCTION("""COMPUTED_VALUE"""),"USD PKR rate for 09/11/2018")</f>
        <v>USD PKR rate for 09/11/2018</v>
      </c>
      <c r="I1894" s="9"/>
    </row>
    <row r="1895" spans="1:9" ht="14.25" customHeight="1" x14ac:dyDescent="0.3">
      <c r="A1895" s="6">
        <v>41612</v>
      </c>
      <c r="B1895" s="7">
        <v>108.56659999999999</v>
      </c>
      <c r="C1895" s="8">
        <f t="shared" si="15"/>
        <v>110.81754087517386</v>
      </c>
      <c r="D1895" s="9">
        <f t="shared" si="14"/>
        <v>66.923584896362073</v>
      </c>
      <c r="E1895" s="9"/>
      <c r="F1895" s="9">
        <f ca="1">IFERROR(__xludf.DUMMYFUNCTION("""COMPUTED_VALUE"""),43412)</f>
        <v>43412</v>
      </c>
      <c r="G1895" s="9" t="str">
        <f ca="1">IFERROR(__xludf.DUMMYFUNCTION("""COMPUTED_VALUE"""),"1 USD = 133.1872 PKR")</f>
        <v>1 USD = 133.1872 PKR</v>
      </c>
      <c r="H1895" s="9" t="str">
        <f ca="1">IFERROR(__xludf.DUMMYFUNCTION("""COMPUTED_VALUE"""),"USD PKR rate for 08/11/2018")</f>
        <v>USD PKR rate for 08/11/2018</v>
      </c>
      <c r="I1895" s="9"/>
    </row>
    <row r="1896" spans="1:9" ht="14.25" customHeight="1" x14ac:dyDescent="0.3">
      <c r="A1896" s="6">
        <v>41613</v>
      </c>
      <c r="B1896" s="7">
        <v>108.55929999999999</v>
      </c>
      <c r="C1896" s="8">
        <f t="shared" si="15"/>
        <v>110.8373605666894</v>
      </c>
      <c r="D1896" s="9">
        <f t="shared" si="14"/>
        <v>66.926322729159338</v>
      </c>
      <c r="E1896" s="9"/>
      <c r="F1896" s="9">
        <f ca="1">IFERROR(__xludf.DUMMYFUNCTION("""COMPUTED_VALUE"""),43411)</f>
        <v>43411</v>
      </c>
      <c r="G1896" s="9" t="str">
        <f ca="1">IFERROR(__xludf.DUMMYFUNCTION("""COMPUTED_VALUE"""),"1 USD = 133.6548 PKR")</f>
        <v>1 USD = 133.6548 PKR</v>
      </c>
      <c r="H1896" s="9" t="str">
        <f ca="1">IFERROR(__xludf.DUMMYFUNCTION("""COMPUTED_VALUE"""),"USD PKR rate for 07/11/2018")</f>
        <v>USD PKR rate for 07/11/2018</v>
      </c>
      <c r="I1896" s="9"/>
    </row>
    <row r="1897" spans="1:9" ht="14.25" customHeight="1" x14ac:dyDescent="0.3">
      <c r="A1897" s="6">
        <v>41614</v>
      </c>
      <c r="B1897" s="7">
        <v>108.4063</v>
      </c>
      <c r="C1897" s="8">
        <f t="shared" si="15"/>
        <v>110.85718380295218</v>
      </c>
      <c r="D1897" s="9">
        <f t="shared" si="14"/>
        <v>66.929060561956604</v>
      </c>
      <c r="E1897" s="9"/>
      <c r="F1897" s="9">
        <f ca="1">IFERROR(__xludf.DUMMYFUNCTION("""COMPUTED_VALUE"""),43410)</f>
        <v>43410</v>
      </c>
      <c r="G1897" s="9" t="str">
        <f ca="1">IFERROR(__xludf.DUMMYFUNCTION("""COMPUTED_VALUE"""),"1 USD = 133.6319 PKR")</f>
        <v>1 USD = 133.6319 PKR</v>
      </c>
      <c r="H1897" s="9" t="str">
        <f ca="1">IFERROR(__xludf.DUMMYFUNCTION("""COMPUTED_VALUE"""),"USD PKR rate for 06/11/2018")</f>
        <v>USD PKR rate for 06/11/2018</v>
      </c>
      <c r="I1897" s="9"/>
    </row>
    <row r="1898" spans="1:9" ht="14.25" customHeight="1" x14ac:dyDescent="0.3">
      <c r="A1898" s="6">
        <v>41615</v>
      </c>
      <c r="B1898" s="7">
        <v>108.3171</v>
      </c>
      <c r="C1898" s="8">
        <f t="shared" si="15"/>
        <v>110.87701058459618</v>
      </c>
      <c r="D1898" s="9">
        <f t="shared" si="14"/>
        <v>66.931798394753869</v>
      </c>
      <c r="E1898" s="9"/>
      <c r="F1898" s="9">
        <f ca="1">IFERROR(__xludf.DUMMYFUNCTION("""COMPUTED_VALUE"""),43409)</f>
        <v>43409</v>
      </c>
      <c r="G1898" s="9" t="str">
        <f ca="1">IFERROR(__xludf.DUMMYFUNCTION("""COMPUTED_VALUE"""),"1 USD = 133.6033 PKR")</f>
        <v>1 USD = 133.6033 PKR</v>
      </c>
      <c r="H1898" s="9" t="str">
        <f ca="1">IFERROR(__xludf.DUMMYFUNCTION("""COMPUTED_VALUE"""),"USD PKR rate for 05/11/2018")</f>
        <v>USD PKR rate for 05/11/2018</v>
      </c>
      <c r="I1898" s="9"/>
    </row>
    <row r="1899" spans="1:9" ht="14.25" customHeight="1" x14ac:dyDescent="0.3">
      <c r="A1899" s="6">
        <v>41616</v>
      </c>
      <c r="B1899" s="7">
        <v>108.32550000000001</v>
      </c>
      <c r="C1899" s="8">
        <f t="shared" si="15"/>
        <v>110.89684091225548</v>
      </c>
      <c r="D1899" s="9">
        <f t="shared" si="14"/>
        <v>66.934536227551135</v>
      </c>
      <c r="E1899" s="9"/>
      <c r="F1899" s="9">
        <f ca="1">IFERROR(__xludf.DUMMYFUNCTION("""COMPUTED_VALUE"""),43408)</f>
        <v>43408</v>
      </c>
      <c r="G1899" s="9" t="str">
        <f ca="1">IFERROR(__xludf.DUMMYFUNCTION("""COMPUTED_VALUE"""),"1 USD = 133.5178 PKR")</f>
        <v>1 USD = 133.5178 PKR</v>
      </c>
      <c r="H1899" s="9" t="str">
        <f ca="1">IFERROR(__xludf.DUMMYFUNCTION("""COMPUTED_VALUE"""),"USD PKR rate for 04/11/2018")</f>
        <v>USD PKR rate for 04/11/2018</v>
      </c>
      <c r="I1899" s="9"/>
    </row>
    <row r="1900" spans="1:9" ht="14.25" customHeight="1" x14ac:dyDescent="0.3">
      <c r="A1900" s="6">
        <v>41617</v>
      </c>
      <c r="B1900" s="7">
        <v>108.1707</v>
      </c>
      <c r="C1900" s="8">
        <f t="shared" si="15"/>
        <v>110.9166747865643</v>
      </c>
      <c r="D1900" s="9">
        <f t="shared" si="14"/>
        <v>66.9372740603484</v>
      </c>
      <c r="E1900" s="9"/>
      <c r="F1900" s="9">
        <f ca="1">IFERROR(__xludf.DUMMYFUNCTION("""COMPUTED_VALUE"""),43407)</f>
        <v>43407</v>
      </c>
      <c r="G1900" s="9" t="str">
        <f ca="1">IFERROR(__xludf.DUMMYFUNCTION("""COMPUTED_VALUE"""),"1 USD = 133.3502 PKR")</f>
        <v>1 USD = 133.3502 PKR</v>
      </c>
      <c r="H1900" s="9" t="str">
        <f ca="1">IFERROR(__xludf.DUMMYFUNCTION("""COMPUTED_VALUE"""),"USD PKR rate for 03/11/2018")</f>
        <v>USD PKR rate for 03/11/2018</v>
      </c>
      <c r="I1900" s="9"/>
    </row>
    <row r="1901" spans="1:9" ht="14.25" customHeight="1" x14ac:dyDescent="0.3">
      <c r="A1901" s="6">
        <v>41618</v>
      </c>
      <c r="B1901" s="7">
        <v>107.9243</v>
      </c>
      <c r="C1901" s="8">
        <f t="shared" si="15"/>
        <v>110.93651220815693</v>
      </c>
      <c r="D1901" s="9">
        <f t="shared" si="14"/>
        <v>66.940011893145666</v>
      </c>
      <c r="E1901" s="9"/>
      <c r="F1901" s="9">
        <f ca="1">IFERROR(__xludf.DUMMYFUNCTION("""COMPUTED_VALUE"""),43406)</f>
        <v>43406</v>
      </c>
      <c r="G1901" s="9" t="str">
        <f ca="1">IFERROR(__xludf.DUMMYFUNCTION("""COMPUTED_VALUE"""),"1 USD = 133.3502 PKR")</f>
        <v>1 USD = 133.3502 PKR</v>
      </c>
      <c r="H1901" s="9" t="str">
        <f ca="1">IFERROR(__xludf.DUMMYFUNCTION("""COMPUTED_VALUE"""),"USD PKR rate for 02/11/2018")</f>
        <v>USD PKR rate for 02/11/2018</v>
      </c>
      <c r="I1901" s="9"/>
    </row>
    <row r="1902" spans="1:9" ht="14.25" customHeight="1" x14ac:dyDescent="0.3">
      <c r="A1902" s="6">
        <v>41619</v>
      </c>
      <c r="B1902" s="7">
        <v>107.3509</v>
      </c>
      <c r="C1902" s="8">
        <f t="shared" si="15"/>
        <v>110.95635317766774</v>
      </c>
      <c r="D1902" s="9">
        <f t="shared" si="14"/>
        <v>66.942749725942932</v>
      </c>
      <c r="E1902" s="9"/>
      <c r="F1902" s="9">
        <f ca="1">IFERROR(__xludf.DUMMYFUNCTION("""COMPUTED_VALUE"""),43405)</f>
        <v>43405</v>
      </c>
      <c r="G1902" s="9" t="str">
        <f ca="1">IFERROR(__xludf.DUMMYFUNCTION("""COMPUTED_VALUE"""),"1 USD = 133.3203 PKR")</f>
        <v>1 USD = 133.3203 PKR</v>
      </c>
      <c r="H1902" s="9" t="str">
        <f ca="1">IFERROR(__xludf.DUMMYFUNCTION("""COMPUTED_VALUE"""),"USD PKR rate for 01/11/2018")</f>
        <v>USD PKR rate for 01/11/2018</v>
      </c>
      <c r="I1902" s="9"/>
    </row>
    <row r="1903" spans="1:9" ht="14.25" customHeight="1" x14ac:dyDescent="0.3">
      <c r="A1903" s="6">
        <v>41620</v>
      </c>
      <c r="B1903" s="7">
        <v>107.35360000000001</v>
      </c>
      <c r="C1903" s="8">
        <f t="shared" si="15"/>
        <v>110.97619769573141</v>
      </c>
      <c r="D1903" s="9">
        <f t="shared" si="14"/>
        <v>66.945487558740197</v>
      </c>
      <c r="E1903" s="9"/>
      <c r="F1903" s="9">
        <f ca="1">IFERROR(__xludf.DUMMYFUNCTION("""COMPUTED_VALUE"""),43404)</f>
        <v>43404</v>
      </c>
      <c r="G1903" s="9" t="str">
        <f ca="1">IFERROR(__xludf.DUMMYFUNCTION("""COMPUTED_VALUE"""),"1 USD = 133.5221 PKR")</f>
        <v>1 USD = 133.5221 PKR</v>
      </c>
      <c r="H1903" s="9" t="str">
        <f ca="1">IFERROR(__xludf.DUMMYFUNCTION("""COMPUTED_VALUE"""),"USD PKR rate for 31/10/2018")</f>
        <v>USD PKR rate for 31/10/2018</v>
      </c>
      <c r="I1903" s="9"/>
    </row>
    <row r="1904" spans="1:9" ht="14.25" customHeight="1" x14ac:dyDescent="0.3">
      <c r="A1904" s="6">
        <v>41621</v>
      </c>
      <c r="B1904" s="7">
        <v>107.1972</v>
      </c>
      <c r="C1904" s="8">
        <f t="shared" si="15"/>
        <v>110.99604576298258</v>
      </c>
      <c r="D1904" s="9">
        <f t="shared" si="14"/>
        <v>66.948225391537463</v>
      </c>
      <c r="E1904" s="9"/>
      <c r="F1904" s="9">
        <f ca="1">IFERROR(__xludf.DUMMYFUNCTION("""COMPUTED_VALUE"""),43403)</f>
        <v>43403</v>
      </c>
      <c r="G1904" s="9" t="str">
        <f ca="1">IFERROR(__xludf.DUMMYFUNCTION("""COMPUTED_VALUE"""),"1 USD = 132.5487 PKR")</f>
        <v>1 USD = 132.5487 PKR</v>
      </c>
      <c r="H1904" s="9" t="str">
        <f ca="1">IFERROR(__xludf.DUMMYFUNCTION("""COMPUTED_VALUE"""),"USD PKR rate for 30/10/2018")</f>
        <v>USD PKR rate for 30/10/2018</v>
      </c>
      <c r="I1904" s="9"/>
    </row>
    <row r="1905" spans="1:9" ht="14.25" customHeight="1" x14ac:dyDescent="0.3">
      <c r="A1905" s="6">
        <v>41622</v>
      </c>
      <c r="B1905" s="7">
        <v>107.2499</v>
      </c>
      <c r="C1905" s="8">
        <f t="shared" si="15"/>
        <v>111.01589738005596</v>
      </c>
      <c r="D1905" s="9">
        <f t="shared" si="14"/>
        <v>66.950963224334728</v>
      </c>
      <c r="E1905" s="9"/>
      <c r="F1905" s="9">
        <f ca="1">IFERROR(__xludf.DUMMYFUNCTION("""COMPUTED_VALUE"""),43402)</f>
        <v>43402</v>
      </c>
      <c r="G1905" s="9" t="str">
        <f ca="1">IFERROR(__xludf.DUMMYFUNCTION("""COMPUTED_VALUE"""),"1 USD = 132.8662 PKR")</f>
        <v>1 USD = 132.8662 PKR</v>
      </c>
      <c r="H1905" s="9" t="str">
        <f ca="1">IFERROR(__xludf.DUMMYFUNCTION("""COMPUTED_VALUE"""),"USD PKR rate for 29/10/2018")</f>
        <v>USD PKR rate for 29/10/2018</v>
      </c>
      <c r="I1905" s="9"/>
    </row>
    <row r="1906" spans="1:9" ht="14.25" customHeight="1" x14ac:dyDescent="0.3">
      <c r="A1906" s="6">
        <v>41623</v>
      </c>
      <c r="B1906" s="7">
        <v>107.15430000000001</v>
      </c>
      <c r="C1906" s="8">
        <f t="shared" si="15"/>
        <v>111.03575254758644</v>
      </c>
      <c r="D1906" s="9">
        <f t="shared" si="14"/>
        <v>66.953701057131994</v>
      </c>
      <c r="E1906" s="9"/>
      <c r="F1906" s="9">
        <f ca="1">IFERROR(__xludf.DUMMYFUNCTION("""COMPUTED_VALUE"""),43401)</f>
        <v>43401</v>
      </c>
      <c r="G1906" s="9" t="str">
        <f ca="1">IFERROR(__xludf.DUMMYFUNCTION("""COMPUTED_VALUE"""),"1 USD = 132.8903 PKR")</f>
        <v>1 USD = 132.8903 PKR</v>
      </c>
      <c r="H1906" s="9" t="str">
        <f ca="1">IFERROR(__xludf.DUMMYFUNCTION("""COMPUTED_VALUE"""),"USD PKR rate for 28/10/2018")</f>
        <v>USD PKR rate for 28/10/2018</v>
      </c>
      <c r="I1906" s="9"/>
    </row>
    <row r="1907" spans="1:9" ht="14.25" customHeight="1" x14ac:dyDescent="0.3">
      <c r="A1907" s="6">
        <v>41624</v>
      </c>
      <c r="B1907" s="7">
        <v>107.05110000000001</v>
      </c>
      <c r="C1907" s="8">
        <f t="shared" si="15"/>
        <v>111.05561126620907</v>
      </c>
      <c r="D1907" s="9">
        <f t="shared" si="14"/>
        <v>66.95643888992926</v>
      </c>
      <c r="E1907" s="9"/>
      <c r="F1907" s="9">
        <f ca="1">IFERROR(__xludf.DUMMYFUNCTION("""COMPUTED_VALUE"""),43400)</f>
        <v>43400</v>
      </c>
      <c r="G1907" s="9" t="str">
        <f ca="1">IFERROR(__xludf.DUMMYFUNCTION("""COMPUTED_VALUE"""),"1 USD = 133.514 PKR")</f>
        <v>1 USD = 133.514 PKR</v>
      </c>
      <c r="H1907" s="9" t="str">
        <f ca="1">IFERROR(__xludf.DUMMYFUNCTION("""COMPUTED_VALUE"""),"USD PKR rate for 27/10/2018")</f>
        <v>USD PKR rate for 27/10/2018</v>
      </c>
      <c r="I1907" s="9"/>
    </row>
    <row r="1908" spans="1:9" ht="14.25" customHeight="1" x14ac:dyDescent="0.3">
      <c r="A1908" s="6">
        <v>41625</v>
      </c>
      <c r="B1908" s="7">
        <v>106.82660000000001</v>
      </c>
      <c r="C1908" s="8">
        <f t="shared" si="15"/>
        <v>111.0754735365589</v>
      </c>
      <c r="D1908" s="9">
        <f t="shared" si="14"/>
        <v>66.959176722726525</v>
      </c>
      <c r="E1908" s="9"/>
      <c r="F1908" s="9">
        <f ca="1">IFERROR(__xludf.DUMMYFUNCTION("""COMPUTED_VALUE"""),43399)</f>
        <v>43399</v>
      </c>
      <c r="G1908" s="9" t="str">
        <f ca="1">IFERROR(__xludf.DUMMYFUNCTION("""COMPUTED_VALUE"""),"1 USD = 133.5101 PKR")</f>
        <v>1 USD = 133.5101 PKR</v>
      </c>
      <c r="H1908" s="9" t="str">
        <f ca="1">IFERROR(__xludf.DUMMYFUNCTION("""COMPUTED_VALUE"""),"USD PKR rate for 26/10/2018")</f>
        <v>USD PKR rate for 26/10/2018</v>
      </c>
      <c r="I1908" s="9"/>
    </row>
    <row r="1909" spans="1:9" ht="14.25" customHeight="1" x14ac:dyDescent="0.3">
      <c r="A1909" s="6">
        <v>41626</v>
      </c>
      <c r="B1909" s="7">
        <v>106.69920000000002</v>
      </c>
      <c r="C1909" s="8">
        <f t="shared" si="15"/>
        <v>111.09533935927119</v>
      </c>
      <c r="D1909" s="9">
        <f t="shared" si="14"/>
        <v>66.961914555523791</v>
      </c>
      <c r="E1909" s="9"/>
      <c r="F1909" s="9">
        <f ca="1">IFERROR(__xludf.DUMMYFUNCTION("""COMPUTED_VALUE"""),43398)</f>
        <v>43398</v>
      </c>
      <c r="G1909" s="9" t="str">
        <f ca="1">IFERROR(__xludf.DUMMYFUNCTION("""COMPUTED_VALUE"""),"1 USD = 132.0534 PKR")</f>
        <v>1 USD = 132.0534 PKR</v>
      </c>
      <c r="H1909" s="9" t="str">
        <f ca="1">IFERROR(__xludf.DUMMYFUNCTION("""COMPUTED_VALUE"""),"USD PKR rate for 25/10/2018")</f>
        <v>USD PKR rate for 25/10/2018</v>
      </c>
      <c r="I1909" s="9"/>
    </row>
    <row r="1910" spans="1:9" ht="14.25" customHeight="1" x14ac:dyDescent="0.3">
      <c r="A1910" s="6">
        <v>41627</v>
      </c>
      <c r="B1910" s="7">
        <v>106.3865</v>
      </c>
      <c r="C1910" s="8">
        <f t="shared" si="15"/>
        <v>111.11520873498128</v>
      </c>
      <c r="D1910" s="9">
        <f t="shared" si="14"/>
        <v>66.964652388321056</v>
      </c>
      <c r="E1910" s="9"/>
      <c r="F1910" s="9">
        <f ca="1">IFERROR(__xludf.DUMMYFUNCTION("""COMPUTED_VALUE"""),43397)</f>
        <v>43397</v>
      </c>
      <c r="G1910" s="9" t="str">
        <f ca="1">IFERROR(__xludf.DUMMYFUNCTION("""COMPUTED_VALUE"""),"1 USD = 133.5499 PKR")</f>
        <v>1 USD = 133.5499 PKR</v>
      </c>
      <c r="H1910" s="9" t="str">
        <f ca="1">IFERROR(__xludf.DUMMYFUNCTION("""COMPUTED_VALUE"""),"USD PKR rate for 24/10/2018")</f>
        <v>USD PKR rate for 24/10/2018</v>
      </c>
      <c r="I1910" s="9"/>
    </row>
    <row r="1911" spans="1:9" ht="14.25" customHeight="1" x14ac:dyDescent="0.3">
      <c r="A1911" s="6">
        <v>41628</v>
      </c>
      <c r="B1911" s="7">
        <v>106.3293</v>
      </c>
      <c r="C1911" s="8">
        <f t="shared" si="15"/>
        <v>111.13508166432459</v>
      </c>
      <c r="D1911" s="9">
        <f t="shared" si="14"/>
        <v>66.967390221118322</v>
      </c>
      <c r="E1911" s="9"/>
      <c r="F1911" s="9">
        <f ca="1">IFERROR(__xludf.DUMMYFUNCTION("""COMPUTED_VALUE"""),43396)</f>
        <v>43396</v>
      </c>
      <c r="G1911" s="9" t="str">
        <f ca="1">IFERROR(__xludf.DUMMYFUNCTION("""COMPUTED_VALUE"""),"1 USD = 133.6213 PKR")</f>
        <v>1 USD = 133.6213 PKR</v>
      </c>
      <c r="H1911" s="9" t="str">
        <f ca="1">IFERROR(__xludf.DUMMYFUNCTION("""COMPUTED_VALUE"""),"USD PKR rate for 23/10/2018")</f>
        <v>USD PKR rate for 23/10/2018</v>
      </c>
      <c r="I1911" s="9"/>
    </row>
    <row r="1912" spans="1:9" ht="14.25" customHeight="1" x14ac:dyDescent="0.3">
      <c r="A1912" s="6">
        <v>41629</v>
      </c>
      <c r="B1912" s="7">
        <v>106.27460000000001</v>
      </c>
      <c r="C1912" s="8">
        <f t="shared" si="15"/>
        <v>111.15495814793663</v>
      </c>
      <c r="D1912" s="9">
        <f t="shared" si="14"/>
        <v>66.970128053915587</v>
      </c>
      <c r="E1912" s="9"/>
      <c r="F1912" s="9">
        <f ca="1">IFERROR(__xludf.DUMMYFUNCTION("""COMPUTED_VALUE"""),43395)</f>
        <v>43395</v>
      </c>
      <c r="G1912" s="9" t="str">
        <f ca="1">IFERROR(__xludf.DUMMYFUNCTION("""COMPUTED_VALUE"""),"1 USD = 132.9425 PKR")</f>
        <v>1 USD = 132.9425 PKR</v>
      </c>
      <c r="H1912" s="9" t="str">
        <f ca="1">IFERROR(__xludf.DUMMYFUNCTION("""COMPUTED_VALUE"""),"USD PKR rate for 22/10/2018")</f>
        <v>USD PKR rate for 22/10/2018</v>
      </c>
      <c r="I1912" s="9"/>
    </row>
    <row r="1913" spans="1:9" ht="14.25" customHeight="1" x14ac:dyDescent="0.3">
      <c r="A1913" s="6">
        <v>41630</v>
      </c>
      <c r="B1913" s="7">
        <v>106.0919</v>
      </c>
      <c r="C1913" s="8">
        <f t="shared" si="15"/>
        <v>111.17483818645326</v>
      </c>
      <c r="D1913" s="9">
        <f t="shared" si="14"/>
        <v>66.972865886712853</v>
      </c>
      <c r="E1913" s="9"/>
      <c r="F1913" s="9">
        <f ca="1">IFERROR(__xludf.DUMMYFUNCTION("""COMPUTED_VALUE"""),43394)</f>
        <v>43394</v>
      </c>
      <c r="G1913" s="9" t="str">
        <f ca="1">IFERROR(__xludf.DUMMYFUNCTION("""COMPUTED_VALUE"""),"1 USD = 133.34 PKR")</f>
        <v>1 USD = 133.34 PKR</v>
      </c>
      <c r="H1913" s="9" t="str">
        <f ca="1">IFERROR(__xludf.DUMMYFUNCTION("""COMPUTED_VALUE"""),"USD PKR rate for 21/10/2018")</f>
        <v>USD PKR rate for 21/10/2018</v>
      </c>
      <c r="I1913" s="9"/>
    </row>
    <row r="1914" spans="1:9" ht="14.25" customHeight="1" x14ac:dyDescent="0.3">
      <c r="A1914" s="6">
        <v>41631</v>
      </c>
      <c r="B1914" s="7">
        <v>106.09059999999999</v>
      </c>
      <c r="C1914" s="8">
        <f t="shared" si="15"/>
        <v>111.19472178051015</v>
      </c>
      <c r="D1914" s="9">
        <f t="shared" si="14"/>
        <v>66.975603719510119</v>
      </c>
      <c r="E1914" s="9"/>
      <c r="F1914" s="9">
        <f ca="1">IFERROR(__xludf.DUMMYFUNCTION("""COMPUTED_VALUE"""),43393)</f>
        <v>43393</v>
      </c>
      <c r="G1914" s="9" t="str">
        <f ca="1">IFERROR(__xludf.DUMMYFUNCTION("""COMPUTED_VALUE"""),"1 USD = 133.3448 PKR")</f>
        <v>1 USD = 133.3448 PKR</v>
      </c>
      <c r="H1914" s="9" t="str">
        <f ca="1">IFERROR(__xludf.DUMMYFUNCTION("""COMPUTED_VALUE"""),"USD PKR rate for 20/10/2018")</f>
        <v>USD PKR rate for 20/10/2018</v>
      </c>
      <c r="I1914" s="9"/>
    </row>
    <row r="1915" spans="1:9" ht="14.25" customHeight="1" x14ac:dyDescent="0.3">
      <c r="A1915" s="6">
        <v>41632</v>
      </c>
      <c r="B1915" s="7">
        <v>105.68989999999999</v>
      </c>
      <c r="C1915" s="8">
        <f t="shared" si="15"/>
        <v>111.21460893074325</v>
      </c>
      <c r="D1915" s="9">
        <f t="shared" si="14"/>
        <v>66.978341552307384</v>
      </c>
      <c r="E1915" s="9"/>
      <c r="F1915" s="9">
        <f ca="1">IFERROR(__xludf.DUMMYFUNCTION("""COMPUTED_VALUE"""),43392)</f>
        <v>43392</v>
      </c>
      <c r="G1915" s="9" t="str">
        <f ca="1">IFERROR(__xludf.DUMMYFUNCTION("""COMPUTED_VALUE"""),"1 USD = 133.3448 PKR")</f>
        <v>1 USD = 133.3448 PKR</v>
      </c>
      <c r="H1915" s="9" t="str">
        <f ca="1">IFERROR(__xludf.DUMMYFUNCTION("""COMPUTED_VALUE"""),"USD PKR rate for 19/10/2018")</f>
        <v>USD PKR rate for 19/10/2018</v>
      </c>
      <c r="I1915" s="9"/>
    </row>
    <row r="1916" spans="1:9" ht="14.25" customHeight="1" x14ac:dyDescent="0.3">
      <c r="A1916" s="6">
        <v>41633</v>
      </c>
      <c r="B1916" s="7">
        <v>105.6593</v>
      </c>
      <c r="C1916" s="8">
        <f t="shared" si="15"/>
        <v>111.23449963778856</v>
      </c>
      <c r="D1916" s="9">
        <f t="shared" si="14"/>
        <v>66.98107938510465</v>
      </c>
      <c r="E1916" s="9"/>
      <c r="F1916" s="9">
        <f ca="1">IFERROR(__xludf.DUMMYFUNCTION("""COMPUTED_VALUE"""),43391)</f>
        <v>43391</v>
      </c>
      <c r="G1916" s="9" t="str">
        <f ca="1">IFERROR(__xludf.DUMMYFUNCTION("""COMPUTED_VALUE"""),"1 USD = 132.9199 PKR")</f>
        <v>1 USD = 132.9199 PKR</v>
      </c>
      <c r="H1916" s="9" t="str">
        <f ca="1">IFERROR(__xludf.DUMMYFUNCTION("""COMPUTED_VALUE"""),"USD PKR rate for 18/10/2018")</f>
        <v>USD PKR rate for 18/10/2018</v>
      </c>
      <c r="I1916" s="9"/>
    </row>
    <row r="1917" spans="1:9" ht="14.25" customHeight="1" x14ac:dyDescent="0.3">
      <c r="A1917" s="6">
        <v>41634</v>
      </c>
      <c r="B1917" s="7">
        <v>105.6794</v>
      </c>
      <c r="C1917" s="8">
        <f t="shared" si="15"/>
        <v>111.25439390228222</v>
      </c>
      <c r="D1917" s="9">
        <f t="shared" si="14"/>
        <v>66.983817217901915</v>
      </c>
      <c r="E1917" s="9"/>
      <c r="F1917" s="9">
        <f ca="1">IFERROR(__xludf.DUMMYFUNCTION("""COMPUTED_VALUE"""),43390)</f>
        <v>43390</v>
      </c>
      <c r="G1917" s="9" t="str">
        <f ca="1">IFERROR(__xludf.DUMMYFUNCTION("""COMPUTED_VALUE"""),"1 USD = 132.7788 PKR")</f>
        <v>1 USD = 132.7788 PKR</v>
      </c>
      <c r="H1917" s="9" t="str">
        <f ca="1">IFERROR(__xludf.DUMMYFUNCTION("""COMPUTED_VALUE"""),"USD PKR rate for 17/10/2018")</f>
        <v>USD PKR rate for 17/10/2018</v>
      </c>
      <c r="I1917" s="9"/>
    </row>
    <row r="1918" spans="1:9" ht="14.25" customHeight="1" x14ac:dyDescent="0.3">
      <c r="A1918" s="6">
        <v>41635</v>
      </c>
      <c r="B1918" s="7">
        <v>105.6545</v>
      </c>
      <c r="C1918" s="8">
        <f t="shared" si="15"/>
        <v>111.27429172486046</v>
      </c>
      <c r="D1918" s="9">
        <f t="shared" si="14"/>
        <v>66.986555050699181</v>
      </c>
      <c r="E1918" s="9"/>
      <c r="F1918" s="9">
        <f ca="1">IFERROR(__xludf.DUMMYFUNCTION("""COMPUTED_VALUE"""),43389)</f>
        <v>43389</v>
      </c>
      <c r="G1918" s="9" t="str">
        <f ca="1">IFERROR(__xludf.DUMMYFUNCTION("""COMPUTED_VALUE"""),"1 USD = 132.0816 PKR")</f>
        <v>1 USD = 132.0816 PKR</v>
      </c>
      <c r="H1918" s="9" t="str">
        <f ca="1">IFERROR(__xludf.DUMMYFUNCTION("""COMPUTED_VALUE"""),"USD PKR rate for 16/10/2018")</f>
        <v>USD PKR rate for 16/10/2018</v>
      </c>
      <c r="I1918" s="9"/>
    </row>
    <row r="1919" spans="1:9" ht="14.25" customHeight="1" x14ac:dyDescent="0.3">
      <c r="A1919" s="6">
        <v>41636</v>
      </c>
      <c r="B1919" s="7">
        <v>105.49550000000001</v>
      </c>
      <c r="C1919" s="8">
        <f t="shared" si="15"/>
        <v>111.29419310615967</v>
      </c>
      <c r="D1919" s="9">
        <f t="shared" si="14"/>
        <v>66.989292883496447</v>
      </c>
      <c r="E1919" s="9"/>
      <c r="F1919" s="9">
        <f ca="1">IFERROR(__xludf.DUMMYFUNCTION("""COMPUTED_VALUE"""),43388)</f>
        <v>43388</v>
      </c>
      <c r="G1919" s="9" t="str">
        <f ca="1">IFERROR(__xludf.DUMMYFUNCTION("""COMPUTED_VALUE"""),"1 USD = 131.9912 PKR")</f>
        <v>1 USD = 131.9912 PKR</v>
      </c>
      <c r="H1919" s="9" t="str">
        <f ca="1">IFERROR(__xludf.DUMMYFUNCTION("""COMPUTED_VALUE"""),"USD PKR rate for 15/10/2018")</f>
        <v>USD PKR rate for 15/10/2018</v>
      </c>
      <c r="I1919" s="9"/>
    </row>
    <row r="1920" spans="1:9" ht="14.25" customHeight="1" x14ac:dyDescent="0.3">
      <c r="A1920" s="6">
        <v>41637</v>
      </c>
      <c r="B1920" s="7">
        <v>105.94710000000001</v>
      </c>
      <c r="C1920" s="8">
        <f t="shared" si="15"/>
        <v>111.31409804681634</v>
      </c>
      <c r="D1920" s="9">
        <f t="shared" si="14"/>
        <v>66.992030716293712</v>
      </c>
      <c r="E1920" s="9"/>
      <c r="F1920" s="9">
        <f ca="1">IFERROR(__xludf.DUMMYFUNCTION("""COMPUTED_VALUE"""),43387)</f>
        <v>43387</v>
      </c>
      <c r="G1920" s="9" t="str">
        <f ca="1">IFERROR(__xludf.DUMMYFUNCTION("""COMPUTED_VALUE"""),"1 USD = 133.086 PKR")</f>
        <v>1 USD = 133.086 PKR</v>
      </c>
      <c r="H1920" s="9" t="str">
        <f ca="1">IFERROR(__xludf.DUMMYFUNCTION("""COMPUTED_VALUE"""),"USD PKR rate for 14/10/2018")</f>
        <v>USD PKR rate for 14/10/2018</v>
      </c>
      <c r="I1920" s="9"/>
    </row>
    <row r="1921" spans="1:9" ht="14.25" customHeight="1" x14ac:dyDescent="0.3">
      <c r="A1921" s="6">
        <v>41638</v>
      </c>
      <c r="B1921" s="7">
        <v>105.85760000000001</v>
      </c>
      <c r="C1921" s="8">
        <f t="shared" si="15"/>
        <v>111.3340065474669</v>
      </c>
      <c r="D1921" s="9">
        <f t="shared" si="14"/>
        <v>66.994768549090978</v>
      </c>
      <c r="E1921" s="9"/>
      <c r="F1921" s="9">
        <f ca="1">IFERROR(__xludf.DUMMYFUNCTION("""COMPUTED_VALUE"""),43386)</f>
        <v>43386</v>
      </c>
      <c r="G1921" s="9" t="str">
        <f ca="1">IFERROR(__xludf.DUMMYFUNCTION("""COMPUTED_VALUE"""),"1 USD = 133.2499 PKR")</f>
        <v>1 USD = 133.2499 PKR</v>
      </c>
      <c r="H1921" s="9" t="str">
        <f ca="1">IFERROR(__xludf.DUMMYFUNCTION("""COMPUTED_VALUE"""),"USD PKR rate for 13/10/2018")</f>
        <v>USD PKR rate for 13/10/2018</v>
      </c>
      <c r="I1921" s="9"/>
    </row>
    <row r="1922" spans="1:9" ht="14.25" customHeight="1" x14ac:dyDescent="0.3">
      <c r="A1922" s="6">
        <v>41639</v>
      </c>
      <c r="B1922" s="7">
        <v>105.47750000000001</v>
      </c>
      <c r="C1922" s="8">
        <f t="shared" si="15"/>
        <v>111.35391860874829</v>
      </c>
      <c r="D1922" s="9">
        <f t="shared" si="14"/>
        <v>66.997506381888243</v>
      </c>
      <c r="E1922" s="9"/>
      <c r="F1922" s="9">
        <f ca="1">IFERROR(__xludf.DUMMYFUNCTION("""COMPUTED_VALUE"""),43385)</f>
        <v>43385</v>
      </c>
      <c r="G1922" s="9" t="str">
        <f ca="1">IFERROR(__xludf.DUMMYFUNCTION("""COMPUTED_VALUE"""),"1 USD = 133.2499 PKR")</f>
        <v>1 USD = 133.2499 PKR</v>
      </c>
      <c r="H1922" s="9" t="str">
        <f ca="1">IFERROR(__xludf.DUMMYFUNCTION("""COMPUTED_VALUE"""),"USD PKR rate for 12/10/2018")</f>
        <v>USD PKR rate for 12/10/2018</v>
      </c>
      <c r="I1922" s="9"/>
    </row>
    <row r="1923" spans="1:9" ht="14.25" customHeight="1" x14ac:dyDescent="0.3">
      <c r="A1923" s="6">
        <v>41640</v>
      </c>
      <c r="B1923" s="7">
        <v>105.47080000000001</v>
      </c>
      <c r="C1923" s="8">
        <f t="shared" si="15"/>
        <v>111.37383423129727</v>
      </c>
      <c r="D1923" s="9">
        <f t="shared" si="14"/>
        <v>67.000244214685509</v>
      </c>
      <c r="E1923" s="9"/>
      <c r="F1923" s="9">
        <f ca="1">IFERROR(__xludf.DUMMYFUNCTION("""COMPUTED_VALUE"""),43384)</f>
        <v>43384</v>
      </c>
      <c r="G1923" s="9" t="str">
        <f ca="1">IFERROR(__xludf.DUMMYFUNCTION("""COMPUTED_VALUE"""),"1 USD = 131.9168 PKR")</f>
        <v>1 USD = 131.9168 PKR</v>
      </c>
      <c r="H1923" s="9" t="str">
        <f ca="1">IFERROR(__xludf.DUMMYFUNCTION("""COMPUTED_VALUE"""),"USD PKR rate for 11/10/2018")</f>
        <v>USD PKR rate for 11/10/2018</v>
      </c>
      <c r="I1923" s="9"/>
    </row>
    <row r="1924" spans="1:9" ht="14.25" customHeight="1" x14ac:dyDescent="0.3">
      <c r="A1924" s="6">
        <v>41641</v>
      </c>
      <c r="B1924" s="7">
        <v>105.4983</v>
      </c>
      <c r="C1924" s="8">
        <f t="shared" si="15"/>
        <v>111.39375341575068</v>
      </c>
      <c r="D1924" s="9">
        <f t="shared" si="14"/>
        <v>67.002982047482774</v>
      </c>
      <c r="E1924" s="9"/>
      <c r="F1924" s="9">
        <f ca="1">IFERROR(__xludf.DUMMYFUNCTION("""COMPUTED_VALUE"""),43383)</f>
        <v>43383</v>
      </c>
      <c r="G1924" s="9" t="str">
        <f ca="1">IFERROR(__xludf.DUMMYFUNCTION("""COMPUTED_VALUE"""),"1 USD = 127.9863 PKR")</f>
        <v>1 USD = 127.9863 PKR</v>
      </c>
      <c r="H1924" s="9" t="str">
        <f ca="1">IFERROR(__xludf.DUMMYFUNCTION("""COMPUTED_VALUE"""),"USD PKR rate for 10/10/2018")</f>
        <v>USD PKR rate for 10/10/2018</v>
      </c>
      <c r="I1924" s="9"/>
    </row>
    <row r="1925" spans="1:9" ht="14.25" customHeight="1" x14ac:dyDescent="0.3">
      <c r="A1925" s="6">
        <v>41642</v>
      </c>
      <c r="B1925" s="7">
        <v>105.29989999999999</v>
      </c>
      <c r="C1925" s="8">
        <f t="shared" si="15"/>
        <v>111.41367616274563</v>
      </c>
      <c r="D1925" s="9">
        <f t="shared" si="14"/>
        <v>67.00571988028004</v>
      </c>
      <c r="E1925" s="9"/>
      <c r="F1925" s="9">
        <f ca="1">IFERROR(__xludf.DUMMYFUNCTION("""COMPUTED_VALUE"""),43382)</f>
        <v>43382</v>
      </c>
      <c r="G1925" s="9" t="str">
        <f ca="1">IFERROR(__xludf.DUMMYFUNCTION("""COMPUTED_VALUE"""),"1 USD = 122.9496 PKR")</f>
        <v>1 USD = 122.9496 PKR</v>
      </c>
      <c r="H1925" s="9" t="str">
        <f ca="1">IFERROR(__xludf.DUMMYFUNCTION("""COMPUTED_VALUE"""),"USD PKR rate for 09/10/2018")</f>
        <v>USD PKR rate for 09/10/2018</v>
      </c>
      <c r="I1925" s="9"/>
    </row>
    <row r="1926" spans="1:9" ht="14.25" customHeight="1" x14ac:dyDescent="0.3">
      <c r="A1926" s="6">
        <v>41643</v>
      </c>
      <c r="B1926" s="7">
        <v>105.31610000000001</v>
      </c>
      <c r="C1926" s="8">
        <f t="shared" si="15"/>
        <v>111.43360247291928</v>
      </c>
      <c r="D1926" s="9">
        <f t="shared" si="14"/>
        <v>67.008457713077306</v>
      </c>
      <c r="E1926" s="9"/>
      <c r="F1926" s="9">
        <f ca="1">IFERROR(__xludf.DUMMYFUNCTION("""COMPUTED_VALUE"""),43381)</f>
        <v>43381</v>
      </c>
      <c r="G1926" s="9" t="str">
        <f ca="1">IFERROR(__xludf.DUMMYFUNCTION("""COMPUTED_VALUE"""),"1 USD = 123.1982 PKR")</f>
        <v>1 USD = 123.1982 PKR</v>
      </c>
      <c r="H1926" s="9" t="str">
        <f ca="1">IFERROR(__xludf.DUMMYFUNCTION("""COMPUTED_VALUE"""),"USD PKR rate for 08/10/2018")</f>
        <v>USD PKR rate for 08/10/2018</v>
      </c>
      <c r="I1926" s="9"/>
    </row>
    <row r="1927" spans="1:9" ht="14.25" customHeight="1" x14ac:dyDescent="0.3">
      <c r="A1927" s="6">
        <v>41644</v>
      </c>
      <c r="B1927" s="7">
        <v>105.49180000000001</v>
      </c>
      <c r="C1927" s="8">
        <f t="shared" si="15"/>
        <v>111.45353234690887</v>
      </c>
      <c r="D1927" s="9">
        <f t="shared" si="14"/>
        <v>67.011195545874571</v>
      </c>
      <c r="E1927" s="9"/>
      <c r="F1927" s="9">
        <f ca="1">IFERROR(__xludf.DUMMYFUNCTION("""COMPUTED_VALUE"""),43380)</f>
        <v>43380</v>
      </c>
      <c r="G1927" s="9" t="str">
        <f ca="1">IFERROR(__xludf.DUMMYFUNCTION("""COMPUTED_VALUE"""),"1 USD = 122.9855 PKR")</f>
        <v>1 USD = 122.9855 PKR</v>
      </c>
      <c r="H1927" s="9" t="str">
        <f ca="1">IFERROR(__xludf.DUMMYFUNCTION("""COMPUTED_VALUE"""),"USD PKR rate for 07/10/2018")</f>
        <v>USD PKR rate for 07/10/2018</v>
      </c>
      <c r="I1927" s="9"/>
    </row>
    <row r="1928" spans="1:9" ht="14.25" customHeight="1" x14ac:dyDescent="0.3">
      <c r="A1928" s="6">
        <v>41645</v>
      </c>
      <c r="B1928" s="7">
        <v>105.4817</v>
      </c>
      <c r="C1928" s="8">
        <f t="shared" si="15"/>
        <v>111.47346578535182</v>
      </c>
      <c r="D1928" s="9">
        <f t="shared" si="14"/>
        <v>67.013933378671837</v>
      </c>
      <c r="E1928" s="9"/>
      <c r="F1928" s="9">
        <f ca="1">IFERROR(__xludf.DUMMYFUNCTION("""COMPUTED_VALUE"""),43379)</f>
        <v>43379</v>
      </c>
      <c r="G1928" s="9" t="str">
        <f ca="1">IFERROR(__xludf.DUMMYFUNCTION("""COMPUTED_VALUE"""),"1 USD = 122.84 PKR")</f>
        <v>1 USD = 122.84 PKR</v>
      </c>
      <c r="H1928" s="9" t="str">
        <f ca="1">IFERROR(__xludf.DUMMYFUNCTION("""COMPUTED_VALUE"""),"USD PKR rate for 06/10/2018")</f>
        <v>USD PKR rate for 06/10/2018</v>
      </c>
      <c r="I1928" s="9"/>
    </row>
    <row r="1929" spans="1:9" ht="14.25" customHeight="1" x14ac:dyDescent="0.3">
      <c r="A1929" s="6">
        <v>41646</v>
      </c>
      <c r="B1929" s="7">
        <v>105.61579999999999</v>
      </c>
      <c r="C1929" s="8">
        <f t="shared" si="15"/>
        <v>111.4934027888856</v>
      </c>
      <c r="D1929" s="9">
        <f t="shared" si="14"/>
        <v>67.016671211469102</v>
      </c>
      <c r="E1929" s="9"/>
      <c r="F1929" s="9">
        <f ca="1">IFERROR(__xludf.DUMMYFUNCTION("""COMPUTED_VALUE"""),43378)</f>
        <v>43378</v>
      </c>
      <c r="G1929" s="9" t="str">
        <f ca="1">IFERROR(__xludf.DUMMYFUNCTION("""COMPUTED_VALUE"""),"1 USD = 123.5599 PKR")</f>
        <v>1 USD = 123.5599 PKR</v>
      </c>
      <c r="H1929" s="9" t="str">
        <f ca="1">IFERROR(__xludf.DUMMYFUNCTION("""COMPUTED_VALUE"""),"USD PKR rate for 05/10/2018")</f>
        <v>USD PKR rate for 05/10/2018</v>
      </c>
      <c r="I1929" s="9"/>
    </row>
    <row r="1930" spans="1:9" ht="14.25" customHeight="1" x14ac:dyDescent="0.3">
      <c r="A1930" s="6">
        <v>41647</v>
      </c>
      <c r="B1930" s="7">
        <v>105.4569</v>
      </c>
      <c r="C1930" s="8">
        <f t="shared" si="15"/>
        <v>111.51334335814776</v>
      </c>
      <c r="D1930" s="9">
        <f t="shared" si="14"/>
        <v>67.019409044266368</v>
      </c>
      <c r="E1930" s="9"/>
      <c r="F1930" s="9">
        <f ca="1">IFERROR(__xludf.DUMMYFUNCTION("""COMPUTED_VALUE"""),43377)</f>
        <v>43377</v>
      </c>
      <c r="G1930" s="9" t="str">
        <f ca="1">IFERROR(__xludf.DUMMYFUNCTION("""COMPUTED_VALUE"""),"1 USD = 123.5005 PKR")</f>
        <v>1 USD = 123.5005 PKR</v>
      </c>
      <c r="H1930" s="9" t="str">
        <f ca="1">IFERROR(__xludf.DUMMYFUNCTION("""COMPUTED_VALUE"""),"USD PKR rate for 04/10/2018")</f>
        <v>USD PKR rate for 04/10/2018</v>
      </c>
      <c r="I1930" s="9"/>
    </row>
    <row r="1931" spans="1:9" ht="14.25" customHeight="1" x14ac:dyDescent="0.3">
      <c r="A1931" s="6">
        <v>41648</v>
      </c>
      <c r="B1931" s="7">
        <v>105.5341</v>
      </c>
      <c r="C1931" s="8">
        <f t="shared" si="15"/>
        <v>111.53328749377621</v>
      </c>
      <c r="D1931" s="9">
        <f t="shared" si="14"/>
        <v>67.022146877063633</v>
      </c>
      <c r="E1931" s="9"/>
      <c r="F1931" s="9">
        <f ca="1">IFERROR(__xludf.DUMMYFUNCTION("""COMPUTED_VALUE"""),43376)</f>
        <v>43376</v>
      </c>
      <c r="G1931" s="9" t="str">
        <f ca="1">IFERROR(__xludf.DUMMYFUNCTION("""COMPUTED_VALUE"""),"1 USD = 123.5535 PKR")</f>
        <v>1 USD = 123.5535 PKR</v>
      </c>
      <c r="H1931" s="9" t="str">
        <f ca="1">IFERROR(__xludf.DUMMYFUNCTION("""COMPUTED_VALUE"""),"USD PKR rate for 03/10/2018")</f>
        <v>USD PKR rate for 03/10/2018</v>
      </c>
      <c r="I1931" s="9"/>
    </row>
    <row r="1932" spans="1:9" ht="14.25" customHeight="1" x14ac:dyDescent="0.3">
      <c r="A1932" s="6">
        <v>41649</v>
      </c>
      <c r="B1932" s="7">
        <v>105.51819999999999</v>
      </c>
      <c r="C1932" s="8">
        <f t="shared" si="15"/>
        <v>111.55323519640872</v>
      </c>
      <c r="D1932" s="9">
        <f t="shared" si="14"/>
        <v>67.024884709860899</v>
      </c>
      <c r="E1932" s="9"/>
      <c r="F1932" s="9">
        <f ca="1">IFERROR(__xludf.DUMMYFUNCTION("""COMPUTED_VALUE"""),43375)</f>
        <v>43375</v>
      </c>
      <c r="G1932" s="9" t="str">
        <f ca="1">IFERROR(__xludf.DUMMYFUNCTION("""COMPUTED_VALUE"""),"1 USD = 123.357 PKR")</f>
        <v>1 USD = 123.357 PKR</v>
      </c>
      <c r="H1932" s="9" t="str">
        <f ca="1">IFERROR(__xludf.DUMMYFUNCTION("""COMPUTED_VALUE"""),"USD PKR rate for 02/10/2018")</f>
        <v>USD PKR rate for 02/10/2018</v>
      </c>
      <c r="I1932" s="9"/>
    </row>
    <row r="1933" spans="1:9" ht="14.25" customHeight="1" x14ac:dyDescent="0.3">
      <c r="A1933" s="6">
        <v>41650</v>
      </c>
      <c r="B1933" s="7">
        <v>105.51650000000001</v>
      </c>
      <c r="C1933" s="8">
        <f t="shared" si="15"/>
        <v>111.57318646668318</v>
      </c>
      <c r="D1933" s="9">
        <f t="shared" si="14"/>
        <v>67.027622542658165</v>
      </c>
      <c r="E1933" s="9"/>
      <c r="F1933" s="9">
        <f ca="1">IFERROR(__xludf.DUMMYFUNCTION("""COMPUTED_VALUE"""),43374)</f>
        <v>43374</v>
      </c>
      <c r="G1933" s="9" t="str">
        <f ca="1">IFERROR(__xludf.DUMMYFUNCTION("""COMPUTED_VALUE"""),"1 USD = 123.1975 PKR")</f>
        <v>1 USD = 123.1975 PKR</v>
      </c>
      <c r="H1933" s="9" t="str">
        <f ca="1">IFERROR(__xludf.DUMMYFUNCTION("""COMPUTED_VALUE"""),"USD PKR rate for 01/10/2018")</f>
        <v>USD PKR rate for 01/10/2018</v>
      </c>
      <c r="I1933" s="9"/>
    </row>
    <row r="1934" spans="1:9" ht="14.25" customHeight="1" x14ac:dyDescent="0.3">
      <c r="A1934" s="6">
        <v>41651</v>
      </c>
      <c r="B1934" s="7">
        <v>105.2236</v>
      </c>
      <c r="C1934" s="8">
        <f t="shared" si="15"/>
        <v>111.59314130523774</v>
      </c>
      <c r="D1934" s="9">
        <f t="shared" si="14"/>
        <v>67.03036037545543</v>
      </c>
      <c r="E1934" s="9"/>
      <c r="F1934" s="9">
        <f ca="1">IFERROR(__xludf.DUMMYFUNCTION("""COMPUTED_VALUE"""),43373)</f>
        <v>43373</v>
      </c>
      <c r="G1934" s="9" t="str">
        <f ca="1">IFERROR(__xludf.DUMMYFUNCTION("""COMPUTED_VALUE"""),"1 USD = 123.3001 PKR")</f>
        <v>1 USD = 123.3001 PKR</v>
      </c>
      <c r="H1934" s="9" t="str">
        <f ca="1">IFERROR(__xludf.DUMMYFUNCTION("""COMPUTED_VALUE"""),"USD PKR rate for 30/09/2018")</f>
        <v>USD PKR rate for 30/09/2018</v>
      </c>
      <c r="I1934" s="9"/>
    </row>
    <row r="1935" spans="1:9" ht="14.25" customHeight="1" x14ac:dyDescent="0.3">
      <c r="A1935" s="6">
        <v>41652</v>
      </c>
      <c r="B1935" s="7">
        <v>105.45340000000002</v>
      </c>
      <c r="C1935" s="8">
        <f t="shared" si="15"/>
        <v>111.61309971271054</v>
      </c>
      <c r="D1935" s="9">
        <f t="shared" si="14"/>
        <v>67.033098208252696</v>
      </c>
      <c r="E1935" s="9"/>
      <c r="F1935" s="9">
        <f ca="1">IFERROR(__xludf.DUMMYFUNCTION("""COMPUTED_VALUE"""),43372)</f>
        <v>43372</v>
      </c>
      <c r="G1935" s="9" t="str">
        <f ca="1">IFERROR(__xludf.DUMMYFUNCTION("""COMPUTED_VALUE"""),"1 USD = 123.6001 PKR")</f>
        <v>1 USD = 123.6001 PKR</v>
      </c>
      <c r="H1935" s="9" t="str">
        <f ca="1">IFERROR(__xludf.DUMMYFUNCTION("""COMPUTED_VALUE"""),"USD PKR rate for 29/09/2018")</f>
        <v>USD PKR rate for 29/09/2018</v>
      </c>
      <c r="I1935" s="9"/>
    </row>
    <row r="1936" spans="1:9" ht="14.25" customHeight="1" x14ac:dyDescent="0.3">
      <c r="A1936" s="6">
        <v>41653</v>
      </c>
      <c r="B1936" s="7">
        <v>105.6972</v>
      </c>
      <c r="C1936" s="8">
        <f t="shared" si="15"/>
        <v>111.6330616897399</v>
      </c>
      <c r="D1936" s="9">
        <f t="shared" si="14"/>
        <v>67.035836041049961</v>
      </c>
      <c r="E1936" s="9"/>
      <c r="F1936" s="9">
        <f ca="1">IFERROR(__xludf.DUMMYFUNCTION("""COMPUTED_VALUE"""),43371)</f>
        <v>43371</v>
      </c>
      <c r="G1936" s="9" t="str">
        <f ca="1">IFERROR(__xludf.DUMMYFUNCTION("""COMPUTED_VALUE"""),"1 USD = 123.6001 PKR")</f>
        <v>1 USD = 123.6001 PKR</v>
      </c>
      <c r="H1936" s="9" t="str">
        <f ca="1">IFERROR(__xludf.DUMMYFUNCTION("""COMPUTED_VALUE"""),"USD PKR rate for 28/09/2018")</f>
        <v>USD PKR rate for 28/09/2018</v>
      </c>
      <c r="I1936" s="9"/>
    </row>
    <row r="1937" spans="1:9" ht="14.25" customHeight="1" x14ac:dyDescent="0.3">
      <c r="A1937" s="6">
        <v>41654</v>
      </c>
      <c r="B1937" s="7">
        <v>105.47860000000001</v>
      </c>
      <c r="C1937" s="8">
        <f t="shared" si="15"/>
        <v>111.65302723696422</v>
      </c>
      <c r="D1937" s="9">
        <f t="shared" si="14"/>
        <v>67.038573873847227</v>
      </c>
      <c r="E1937" s="9"/>
      <c r="F1937" s="9">
        <f ca="1">IFERROR(__xludf.DUMMYFUNCTION("""COMPUTED_VALUE"""),43370)</f>
        <v>43370</v>
      </c>
      <c r="G1937" s="9" t="str">
        <f ca="1">IFERROR(__xludf.DUMMYFUNCTION("""COMPUTED_VALUE"""),"1 USD = 123.4426 PKR")</f>
        <v>1 USD = 123.4426 PKR</v>
      </c>
      <c r="H1937" s="9" t="str">
        <f ca="1">IFERROR(__xludf.DUMMYFUNCTION("""COMPUTED_VALUE"""),"USD PKR rate for 27/09/2018")</f>
        <v>USD PKR rate for 27/09/2018</v>
      </c>
      <c r="I1937" s="9"/>
    </row>
    <row r="1938" spans="1:9" ht="14.25" customHeight="1" x14ac:dyDescent="0.3">
      <c r="A1938" s="6">
        <v>41655</v>
      </c>
      <c r="B1938" s="7">
        <v>105.5009</v>
      </c>
      <c r="C1938" s="8">
        <f t="shared" si="15"/>
        <v>111.67299635502204</v>
      </c>
      <c r="D1938" s="9">
        <f t="shared" si="14"/>
        <v>67.041311706644493</v>
      </c>
      <c r="E1938" s="9"/>
      <c r="F1938" s="9">
        <f ca="1">IFERROR(__xludf.DUMMYFUNCTION("""COMPUTED_VALUE"""),43369)</f>
        <v>43369</v>
      </c>
      <c r="G1938" s="9" t="str">
        <f ca="1">IFERROR(__xludf.DUMMYFUNCTION("""COMPUTED_VALUE"""),"1 USD = 123.4237 PKR")</f>
        <v>1 USD = 123.4237 PKR</v>
      </c>
      <c r="H1938" s="9" t="str">
        <f ca="1">IFERROR(__xludf.DUMMYFUNCTION("""COMPUTED_VALUE"""),"USD PKR rate for 26/09/2018")</f>
        <v>USD PKR rate for 26/09/2018</v>
      </c>
      <c r="I1938" s="9"/>
    </row>
    <row r="1939" spans="1:9" ht="14.25" customHeight="1" x14ac:dyDescent="0.3">
      <c r="A1939" s="6">
        <v>41656</v>
      </c>
      <c r="B1939" s="7">
        <v>105.38070000000002</v>
      </c>
      <c r="C1939" s="8">
        <f t="shared" si="15"/>
        <v>111.69296904455192</v>
      </c>
      <c r="D1939" s="9">
        <f t="shared" si="14"/>
        <v>67.044049539441758</v>
      </c>
      <c r="E1939" s="9"/>
      <c r="F1939" s="9">
        <f ca="1">IFERROR(__xludf.DUMMYFUNCTION("""COMPUTED_VALUE"""),43368)</f>
        <v>43368</v>
      </c>
      <c r="G1939" s="9" t="str">
        <f ca="1">IFERROR(__xludf.DUMMYFUNCTION("""COMPUTED_VALUE"""),"1 USD = 123.7542 PKR")</f>
        <v>1 USD = 123.7542 PKR</v>
      </c>
      <c r="H1939" s="9" t="str">
        <f ca="1">IFERROR(__xludf.DUMMYFUNCTION("""COMPUTED_VALUE"""),"USD PKR rate for 25/09/2018")</f>
        <v>USD PKR rate for 25/09/2018</v>
      </c>
      <c r="I1939" s="9"/>
    </row>
    <row r="1940" spans="1:9" ht="14.25" customHeight="1" x14ac:dyDescent="0.3">
      <c r="A1940" s="6">
        <v>41657</v>
      </c>
      <c r="B1940" s="7">
        <v>105.345</v>
      </c>
      <c r="C1940" s="8">
        <f t="shared" si="15"/>
        <v>111.71294530619276</v>
      </c>
      <c r="D1940" s="9">
        <f t="shared" si="14"/>
        <v>67.046787372239024</v>
      </c>
      <c r="E1940" s="9"/>
      <c r="F1940" s="9">
        <f ca="1">IFERROR(__xludf.DUMMYFUNCTION("""COMPUTED_VALUE"""),43367)</f>
        <v>43367</v>
      </c>
      <c r="G1940" s="9" t="str">
        <f ca="1">IFERROR(__xludf.DUMMYFUNCTION("""COMPUTED_VALUE"""),"1 USD = 123.298 PKR")</f>
        <v>1 USD = 123.298 PKR</v>
      </c>
      <c r="H1940" s="9" t="str">
        <f ca="1">IFERROR(__xludf.DUMMYFUNCTION("""COMPUTED_VALUE"""),"USD PKR rate for 24/09/2018")</f>
        <v>USD PKR rate for 24/09/2018</v>
      </c>
      <c r="I1940" s="9"/>
    </row>
    <row r="1941" spans="1:9" ht="14.25" customHeight="1" x14ac:dyDescent="0.3">
      <c r="A1941" s="6">
        <v>41658</v>
      </c>
      <c r="B1941" s="7">
        <v>105.5527</v>
      </c>
      <c r="C1941" s="8">
        <f t="shared" si="15"/>
        <v>111.73292514058339</v>
      </c>
      <c r="D1941" s="9">
        <f t="shared" si="14"/>
        <v>67.049525205036289</v>
      </c>
      <c r="E1941" s="9"/>
      <c r="F1941" s="9">
        <f ca="1">IFERROR(__xludf.DUMMYFUNCTION("""COMPUTED_VALUE"""),43366)</f>
        <v>43366</v>
      </c>
      <c r="G1941" s="9" t="str">
        <f ca="1">IFERROR(__xludf.DUMMYFUNCTION("""COMPUTED_VALUE"""),"1 USD = 123.154 PKR")</f>
        <v>1 USD = 123.154 PKR</v>
      </c>
      <c r="H1941" s="9" t="str">
        <f ca="1">IFERROR(__xludf.DUMMYFUNCTION("""COMPUTED_VALUE"""),"USD PKR rate for 23/09/2018")</f>
        <v>USD PKR rate for 23/09/2018</v>
      </c>
      <c r="I1941" s="9"/>
    </row>
    <row r="1942" spans="1:9" ht="14.25" customHeight="1" x14ac:dyDescent="0.3">
      <c r="A1942" s="6">
        <v>41659</v>
      </c>
      <c r="B1942" s="7">
        <v>105.41930000000001</v>
      </c>
      <c r="C1942" s="8">
        <f t="shared" si="15"/>
        <v>111.75290854836277</v>
      </c>
      <c r="D1942" s="9">
        <f t="shared" si="14"/>
        <v>67.052263037833555</v>
      </c>
      <c r="E1942" s="9"/>
      <c r="F1942" s="9">
        <f ca="1">IFERROR(__xludf.DUMMYFUNCTION("""COMPUTED_VALUE"""),43365)</f>
        <v>43365</v>
      </c>
      <c r="G1942" s="9" t="str">
        <f ca="1">IFERROR(__xludf.DUMMYFUNCTION("""COMPUTED_VALUE"""),"1 USD = 123.1495 PKR")</f>
        <v>1 USD = 123.1495 PKR</v>
      </c>
      <c r="H1942" s="9" t="str">
        <f ca="1">IFERROR(__xludf.DUMMYFUNCTION("""COMPUTED_VALUE"""),"USD PKR rate for 22/09/2018")</f>
        <v>USD PKR rate for 22/09/2018</v>
      </c>
      <c r="I1942" s="9"/>
    </row>
    <row r="1943" spans="1:9" ht="14.25" customHeight="1" x14ac:dyDescent="0.3">
      <c r="A1943" s="6">
        <v>41660</v>
      </c>
      <c r="B1943" s="7">
        <v>105.5497</v>
      </c>
      <c r="C1943" s="8">
        <f t="shared" si="15"/>
        <v>111.77289553016999</v>
      </c>
      <c r="D1943" s="9">
        <f t="shared" si="14"/>
        <v>67.05500087063082</v>
      </c>
      <c r="E1943" s="9"/>
      <c r="F1943" s="9">
        <f ca="1">IFERROR(__xludf.DUMMYFUNCTION("""COMPUTED_VALUE"""),43364)</f>
        <v>43364</v>
      </c>
      <c r="G1943" s="9" t="str">
        <f ca="1">IFERROR(__xludf.DUMMYFUNCTION("""COMPUTED_VALUE"""),"1 USD = 123.7498 PKR")</f>
        <v>1 USD = 123.7498 PKR</v>
      </c>
      <c r="H1943" s="9" t="str">
        <f ca="1">IFERROR(__xludf.DUMMYFUNCTION("""COMPUTED_VALUE"""),"USD PKR rate for 21/09/2018")</f>
        <v>USD PKR rate for 21/09/2018</v>
      </c>
      <c r="I1943" s="9"/>
    </row>
    <row r="1944" spans="1:9" ht="14.25" customHeight="1" x14ac:dyDescent="0.3">
      <c r="A1944" s="6">
        <v>41661</v>
      </c>
      <c r="B1944" s="7">
        <v>105.4794</v>
      </c>
      <c r="C1944" s="8">
        <f t="shared" si="15"/>
        <v>111.79288608664427</v>
      </c>
      <c r="D1944" s="9">
        <f t="shared" si="14"/>
        <v>67.057738703428086</v>
      </c>
      <c r="E1944" s="9"/>
      <c r="F1944" s="9">
        <f ca="1">IFERROR(__xludf.DUMMYFUNCTION("""COMPUTED_VALUE"""),43363)</f>
        <v>43363</v>
      </c>
      <c r="G1944" s="9" t="str">
        <f ca="1">IFERROR(__xludf.DUMMYFUNCTION("""COMPUTED_VALUE"""),"1 USD = 123.4477 PKR")</f>
        <v>1 USD = 123.4477 PKR</v>
      </c>
      <c r="H1944" s="9" t="str">
        <f ca="1">IFERROR(__xludf.DUMMYFUNCTION("""COMPUTED_VALUE"""),"USD PKR rate for 20/09/2018")</f>
        <v>USD PKR rate for 20/09/2018</v>
      </c>
      <c r="I1944" s="9"/>
    </row>
    <row r="1945" spans="1:9" ht="14.25" customHeight="1" x14ac:dyDescent="0.3">
      <c r="A1945" s="6">
        <v>41662</v>
      </c>
      <c r="B1945" s="7">
        <v>105.35550000000001</v>
      </c>
      <c r="C1945" s="8">
        <f t="shared" si="15"/>
        <v>111.81288021842498</v>
      </c>
      <c r="D1945" s="9">
        <f t="shared" si="14"/>
        <v>67.060476536225352</v>
      </c>
      <c r="E1945" s="9"/>
      <c r="F1945" s="9">
        <f ca="1">IFERROR(__xludf.DUMMYFUNCTION("""COMPUTED_VALUE"""),43362)</f>
        <v>43362</v>
      </c>
      <c r="G1945" s="9" t="str">
        <f ca="1">IFERROR(__xludf.DUMMYFUNCTION("""COMPUTED_VALUE"""),"1 USD = 123.3762 PKR")</f>
        <v>1 USD = 123.3762 PKR</v>
      </c>
      <c r="H1945" s="9" t="str">
        <f ca="1">IFERROR(__xludf.DUMMYFUNCTION("""COMPUTED_VALUE"""),"USD PKR rate for 19/09/2018")</f>
        <v>USD PKR rate for 19/09/2018</v>
      </c>
      <c r="I1945" s="9"/>
    </row>
    <row r="1946" spans="1:9" ht="14.25" customHeight="1" x14ac:dyDescent="0.3">
      <c r="A1946" s="6">
        <v>41663</v>
      </c>
      <c r="B1946" s="7">
        <v>105.4662</v>
      </c>
      <c r="C1946" s="8">
        <f t="shared" si="15"/>
        <v>111.8328779261515</v>
      </c>
      <c r="D1946" s="9">
        <f t="shared" si="14"/>
        <v>67.063214369022617</v>
      </c>
      <c r="E1946" s="9"/>
      <c r="F1946" s="9">
        <f ca="1">IFERROR(__xludf.DUMMYFUNCTION("""COMPUTED_VALUE"""),43361)</f>
        <v>43361</v>
      </c>
      <c r="G1946" s="9" t="str">
        <f ca="1">IFERROR(__xludf.DUMMYFUNCTION("""COMPUTED_VALUE"""),"1 USD = 123.3041 PKR")</f>
        <v>1 USD = 123.3041 PKR</v>
      </c>
      <c r="H1946" s="9" t="str">
        <f ca="1">IFERROR(__xludf.DUMMYFUNCTION("""COMPUTED_VALUE"""),"USD PKR rate for 18/09/2018")</f>
        <v>USD PKR rate for 18/09/2018</v>
      </c>
      <c r="I1946" s="9"/>
    </row>
    <row r="1947" spans="1:9" ht="14.25" customHeight="1" x14ac:dyDescent="0.3">
      <c r="A1947" s="6">
        <v>41664</v>
      </c>
      <c r="B1947" s="7">
        <v>105.4165</v>
      </c>
      <c r="C1947" s="8">
        <f t="shared" si="15"/>
        <v>111.85287921046343</v>
      </c>
      <c r="D1947" s="9">
        <f t="shared" si="14"/>
        <v>67.065952201819883</v>
      </c>
      <c r="E1947" s="9"/>
      <c r="F1947" s="9">
        <f ca="1">IFERROR(__xludf.DUMMYFUNCTION("""COMPUTED_VALUE"""),43360)</f>
        <v>43360</v>
      </c>
      <c r="G1947" s="9" t="str">
        <f ca="1">IFERROR(__xludf.DUMMYFUNCTION("""COMPUTED_VALUE"""),"1 USD = 123.5165 PKR")</f>
        <v>1 USD = 123.5165 PKR</v>
      </c>
      <c r="H1947" s="9" t="str">
        <f ca="1">IFERROR(__xludf.DUMMYFUNCTION("""COMPUTED_VALUE"""),"USD PKR rate for 17/09/2018")</f>
        <v>USD PKR rate for 17/09/2018</v>
      </c>
      <c r="I1947" s="9"/>
    </row>
    <row r="1948" spans="1:9" ht="14.25" customHeight="1" x14ac:dyDescent="0.3">
      <c r="A1948" s="6">
        <v>41665</v>
      </c>
      <c r="B1948" s="7">
        <v>105.53100000000001</v>
      </c>
      <c r="C1948" s="8">
        <f t="shared" si="15"/>
        <v>111.87288407200029</v>
      </c>
      <c r="D1948" s="9">
        <f t="shared" si="14"/>
        <v>67.068690034617148</v>
      </c>
      <c r="E1948" s="9"/>
      <c r="F1948" s="9">
        <f ca="1">IFERROR(__xludf.DUMMYFUNCTION("""COMPUTED_VALUE"""),43359)</f>
        <v>43359</v>
      </c>
      <c r="G1948" s="9" t="str">
        <f ca="1">IFERROR(__xludf.DUMMYFUNCTION("""COMPUTED_VALUE"""),"1 USD = 123.4002 PKR")</f>
        <v>1 USD = 123.4002 PKR</v>
      </c>
      <c r="H1948" s="9" t="str">
        <f ca="1">IFERROR(__xludf.DUMMYFUNCTION("""COMPUTED_VALUE"""),"USD PKR rate for 16/09/2018")</f>
        <v>USD PKR rate for 16/09/2018</v>
      </c>
      <c r="I1948" s="9"/>
    </row>
    <row r="1949" spans="1:9" ht="14.25" customHeight="1" x14ac:dyDescent="0.3">
      <c r="A1949" s="6">
        <v>41666</v>
      </c>
      <c r="B1949" s="7">
        <v>105.542</v>
      </c>
      <c r="C1949" s="8">
        <f t="shared" si="15"/>
        <v>111.89289251140214</v>
      </c>
      <c r="D1949" s="9">
        <f t="shared" si="14"/>
        <v>67.071427867414414</v>
      </c>
      <c r="E1949" s="9"/>
      <c r="F1949" s="9">
        <f ca="1">IFERROR(__xludf.DUMMYFUNCTION("""COMPUTED_VALUE"""),43358)</f>
        <v>43358</v>
      </c>
      <c r="G1949" s="9" t="str">
        <f ca="1">IFERROR(__xludf.DUMMYFUNCTION("""COMPUTED_VALUE"""),"1 USD = 123.8744 PKR")</f>
        <v>1 USD = 123.8744 PKR</v>
      </c>
      <c r="H1949" s="9" t="str">
        <f ca="1">IFERROR(__xludf.DUMMYFUNCTION("""COMPUTED_VALUE"""),"USD PKR rate for 15/09/2018")</f>
        <v>USD PKR rate for 15/09/2018</v>
      </c>
      <c r="I1949" s="9"/>
    </row>
    <row r="1950" spans="1:9" ht="14.25" customHeight="1" x14ac:dyDescent="0.3">
      <c r="A1950" s="6">
        <v>41667</v>
      </c>
      <c r="B1950" s="7">
        <v>105.4889</v>
      </c>
      <c r="C1950" s="8">
        <f t="shared" si="15"/>
        <v>111.91290452930873</v>
      </c>
      <c r="D1950" s="9">
        <f t="shared" si="14"/>
        <v>67.07416570021168</v>
      </c>
      <c r="E1950" s="9"/>
      <c r="F1950" s="9">
        <f ca="1">IFERROR(__xludf.DUMMYFUNCTION("""COMPUTED_VALUE"""),43357)</f>
        <v>43357</v>
      </c>
      <c r="G1950" s="9" t="str">
        <f ca="1">IFERROR(__xludf.DUMMYFUNCTION("""COMPUTED_VALUE"""),"1 USD = 123.8744 PKR")</f>
        <v>1 USD = 123.8744 PKR</v>
      </c>
      <c r="H1950" s="9" t="str">
        <f ca="1">IFERROR(__xludf.DUMMYFUNCTION("""COMPUTED_VALUE"""),"USD PKR rate for 14/09/2018")</f>
        <v>USD PKR rate for 14/09/2018</v>
      </c>
      <c r="I1950" s="9"/>
    </row>
    <row r="1951" spans="1:9" ht="14.25" customHeight="1" x14ac:dyDescent="0.3">
      <c r="A1951" s="6">
        <v>41668</v>
      </c>
      <c r="B1951" s="7">
        <v>105.38720000000001</v>
      </c>
      <c r="C1951" s="8">
        <f t="shared" si="15"/>
        <v>111.93292012636007</v>
      </c>
      <c r="D1951" s="9">
        <f t="shared" si="14"/>
        <v>67.076903533008945</v>
      </c>
      <c r="E1951" s="9"/>
      <c r="F1951" s="9">
        <f ca="1">IFERROR(__xludf.DUMMYFUNCTION("""COMPUTED_VALUE"""),43356)</f>
        <v>43356</v>
      </c>
      <c r="G1951" s="9" t="str">
        <f ca="1">IFERROR(__xludf.DUMMYFUNCTION("""COMPUTED_VALUE"""),"1 USD = 123.5393 PKR")</f>
        <v>1 USD = 123.5393 PKR</v>
      </c>
      <c r="H1951" s="9" t="str">
        <f ca="1">IFERROR(__xludf.DUMMYFUNCTION("""COMPUTED_VALUE"""),"USD PKR rate for 13/09/2018")</f>
        <v>USD PKR rate for 13/09/2018</v>
      </c>
      <c r="I1951" s="9"/>
    </row>
    <row r="1952" spans="1:9" ht="14.25" customHeight="1" x14ac:dyDescent="0.3">
      <c r="A1952" s="6">
        <v>41669</v>
      </c>
      <c r="B1952" s="7">
        <v>105.42150000000001</v>
      </c>
      <c r="C1952" s="8">
        <f t="shared" si="15"/>
        <v>111.95293930319635</v>
      </c>
      <c r="D1952" s="9">
        <f t="shared" si="14"/>
        <v>67.079641365806211</v>
      </c>
      <c r="E1952" s="9"/>
      <c r="F1952" s="9">
        <f ca="1">IFERROR(__xludf.DUMMYFUNCTION("""COMPUTED_VALUE"""),43355)</f>
        <v>43355</v>
      </c>
      <c r="G1952" s="9" t="str">
        <f ca="1">IFERROR(__xludf.DUMMYFUNCTION("""COMPUTED_VALUE"""),"1 USD = 123.1155 PKR")</f>
        <v>1 USD = 123.1155 PKR</v>
      </c>
      <c r="H1952" s="9" t="str">
        <f ca="1">IFERROR(__xludf.DUMMYFUNCTION("""COMPUTED_VALUE"""),"USD PKR rate for 12/09/2018")</f>
        <v>USD PKR rate for 12/09/2018</v>
      </c>
      <c r="I1952" s="9"/>
    </row>
    <row r="1953" spans="1:9" ht="14.25" customHeight="1" x14ac:dyDescent="0.3">
      <c r="A1953" s="6">
        <v>41670</v>
      </c>
      <c r="B1953" s="7">
        <v>105.5012</v>
      </c>
      <c r="C1953" s="8">
        <f t="shared" si="15"/>
        <v>111.97296206045775</v>
      </c>
      <c r="D1953" s="9">
        <f t="shared" si="14"/>
        <v>67.082379198603476</v>
      </c>
      <c r="E1953" s="9"/>
      <c r="F1953" s="9">
        <f ca="1">IFERROR(__xludf.DUMMYFUNCTION("""COMPUTED_VALUE"""),43354)</f>
        <v>43354</v>
      </c>
      <c r="G1953" s="9" t="str">
        <f ca="1">IFERROR(__xludf.DUMMYFUNCTION("""COMPUTED_VALUE"""),"1 USD = 123.1113 PKR")</f>
        <v>1 USD = 123.1113 PKR</v>
      </c>
      <c r="H1953" s="9" t="str">
        <f ca="1">IFERROR(__xludf.DUMMYFUNCTION("""COMPUTED_VALUE"""),"USD PKR rate for 11/09/2018")</f>
        <v>USD PKR rate for 11/09/2018</v>
      </c>
      <c r="I1953" s="9"/>
    </row>
    <row r="1954" spans="1:9" ht="14.25" customHeight="1" x14ac:dyDescent="0.3">
      <c r="A1954" s="6">
        <v>41671</v>
      </c>
      <c r="B1954" s="7">
        <v>105.5518</v>
      </c>
      <c r="C1954" s="8">
        <f t="shared" si="15"/>
        <v>111.99298839878462</v>
      </c>
      <c r="D1954" s="9">
        <f t="shared" si="14"/>
        <v>67.085117031400742</v>
      </c>
      <c r="E1954" s="9"/>
      <c r="F1954" s="9">
        <f ca="1">IFERROR(__xludf.DUMMYFUNCTION("""COMPUTED_VALUE"""),43353)</f>
        <v>43353</v>
      </c>
      <c r="G1954" s="9" t="str">
        <f ca="1">IFERROR(__xludf.DUMMYFUNCTION("""COMPUTED_VALUE"""),"1 USD = 123.4255 PKR")</f>
        <v>1 USD = 123.4255 PKR</v>
      </c>
      <c r="H1954" s="9" t="str">
        <f ca="1">IFERROR(__xludf.DUMMYFUNCTION("""COMPUTED_VALUE"""),"USD PKR rate for 10/09/2018")</f>
        <v>USD PKR rate for 10/09/2018</v>
      </c>
      <c r="I1954" s="9"/>
    </row>
    <row r="1955" spans="1:9" ht="14.25" customHeight="1" x14ac:dyDescent="0.3">
      <c r="A1955" s="6">
        <v>41672</v>
      </c>
      <c r="B1955" s="7">
        <v>105.6922</v>
      </c>
      <c r="C1955" s="8">
        <f t="shared" si="15"/>
        <v>112.0130183188175</v>
      </c>
      <c r="D1955" s="9">
        <f t="shared" si="14"/>
        <v>67.087854864198007</v>
      </c>
      <c r="E1955" s="9"/>
      <c r="F1955" s="9">
        <f ca="1">IFERROR(__xludf.DUMMYFUNCTION("""COMPUTED_VALUE"""),43352)</f>
        <v>43352</v>
      </c>
      <c r="G1955" s="9" t="str">
        <f ca="1">IFERROR(__xludf.DUMMYFUNCTION("""COMPUTED_VALUE"""),"1 USD = 123.2358 PKR")</f>
        <v>1 USD = 123.2358 PKR</v>
      </c>
      <c r="H1955" s="9" t="str">
        <f ca="1">IFERROR(__xludf.DUMMYFUNCTION("""COMPUTED_VALUE"""),"USD PKR rate for 09/09/2018")</f>
        <v>USD PKR rate for 09/09/2018</v>
      </c>
      <c r="I1955" s="9"/>
    </row>
    <row r="1956" spans="1:9" ht="14.25" customHeight="1" x14ac:dyDescent="0.3">
      <c r="A1956" s="6">
        <v>41673</v>
      </c>
      <c r="B1956" s="7">
        <v>105.6187</v>
      </c>
      <c r="C1956" s="8">
        <f t="shared" si="15"/>
        <v>112.03305182119691</v>
      </c>
      <c r="D1956" s="9">
        <f t="shared" si="14"/>
        <v>67.090592696995273</v>
      </c>
      <c r="E1956" s="9"/>
      <c r="F1956" s="9">
        <f ca="1">IFERROR(__xludf.DUMMYFUNCTION("""COMPUTED_VALUE"""),43351)</f>
        <v>43351</v>
      </c>
      <c r="G1956" s="9" t="str">
        <f ca="1">IFERROR(__xludf.DUMMYFUNCTION("""COMPUTED_VALUE"""),"1 USD = 123.219 PKR")</f>
        <v>1 USD = 123.219 PKR</v>
      </c>
      <c r="H1956" s="9" t="str">
        <f ca="1">IFERROR(__xludf.DUMMYFUNCTION("""COMPUTED_VALUE"""),"USD PKR rate for 08/09/2018")</f>
        <v>USD PKR rate for 08/09/2018</v>
      </c>
      <c r="I1956" s="9"/>
    </row>
    <row r="1957" spans="1:9" ht="14.25" customHeight="1" x14ac:dyDescent="0.3">
      <c r="A1957" s="6">
        <v>41674</v>
      </c>
      <c r="B1957" s="7">
        <v>105.4601</v>
      </c>
      <c r="C1957" s="8">
        <f t="shared" si="15"/>
        <v>112.0530889065635</v>
      </c>
      <c r="D1957" s="9">
        <f t="shared" si="14"/>
        <v>67.093330529792539</v>
      </c>
      <c r="E1957" s="9"/>
      <c r="F1957" s="9">
        <f ca="1">IFERROR(__xludf.DUMMYFUNCTION("""COMPUTED_VALUE"""),43350)</f>
        <v>43350</v>
      </c>
      <c r="G1957" s="9" t="str">
        <f ca="1">IFERROR(__xludf.DUMMYFUNCTION("""COMPUTED_VALUE"""),"1 USD = 123.2174 PKR")</f>
        <v>1 USD = 123.2174 PKR</v>
      </c>
      <c r="H1957" s="9" t="str">
        <f ca="1">IFERROR(__xludf.DUMMYFUNCTION("""COMPUTED_VALUE"""),"USD PKR rate for 07/09/2018")</f>
        <v>USD PKR rate for 07/09/2018</v>
      </c>
      <c r="I1957" s="9"/>
    </row>
    <row r="1958" spans="1:9" ht="14.25" customHeight="1" x14ac:dyDescent="0.3">
      <c r="A1958" s="6">
        <v>41675</v>
      </c>
      <c r="B1958" s="7">
        <v>105.4152</v>
      </c>
      <c r="C1958" s="8">
        <f t="shared" si="15"/>
        <v>112.07312957555826</v>
      </c>
      <c r="D1958" s="9">
        <f t="shared" si="14"/>
        <v>67.096068362589804</v>
      </c>
      <c r="E1958" s="9"/>
      <c r="F1958" s="9">
        <f ca="1">IFERROR(__xludf.DUMMYFUNCTION("""COMPUTED_VALUE"""),43349)</f>
        <v>43349</v>
      </c>
      <c r="G1958" s="9" t="str">
        <f ca="1">IFERROR(__xludf.DUMMYFUNCTION("""COMPUTED_VALUE"""),"1 USD = 123.1106 PKR")</f>
        <v>1 USD = 123.1106 PKR</v>
      </c>
      <c r="H1958" s="9" t="str">
        <f ca="1">IFERROR(__xludf.DUMMYFUNCTION("""COMPUTED_VALUE"""),"USD PKR rate for 06/09/2018")</f>
        <v>USD PKR rate for 06/09/2018</v>
      </c>
      <c r="I1958" s="9"/>
    </row>
    <row r="1959" spans="1:9" ht="14.25" customHeight="1" x14ac:dyDescent="0.3">
      <c r="A1959" s="6">
        <v>41676</v>
      </c>
      <c r="B1959" s="7">
        <v>105.44440000000002</v>
      </c>
      <c r="C1959" s="8">
        <f t="shared" si="15"/>
        <v>112.09317382882202</v>
      </c>
      <c r="D1959" s="9">
        <f t="shared" si="14"/>
        <v>67.09880619538707</v>
      </c>
      <c r="E1959" s="9"/>
      <c r="F1959" s="9">
        <f ca="1">IFERROR(__xludf.DUMMYFUNCTION("""COMPUTED_VALUE"""),43348)</f>
        <v>43348</v>
      </c>
      <c r="G1959" s="9" t="str">
        <f ca="1">IFERROR(__xludf.DUMMYFUNCTION("""COMPUTED_VALUE"""),"1 USD = 123.1807 PKR")</f>
        <v>1 USD = 123.1807 PKR</v>
      </c>
      <c r="H1959" s="9" t="str">
        <f ca="1">IFERROR(__xludf.DUMMYFUNCTION("""COMPUTED_VALUE"""),"USD PKR rate for 05/09/2018")</f>
        <v>USD PKR rate for 05/09/2018</v>
      </c>
      <c r="I1959" s="9"/>
    </row>
    <row r="1960" spans="1:9" ht="14.25" customHeight="1" x14ac:dyDescent="0.3">
      <c r="A1960" s="6">
        <v>41677</v>
      </c>
      <c r="B1960" s="7">
        <v>105.4136</v>
      </c>
      <c r="C1960" s="8">
        <f t="shared" si="15"/>
        <v>112.11322166699583</v>
      </c>
      <c r="D1960" s="9">
        <f t="shared" si="14"/>
        <v>67.101544028184335</v>
      </c>
      <c r="E1960" s="9"/>
      <c r="F1960" s="9">
        <f ca="1">IFERROR(__xludf.DUMMYFUNCTION("""COMPUTED_VALUE"""),43347)</f>
        <v>43347</v>
      </c>
      <c r="G1960" s="9" t="str">
        <f ca="1">IFERROR(__xludf.DUMMYFUNCTION("""COMPUTED_VALUE"""),"1 USD = 123.1814 PKR")</f>
        <v>1 USD = 123.1814 PKR</v>
      </c>
      <c r="H1960" s="9" t="str">
        <f ca="1">IFERROR(__xludf.DUMMYFUNCTION("""COMPUTED_VALUE"""),"USD PKR rate for 04/09/2018")</f>
        <v>USD PKR rate for 04/09/2018</v>
      </c>
      <c r="I1960" s="9"/>
    </row>
    <row r="1961" spans="1:9" ht="14.25" customHeight="1" x14ac:dyDescent="0.3">
      <c r="A1961" s="6">
        <v>41678</v>
      </c>
      <c r="B1961" s="7">
        <v>105.369</v>
      </c>
      <c r="C1961" s="8">
        <f t="shared" si="15"/>
        <v>112.13327309072086</v>
      </c>
      <c r="D1961" s="9">
        <f t="shared" si="14"/>
        <v>67.104281860981601</v>
      </c>
      <c r="E1961" s="9"/>
      <c r="F1961" s="9">
        <f ca="1">IFERROR(__xludf.DUMMYFUNCTION("""COMPUTED_VALUE"""),43346)</f>
        <v>43346</v>
      </c>
      <c r="G1961" s="9" t="str">
        <f ca="1">IFERROR(__xludf.DUMMYFUNCTION("""COMPUTED_VALUE"""),"1 USD = 123.1056 PKR")</f>
        <v>1 USD = 123.1056 PKR</v>
      </c>
      <c r="H1961" s="9" t="str">
        <f ca="1">IFERROR(__xludf.DUMMYFUNCTION("""COMPUTED_VALUE"""),"USD PKR rate for 03/09/2018")</f>
        <v>USD PKR rate for 03/09/2018</v>
      </c>
      <c r="I1961" s="9"/>
    </row>
    <row r="1962" spans="1:9" ht="14.25" customHeight="1" x14ac:dyDescent="0.3">
      <c r="A1962" s="6">
        <v>41679</v>
      </c>
      <c r="B1962" s="7">
        <v>105.2129</v>
      </c>
      <c r="C1962" s="8">
        <f t="shared" si="15"/>
        <v>112.15332810063838</v>
      </c>
      <c r="D1962" s="9">
        <f t="shared" si="14"/>
        <v>67.107019693778867</v>
      </c>
      <c r="E1962" s="9"/>
      <c r="F1962" s="9">
        <f ca="1">IFERROR(__xludf.DUMMYFUNCTION("""COMPUTED_VALUE"""),43345)</f>
        <v>43345</v>
      </c>
      <c r="G1962" s="9" t="str">
        <f ca="1">IFERROR(__xludf.DUMMYFUNCTION("""COMPUTED_VALUE"""),"1 USD = 123.0753 PKR")</f>
        <v>1 USD = 123.0753 PKR</v>
      </c>
      <c r="H1962" s="9" t="str">
        <f ca="1">IFERROR(__xludf.DUMMYFUNCTION("""COMPUTED_VALUE"""),"USD PKR rate for 02/09/2018")</f>
        <v>USD PKR rate for 02/09/2018</v>
      </c>
      <c r="I1962" s="9"/>
    </row>
    <row r="1963" spans="1:9" ht="14.25" customHeight="1" x14ac:dyDescent="0.3">
      <c r="A1963" s="6">
        <v>41680</v>
      </c>
      <c r="B1963" s="7">
        <v>105.3972</v>
      </c>
      <c r="C1963" s="8">
        <f t="shared" si="15"/>
        <v>112.17338669738979</v>
      </c>
      <c r="D1963" s="9">
        <f t="shared" si="14"/>
        <v>67.109757526576132</v>
      </c>
      <c r="E1963" s="9"/>
      <c r="F1963" s="9">
        <f ca="1">IFERROR(__xludf.DUMMYFUNCTION("""COMPUTED_VALUE"""),43344)</f>
        <v>43344</v>
      </c>
      <c r="G1963" s="9" t="str">
        <f ca="1">IFERROR(__xludf.DUMMYFUNCTION("""COMPUTED_VALUE"""),"1 USD = 122.99 PKR")</f>
        <v>1 USD = 122.99 PKR</v>
      </c>
      <c r="H1963" s="9" t="str">
        <f ca="1">IFERROR(__xludf.DUMMYFUNCTION("""COMPUTED_VALUE"""),"USD PKR rate for 01/09/2018")</f>
        <v>USD PKR rate for 01/09/2018</v>
      </c>
      <c r="I1963" s="9"/>
    </row>
    <row r="1964" spans="1:9" ht="14.25" customHeight="1" x14ac:dyDescent="0.3">
      <c r="A1964" s="6">
        <v>41681</v>
      </c>
      <c r="B1964" s="7">
        <v>105.38850000000001</v>
      </c>
      <c r="C1964" s="8">
        <f t="shared" si="15"/>
        <v>112.19344888161656</v>
      </c>
      <c r="D1964" s="9">
        <f t="shared" si="14"/>
        <v>67.112495359373398</v>
      </c>
      <c r="E1964" s="9"/>
      <c r="F1964" s="9">
        <f ca="1">IFERROR(__xludf.DUMMYFUNCTION("""COMPUTED_VALUE"""),43343)</f>
        <v>43343</v>
      </c>
      <c r="G1964" s="9" t="str">
        <f ca="1">IFERROR(__xludf.DUMMYFUNCTION("""COMPUTED_VALUE"""),"1 USD = 122.99 PKR")</f>
        <v>1 USD = 122.99 PKR</v>
      </c>
      <c r="H1964" s="9" t="str">
        <f ca="1">IFERROR(__xludf.DUMMYFUNCTION("""COMPUTED_VALUE"""),"USD PKR rate for 31/08/2018")</f>
        <v>USD PKR rate for 31/08/2018</v>
      </c>
      <c r="I1964" s="9"/>
    </row>
    <row r="1965" spans="1:9" ht="14.25" customHeight="1" x14ac:dyDescent="0.3">
      <c r="A1965" s="6">
        <v>41682</v>
      </c>
      <c r="B1965" s="7">
        <v>105.251</v>
      </c>
      <c r="C1965" s="8">
        <f t="shared" si="15"/>
        <v>112.21351465396035</v>
      </c>
      <c r="D1965" s="9">
        <f t="shared" si="14"/>
        <v>67.115233192170663</v>
      </c>
      <c r="E1965" s="9"/>
      <c r="F1965" s="9">
        <f ca="1">IFERROR(__xludf.DUMMYFUNCTION("""COMPUTED_VALUE"""),43342)</f>
        <v>43342</v>
      </c>
      <c r="G1965" s="9" t="str">
        <f ca="1">IFERROR(__xludf.DUMMYFUNCTION("""COMPUTED_VALUE"""),"1 USD = 123.0316 PKR")</f>
        <v>1 USD = 123.0316 PKR</v>
      </c>
      <c r="H1965" s="9" t="str">
        <f ca="1">IFERROR(__xludf.DUMMYFUNCTION("""COMPUTED_VALUE"""),"USD PKR rate for 30/08/2018")</f>
        <v>USD PKR rate for 30/08/2018</v>
      </c>
      <c r="I1965" s="9"/>
    </row>
    <row r="1966" spans="1:9" ht="14.25" customHeight="1" x14ac:dyDescent="0.3">
      <c r="A1966" s="6">
        <v>41683</v>
      </c>
      <c r="B1966" s="7">
        <v>105.1507</v>
      </c>
      <c r="C1966" s="8">
        <f t="shared" si="15"/>
        <v>112.23358401506276</v>
      </c>
      <c r="D1966" s="9">
        <f t="shared" si="14"/>
        <v>67.117971024967929</v>
      </c>
      <c r="E1966" s="9"/>
      <c r="F1966" s="9">
        <f ca="1">IFERROR(__xludf.DUMMYFUNCTION("""COMPUTED_VALUE"""),43341)</f>
        <v>43341</v>
      </c>
      <c r="G1966" s="9" t="str">
        <f ca="1">IFERROR(__xludf.DUMMYFUNCTION("""COMPUTED_VALUE"""),"1 USD = 123.1055 PKR")</f>
        <v>1 USD = 123.1055 PKR</v>
      </c>
      <c r="H1966" s="9" t="str">
        <f ca="1">IFERROR(__xludf.DUMMYFUNCTION("""COMPUTED_VALUE"""),"USD PKR rate for 29/08/2018")</f>
        <v>USD PKR rate for 29/08/2018</v>
      </c>
      <c r="I1966" s="9"/>
    </row>
    <row r="1967" spans="1:9" ht="14.25" customHeight="1" x14ac:dyDescent="0.3">
      <c r="A1967" s="6">
        <v>41684</v>
      </c>
      <c r="B1967" s="7">
        <v>104.87560000000001</v>
      </c>
      <c r="C1967" s="8">
        <f t="shared" si="15"/>
        <v>112.25365696556587</v>
      </c>
      <c r="D1967" s="9">
        <f t="shared" si="14"/>
        <v>67.120708857765194</v>
      </c>
      <c r="E1967" s="9"/>
      <c r="F1967" s="9">
        <f ca="1">IFERROR(__xludf.DUMMYFUNCTION("""COMPUTED_VALUE"""),43340)</f>
        <v>43340</v>
      </c>
      <c r="G1967" s="9" t="str">
        <f ca="1">IFERROR(__xludf.DUMMYFUNCTION("""COMPUTED_VALUE"""),"1 USD = 123.0844 PKR")</f>
        <v>1 USD = 123.0844 PKR</v>
      </c>
      <c r="H1967" s="9" t="str">
        <f ca="1">IFERROR(__xludf.DUMMYFUNCTION("""COMPUTED_VALUE"""),"USD PKR rate for 28/08/2018")</f>
        <v>USD PKR rate for 28/08/2018</v>
      </c>
      <c r="I1967" s="9"/>
    </row>
    <row r="1968" spans="1:9" ht="14.25" customHeight="1" x14ac:dyDescent="0.3">
      <c r="A1968" s="6">
        <v>41685</v>
      </c>
      <c r="B1968" s="7">
        <v>104.8498</v>
      </c>
      <c r="C1968" s="8">
        <f t="shared" si="15"/>
        <v>112.2737335061115</v>
      </c>
      <c r="D1968" s="9">
        <f t="shared" si="14"/>
        <v>67.12344669056246</v>
      </c>
      <c r="E1968" s="9"/>
      <c r="F1968" s="9">
        <f ca="1">IFERROR(__xludf.DUMMYFUNCTION("""COMPUTED_VALUE"""),43339)</f>
        <v>43339</v>
      </c>
      <c r="G1968" s="9" t="str">
        <f ca="1">IFERROR(__xludf.DUMMYFUNCTION("""COMPUTED_VALUE"""),"1 USD = 123.0511 PKR")</f>
        <v>1 USD = 123.0511 PKR</v>
      </c>
      <c r="H1968" s="9" t="str">
        <f ca="1">IFERROR(__xludf.DUMMYFUNCTION("""COMPUTED_VALUE"""),"USD PKR rate for 27/08/2018")</f>
        <v>USD PKR rate for 27/08/2018</v>
      </c>
      <c r="I1968" s="9"/>
    </row>
    <row r="1969" spans="1:9" ht="14.25" customHeight="1" x14ac:dyDescent="0.3">
      <c r="A1969" s="6">
        <v>41686</v>
      </c>
      <c r="B1969" s="7">
        <v>104.83369999999999</v>
      </c>
      <c r="C1969" s="8">
        <f t="shared" si="15"/>
        <v>112.29381363734188</v>
      </c>
      <c r="D1969" s="9">
        <f t="shared" si="14"/>
        <v>67.12618452335974</v>
      </c>
      <c r="E1969" s="9"/>
      <c r="F1969" s="9">
        <f ca="1">IFERROR(__xludf.DUMMYFUNCTION("""COMPUTED_VALUE"""),43338)</f>
        <v>43338</v>
      </c>
      <c r="G1969" s="9" t="str">
        <f ca="1">IFERROR(__xludf.DUMMYFUNCTION("""COMPUTED_VALUE"""),"1 USD = 122.0756 PKR")</f>
        <v>1 USD = 122.0756 PKR</v>
      </c>
      <c r="H1969" s="9" t="str">
        <f ca="1">IFERROR(__xludf.DUMMYFUNCTION("""COMPUTED_VALUE"""),"USD PKR rate for 26/08/2018")</f>
        <v>USD PKR rate for 26/08/2018</v>
      </c>
      <c r="I1969" s="9"/>
    </row>
    <row r="1970" spans="1:9" ht="14.25" customHeight="1" x14ac:dyDescent="0.3">
      <c r="A1970" s="6">
        <v>41687</v>
      </c>
      <c r="B1970" s="7">
        <v>104.8725</v>
      </c>
      <c r="C1970" s="8">
        <f t="shared" si="15"/>
        <v>112.31389735989899</v>
      </c>
      <c r="D1970" s="9">
        <f t="shared" si="14"/>
        <v>67.128922356157005</v>
      </c>
      <c r="E1970" s="9"/>
      <c r="F1970" s="9">
        <f ca="1">IFERROR(__xludf.DUMMYFUNCTION("""COMPUTED_VALUE"""),43337)</f>
        <v>43337</v>
      </c>
      <c r="G1970" s="9" t="str">
        <f ca="1">IFERROR(__xludf.DUMMYFUNCTION("""COMPUTED_VALUE"""),"1 USD = 122.076 PKR")</f>
        <v>1 USD = 122.076 PKR</v>
      </c>
      <c r="H1970" s="9" t="str">
        <f ca="1">IFERROR(__xludf.DUMMYFUNCTION("""COMPUTED_VALUE"""),"USD PKR rate for 25/08/2018")</f>
        <v>USD PKR rate for 25/08/2018</v>
      </c>
      <c r="I1970" s="9"/>
    </row>
    <row r="1971" spans="1:9" ht="14.25" customHeight="1" x14ac:dyDescent="0.3">
      <c r="A1971" s="6">
        <v>41688</v>
      </c>
      <c r="B1971" s="7">
        <v>104.8817</v>
      </c>
      <c r="C1971" s="8">
        <f t="shared" si="15"/>
        <v>112.3339846744252</v>
      </c>
      <c r="D1971" s="9">
        <f t="shared" si="14"/>
        <v>67.131660188954271</v>
      </c>
      <c r="E1971" s="9"/>
      <c r="F1971" s="9">
        <f ca="1">IFERROR(__xludf.DUMMYFUNCTION("""COMPUTED_VALUE"""),43336)</f>
        <v>43336</v>
      </c>
      <c r="G1971" s="9" t="str">
        <f ca="1">IFERROR(__xludf.DUMMYFUNCTION("""COMPUTED_VALUE"""),"1 USD = 122.076 PKR")</f>
        <v>1 USD = 122.076 PKR</v>
      </c>
      <c r="H1971" s="9" t="str">
        <f ca="1">IFERROR(__xludf.DUMMYFUNCTION("""COMPUTED_VALUE"""),"USD PKR rate for 24/08/2018")</f>
        <v>USD PKR rate for 24/08/2018</v>
      </c>
      <c r="I1971" s="9"/>
    </row>
    <row r="1972" spans="1:9" ht="14.25" customHeight="1" x14ac:dyDescent="0.3">
      <c r="A1972" s="6">
        <v>41689</v>
      </c>
      <c r="B1972" s="7">
        <v>104.9641</v>
      </c>
      <c r="C1972" s="8">
        <f t="shared" si="15"/>
        <v>112.35407558156298</v>
      </c>
      <c r="D1972" s="9">
        <f t="shared" si="14"/>
        <v>67.134398021751537</v>
      </c>
      <c r="E1972" s="9"/>
      <c r="F1972" s="9">
        <f ca="1">IFERROR(__xludf.DUMMYFUNCTION("""COMPUTED_VALUE"""),43335)</f>
        <v>43335</v>
      </c>
      <c r="G1972" s="9" t="str">
        <f ca="1">IFERROR(__xludf.DUMMYFUNCTION("""COMPUTED_VALUE"""),"1 USD = 123.131 PKR")</f>
        <v>1 USD = 123.131 PKR</v>
      </c>
      <c r="H1972" s="9" t="str">
        <f ca="1">IFERROR(__xludf.DUMMYFUNCTION("""COMPUTED_VALUE"""),"USD PKR rate for 23/08/2018")</f>
        <v>USD PKR rate for 23/08/2018</v>
      </c>
      <c r="I1972" s="9"/>
    </row>
    <row r="1973" spans="1:9" ht="14.25" customHeight="1" x14ac:dyDescent="0.3">
      <c r="A1973" s="6">
        <v>41690</v>
      </c>
      <c r="B1973" s="7">
        <v>104.8323</v>
      </c>
      <c r="C1973" s="8">
        <f t="shared" si="15"/>
        <v>112.37417008195484</v>
      </c>
      <c r="D1973" s="9">
        <f t="shared" si="14"/>
        <v>67.137135854548802</v>
      </c>
      <c r="E1973" s="9"/>
      <c r="F1973" s="9">
        <f ca="1">IFERROR(__xludf.DUMMYFUNCTION("""COMPUTED_VALUE"""),43334)</f>
        <v>43334</v>
      </c>
      <c r="G1973" s="9" t="str">
        <f ca="1">IFERROR(__xludf.DUMMYFUNCTION("""COMPUTED_VALUE"""),"1 USD = 122.7433 PKR")</f>
        <v>1 USD = 122.7433 PKR</v>
      </c>
      <c r="H1973" s="9" t="str">
        <f ca="1">IFERROR(__xludf.DUMMYFUNCTION("""COMPUTED_VALUE"""),"USD PKR rate for 22/08/2018")</f>
        <v>USD PKR rate for 22/08/2018</v>
      </c>
      <c r="I1973" s="9"/>
    </row>
    <row r="1974" spans="1:9" ht="14.25" customHeight="1" x14ac:dyDescent="0.3">
      <c r="A1974" s="6">
        <v>41691</v>
      </c>
      <c r="B1974" s="7">
        <v>104.8751</v>
      </c>
      <c r="C1974" s="8">
        <f t="shared" si="15"/>
        <v>112.39426817624343</v>
      </c>
      <c r="D1974" s="9">
        <f t="shared" si="14"/>
        <v>67.139873687346068</v>
      </c>
      <c r="E1974" s="9"/>
      <c r="F1974" s="9">
        <f ca="1">IFERROR(__xludf.DUMMYFUNCTION("""COMPUTED_VALUE"""),43333)</f>
        <v>43333</v>
      </c>
      <c r="G1974" s="9" t="str">
        <f ca="1">IFERROR(__xludf.DUMMYFUNCTION("""COMPUTED_VALUE"""),"1 USD = 122.7717 PKR")</f>
        <v>1 USD = 122.7717 PKR</v>
      </c>
      <c r="H1974" s="9" t="str">
        <f ca="1">IFERROR(__xludf.DUMMYFUNCTION("""COMPUTED_VALUE"""),"USD PKR rate for 21/08/2018")</f>
        <v>USD PKR rate for 21/08/2018</v>
      </c>
      <c r="I1974" s="9"/>
    </row>
    <row r="1975" spans="1:9" ht="14.25" customHeight="1" x14ac:dyDescent="0.3">
      <c r="A1975" s="6">
        <v>41692</v>
      </c>
      <c r="B1975" s="7">
        <v>104.8445</v>
      </c>
      <c r="C1975" s="8">
        <f t="shared" si="15"/>
        <v>112.41436986507145</v>
      </c>
      <c r="D1975" s="9">
        <f t="shared" si="14"/>
        <v>67.142611520143333</v>
      </c>
      <c r="E1975" s="9"/>
      <c r="F1975" s="9">
        <f ca="1">IFERROR(__xludf.DUMMYFUNCTION("""COMPUTED_VALUE"""),43332)</f>
        <v>43332</v>
      </c>
      <c r="G1975" s="9" t="str">
        <f ca="1">IFERROR(__xludf.DUMMYFUNCTION("""COMPUTED_VALUE"""),"1 USD = 123.1034 PKR")</f>
        <v>1 USD = 123.1034 PKR</v>
      </c>
      <c r="H1975" s="9" t="str">
        <f ca="1">IFERROR(__xludf.DUMMYFUNCTION("""COMPUTED_VALUE"""),"USD PKR rate for 20/08/2018")</f>
        <v>USD PKR rate for 20/08/2018</v>
      </c>
      <c r="I1975" s="9"/>
    </row>
    <row r="1976" spans="1:9" ht="14.25" customHeight="1" x14ac:dyDescent="0.3">
      <c r="A1976" s="6">
        <v>41693</v>
      </c>
      <c r="B1976" s="7">
        <v>104.80410000000001</v>
      </c>
      <c r="C1976" s="8">
        <f t="shared" si="15"/>
        <v>112.43447514908195</v>
      </c>
      <c r="D1976" s="9">
        <f t="shared" si="14"/>
        <v>67.145349352940599</v>
      </c>
      <c r="E1976" s="9"/>
      <c r="F1976" s="9">
        <f ca="1">IFERROR(__xludf.DUMMYFUNCTION("""COMPUTED_VALUE"""),43331)</f>
        <v>43331</v>
      </c>
      <c r="G1976" s="9" t="str">
        <f ca="1">IFERROR(__xludf.DUMMYFUNCTION("""COMPUTED_VALUE"""),"1 USD = 122.9538 PKR")</f>
        <v>1 USD = 122.9538 PKR</v>
      </c>
      <c r="H1976" s="9" t="str">
        <f ca="1">IFERROR(__xludf.DUMMYFUNCTION("""COMPUTED_VALUE"""),"USD PKR rate for 19/08/2018")</f>
        <v>USD PKR rate for 19/08/2018</v>
      </c>
      <c r="I1976" s="9"/>
    </row>
    <row r="1977" spans="1:9" ht="14.25" customHeight="1" x14ac:dyDescent="0.3">
      <c r="A1977" s="6">
        <v>41694</v>
      </c>
      <c r="B1977" s="7">
        <v>104.9038</v>
      </c>
      <c r="C1977" s="8">
        <f t="shared" si="15"/>
        <v>112.45458402891784</v>
      </c>
      <c r="D1977" s="9">
        <f t="shared" si="14"/>
        <v>67.148087185737865</v>
      </c>
      <c r="E1977" s="9"/>
      <c r="F1977" s="9">
        <f ca="1">IFERROR(__xludf.DUMMYFUNCTION("""COMPUTED_VALUE"""),43330)</f>
        <v>43330</v>
      </c>
      <c r="G1977" s="9" t="str">
        <f ca="1">IFERROR(__xludf.DUMMYFUNCTION("""COMPUTED_VALUE"""),"1 USD = 123.6834 PKR")</f>
        <v>1 USD = 123.6834 PKR</v>
      </c>
      <c r="H1977" s="9" t="str">
        <f ca="1">IFERROR(__xludf.DUMMYFUNCTION("""COMPUTED_VALUE"""),"USD PKR rate for 18/08/2018")</f>
        <v>USD PKR rate for 18/08/2018</v>
      </c>
      <c r="I1977" s="9"/>
    </row>
    <row r="1978" spans="1:9" ht="14.25" customHeight="1" x14ac:dyDescent="0.3">
      <c r="A1978" s="6">
        <v>41695</v>
      </c>
      <c r="B1978" s="7">
        <v>105.0361</v>
      </c>
      <c r="C1978" s="8">
        <f t="shared" si="15"/>
        <v>112.47469650522221</v>
      </c>
      <c r="D1978" s="9">
        <f t="shared" si="14"/>
        <v>67.15082501853513</v>
      </c>
      <c r="E1978" s="9"/>
      <c r="F1978" s="9">
        <f ca="1">IFERROR(__xludf.DUMMYFUNCTION("""COMPUTED_VALUE"""),43329)</f>
        <v>43329</v>
      </c>
      <c r="G1978" s="9" t="str">
        <f ca="1">IFERROR(__xludf.DUMMYFUNCTION("""COMPUTED_VALUE"""),"1 USD = 123.6834 PKR")</f>
        <v>1 USD = 123.6834 PKR</v>
      </c>
      <c r="H1978" s="9" t="str">
        <f ca="1">IFERROR(__xludf.DUMMYFUNCTION("""COMPUTED_VALUE"""),"USD PKR rate for 17/08/2018")</f>
        <v>USD PKR rate for 17/08/2018</v>
      </c>
      <c r="I1978" s="9"/>
    </row>
    <row r="1979" spans="1:9" ht="14.25" customHeight="1" x14ac:dyDescent="0.3">
      <c r="A1979" s="6">
        <v>41696</v>
      </c>
      <c r="B1979" s="7">
        <v>104.9633</v>
      </c>
      <c r="C1979" s="8">
        <f t="shared" si="15"/>
        <v>112.49481257863835</v>
      </c>
      <c r="D1979" s="9">
        <f t="shared" si="14"/>
        <v>67.153562851332396</v>
      </c>
      <c r="E1979" s="9"/>
      <c r="F1979" s="9">
        <f ca="1">IFERROR(__xludf.DUMMYFUNCTION("""COMPUTED_VALUE"""),43328)</f>
        <v>43328</v>
      </c>
      <c r="G1979" s="9" t="str">
        <f ca="1">IFERROR(__xludf.DUMMYFUNCTION("""COMPUTED_VALUE"""),"1 USD = 122.7556 PKR")</f>
        <v>1 USD = 122.7556 PKR</v>
      </c>
      <c r="H1979" s="9" t="str">
        <f ca="1">IFERROR(__xludf.DUMMYFUNCTION("""COMPUTED_VALUE"""),"USD PKR rate for 16/08/2018")</f>
        <v>USD PKR rate for 16/08/2018</v>
      </c>
      <c r="I1979" s="9"/>
    </row>
    <row r="1980" spans="1:9" ht="14.25" customHeight="1" x14ac:dyDescent="0.3">
      <c r="A1980" s="6">
        <v>41697</v>
      </c>
      <c r="B1980" s="7">
        <v>104.93510000000001</v>
      </c>
      <c r="C1980" s="8">
        <f t="shared" si="15"/>
        <v>112.51493224980953</v>
      </c>
      <c r="D1980" s="9">
        <f t="shared" si="14"/>
        <v>67.156300684129661</v>
      </c>
      <c r="E1980" s="9"/>
      <c r="F1980" s="9">
        <f ca="1">IFERROR(__xludf.DUMMYFUNCTION("""COMPUTED_VALUE"""),43327)</f>
        <v>43327</v>
      </c>
      <c r="G1980" s="9" t="str">
        <f ca="1">IFERROR(__xludf.DUMMYFUNCTION("""COMPUTED_VALUE"""),"1 USD = 123.5287 PKR")</f>
        <v>1 USD = 123.5287 PKR</v>
      </c>
      <c r="H1980" s="9" t="str">
        <f ca="1">IFERROR(__xludf.DUMMYFUNCTION("""COMPUTED_VALUE"""),"USD PKR rate for 15/08/2018")</f>
        <v>USD PKR rate for 15/08/2018</v>
      </c>
      <c r="I1980" s="9"/>
    </row>
    <row r="1981" spans="1:9" ht="14.25" customHeight="1" x14ac:dyDescent="0.3">
      <c r="A1981" s="6">
        <v>41698</v>
      </c>
      <c r="B1981" s="7">
        <v>104.9782</v>
      </c>
      <c r="C1981" s="8">
        <f t="shared" si="15"/>
        <v>112.53505551937923</v>
      </c>
      <c r="D1981" s="9">
        <f t="shared" si="14"/>
        <v>67.159038516926927</v>
      </c>
      <c r="E1981" s="9"/>
      <c r="F1981" s="9">
        <f ca="1">IFERROR(__xludf.DUMMYFUNCTION("""COMPUTED_VALUE"""),43326)</f>
        <v>43326</v>
      </c>
      <c r="G1981" s="9" t="str">
        <f ca="1">IFERROR(__xludf.DUMMYFUNCTION("""COMPUTED_VALUE"""),"1 USD = 124 PKR")</f>
        <v>1 USD = 124 PKR</v>
      </c>
      <c r="H1981" s="9" t="str">
        <f ca="1">IFERROR(__xludf.DUMMYFUNCTION("""COMPUTED_VALUE"""),"USD PKR rate for 14/08/2018")</f>
        <v>USD PKR rate for 14/08/2018</v>
      </c>
      <c r="I1981" s="9"/>
    </row>
    <row r="1982" spans="1:9" ht="14.25" customHeight="1" x14ac:dyDescent="0.3">
      <c r="A1982" s="6">
        <v>41699</v>
      </c>
      <c r="B1982" s="7">
        <v>104.88639999999999</v>
      </c>
      <c r="C1982" s="8">
        <f t="shared" si="15"/>
        <v>112.55518238799104</v>
      </c>
      <c r="D1982" s="9">
        <f t="shared" si="14"/>
        <v>67.161776349724192</v>
      </c>
      <c r="E1982" s="9"/>
      <c r="F1982" s="9">
        <f ca="1">IFERROR(__xludf.DUMMYFUNCTION("""COMPUTED_VALUE"""),43325)</f>
        <v>43325</v>
      </c>
      <c r="G1982" s="9" t="str">
        <f ca="1">IFERROR(__xludf.DUMMYFUNCTION("""COMPUTED_VALUE"""),"1 USD = 123.7581 PKR")</f>
        <v>1 USD = 123.7581 PKR</v>
      </c>
      <c r="H1982" s="9" t="str">
        <f ca="1">IFERROR(__xludf.DUMMYFUNCTION("""COMPUTED_VALUE"""),"USD PKR rate for 13/08/2018")</f>
        <v>USD PKR rate for 13/08/2018</v>
      </c>
      <c r="I1982" s="9"/>
    </row>
    <row r="1983" spans="1:9" ht="14.25" customHeight="1" x14ac:dyDescent="0.3">
      <c r="A1983" s="6">
        <v>41700</v>
      </c>
      <c r="B1983" s="7">
        <v>104.9157</v>
      </c>
      <c r="C1983" s="8">
        <f t="shared" si="15"/>
        <v>112.57531285628865</v>
      </c>
      <c r="D1983" s="9">
        <f t="shared" si="14"/>
        <v>67.164514182521458</v>
      </c>
      <c r="E1983" s="9"/>
      <c r="F1983" s="9">
        <f ca="1">IFERROR(__xludf.DUMMYFUNCTION("""COMPUTED_VALUE"""),43324)</f>
        <v>43324</v>
      </c>
      <c r="G1983" s="9" t="str">
        <f ca="1">IFERROR(__xludf.DUMMYFUNCTION("""COMPUTED_VALUE"""),"1 USD = 123.3111 PKR")</f>
        <v>1 USD = 123.3111 PKR</v>
      </c>
      <c r="H1983" s="9" t="str">
        <f ca="1">IFERROR(__xludf.DUMMYFUNCTION("""COMPUTED_VALUE"""),"USD PKR rate for 12/08/2018")</f>
        <v>USD PKR rate for 12/08/2018</v>
      </c>
      <c r="I1983" s="9"/>
    </row>
    <row r="1984" spans="1:9" ht="14.25" customHeight="1" x14ac:dyDescent="0.3">
      <c r="A1984" s="6">
        <v>41701</v>
      </c>
      <c r="B1984" s="7">
        <v>104.9165</v>
      </c>
      <c r="C1984" s="8">
        <f t="shared" si="15"/>
        <v>112.59544692491575</v>
      </c>
      <c r="D1984" s="9">
        <f t="shared" si="14"/>
        <v>67.167252015318724</v>
      </c>
      <c r="E1984" s="9"/>
      <c r="F1984" s="9">
        <f ca="1">IFERROR(__xludf.DUMMYFUNCTION("""COMPUTED_VALUE"""),43323)</f>
        <v>43323</v>
      </c>
      <c r="G1984" s="9" t="str">
        <f ca="1">IFERROR(__xludf.DUMMYFUNCTION("""COMPUTED_VALUE"""),"1 USD = 123.95 PKR")</f>
        <v>1 USD = 123.95 PKR</v>
      </c>
      <c r="H1984" s="9" t="str">
        <f ca="1">IFERROR(__xludf.DUMMYFUNCTION("""COMPUTED_VALUE"""),"USD PKR rate for 11/08/2018")</f>
        <v>USD PKR rate for 11/08/2018</v>
      </c>
      <c r="I1984" s="9"/>
    </row>
    <row r="1985" spans="1:9" ht="14.25" customHeight="1" x14ac:dyDescent="0.3">
      <c r="A1985" s="6">
        <v>41702</v>
      </c>
      <c r="B1985" s="7">
        <v>104.89409999999999</v>
      </c>
      <c r="C1985" s="8">
        <f t="shared" si="15"/>
        <v>112.61558459451646</v>
      </c>
      <c r="D1985" s="9">
        <f t="shared" si="14"/>
        <v>67.169989848115989</v>
      </c>
      <c r="E1985" s="9"/>
      <c r="F1985" s="9">
        <f ca="1">IFERROR(__xludf.DUMMYFUNCTION("""COMPUTED_VALUE"""),43322)</f>
        <v>43322</v>
      </c>
      <c r="G1985" s="9" t="str">
        <f ca="1">IFERROR(__xludf.DUMMYFUNCTION("""COMPUTED_VALUE"""),"1 USD = 123.95 PKR")</f>
        <v>1 USD = 123.95 PKR</v>
      </c>
      <c r="H1985" s="9" t="str">
        <f ca="1">IFERROR(__xludf.DUMMYFUNCTION("""COMPUTED_VALUE"""),"USD PKR rate for 10/08/2018")</f>
        <v>USD PKR rate for 10/08/2018</v>
      </c>
      <c r="I1985" s="9"/>
    </row>
    <row r="1986" spans="1:9" ht="14.25" customHeight="1" x14ac:dyDescent="0.3">
      <c r="A1986" s="6">
        <v>41703</v>
      </c>
      <c r="B1986" s="7">
        <v>104.49160000000001</v>
      </c>
      <c r="C1986" s="8">
        <f t="shared" si="15"/>
        <v>112.6357258657347</v>
      </c>
      <c r="D1986" s="9">
        <f t="shared" si="14"/>
        <v>67.172727680913255</v>
      </c>
      <c r="E1986" s="9"/>
      <c r="F1986" s="9">
        <f ca="1">IFERROR(__xludf.DUMMYFUNCTION("""COMPUTED_VALUE"""),43321)</f>
        <v>43321</v>
      </c>
      <c r="G1986" s="9" t="str">
        <f ca="1">IFERROR(__xludf.DUMMYFUNCTION("""COMPUTED_VALUE"""),"1 USD = 123.3983 PKR")</f>
        <v>1 USD = 123.3983 PKR</v>
      </c>
      <c r="H1986" s="9" t="str">
        <f ca="1">IFERROR(__xludf.DUMMYFUNCTION("""COMPUTED_VALUE"""),"USD PKR rate for 09/08/2018")</f>
        <v>USD PKR rate for 09/08/2018</v>
      </c>
      <c r="I1986" s="9"/>
    </row>
    <row r="1987" spans="1:9" ht="14.25" customHeight="1" x14ac:dyDescent="0.3">
      <c r="A1987" s="6">
        <v>41704</v>
      </c>
      <c r="B1987" s="7">
        <v>104.334</v>
      </c>
      <c r="C1987" s="8">
        <f t="shared" si="15"/>
        <v>112.65587073921465</v>
      </c>
      <c r="D1987" s="9">
        <f t="shared" si="14"/>
        <v>67.17546551371052</v>
      </c>
      <c r="E1987" s="9"/>
      <c r="F1987" s="9">
        <f ca="1">IFERROR(__xludf.DUMMYFUNCTION("""COMPUTED_VALUE"""),43320)</f>
        <v>43320</v>
      </c>
      <c r="G1987" s="9" t="str">
        <f ca="1">IFERROR(__xludf.DUMMYFUNCTION("""COMPUTED_VALUE"""),"1 USD = 123.5129 PKR")</f>
        <v>1 USD = 123.5129 PKR</v>
      </c>
      <c r="H1987" s="9" t="str">
        <f ca="1">IFERROR(__xludf.DUMMYFUNCTION("""COMPUTED_VALUE"""),"USD PKR rate for 08/08/2018")</f>
        <v>USD PKR rate for 08/08/2018</v>
      </c>
      <c r="I1987" s="9"/>
    </row>
    <row r="1988" spans="1:9" ht="14.25" customHeight="1" x14ac:dyDescent="0.3">
      <c r="A1988" s="6">
        <v>41705</v>
      </c>
      <c r="B1988" s="7">
        <v>103.1895</v>
      </c>
      <c r="C1988" s="8">
        <f t="shared" si="15"/>
        <v>112.67601921560055</v>
      </c>
      <c r="D1988" s="9">
        <f t="shared" si="14"/>
        <v>67.178203346507786</v>
      </c>
      <c r="E1988" s="9"/>
      <c r="F1988" s="9">
        <f ca="1">IFERROR(__xludf.DUMMYFUNCTION("""COMPUTED_VALUE"""),43319)</f>
        <v>43319</v>
      </c>
      <c r="G1988" s="9" t="str">
        <f ca="1">IFERROR(__xludf.DUMMYFUNCTION("""COMPUTED_VALUE"""),"1 USD = 123.5069 PKR")</f>
        <v>1 USD = 123.5069 PKR</v>
      </c>
      <c r="H1988" s="9" t="str">
        <f ca="1">IFERROR(__xludf.DUMMYFUNCTION("""COMPUTED_VALUE"""),"USD PKR rate for 07/08/2018")</f>
        <v>USD PKR rate for 07/08/2018</v>
      </c>
      <c r="I1988" s="9"/>
    </row>
    <row r="1989" spans="1:9" ht="14.25" customHeight="1" x14ac:dyDescent="0.3">
      <c r="A1989" s="6">
        <v>41706</v>
      </c>
      <c r="B1989" s="7">
        <v>102.9812</v>
      </c>
      <c r="C1989" s="8">
        <f t="shared" si="15"/>
        <v>112.69617129553677</v>
      </c>
      <c r="D1989" s="9">
        <f t="shared" si="14"/>
        <v>67.180941179305051</v>
      </c>
      <c r="E1989" s="9"/>
      <c r="F1989" s="9">
        <f ca="1">IFERROR(__xludf.DUMMYFUNCTION("""COMPUTED_VALUE"""),43318)</f>
        <v>43318</v>
      </c>
      <c r="G1989" s="9" t="str">
        <f ca="1">IFERROR(__xludf.DUMMYFUNCTION("""COMPUTED_VALUE"""),"1 USD = 124.122 PKR")</f>
        <v>1 USD = 124.122 PKR</v>
      </c>
      <c r="H1989" s="9" t="str">
        <f ca="1">IFERROR(__xludf.DUMMYFUNCTION("""COMPUTED_VALUE"""),"USD PKR rate for 06/08/2018")</f>
        <v>USD PKR rate for 06/08/2018</v>
      </c>
      <c r="I1989" s="9"/>
    </row>
    <row r="1990" spans="1:9" ht="14.25" customHeight="1" x14ac:dyDescent="0.3">
      <c r="A1990" s="6">
        <v>41707</v>
      </c>
      <c r="B1990" s="7">
        <v>102.97320000000002</v>
      </c>
      <c r="C1990" s="8">
        <f t="shared" si="15"/>
        <v>112.71632697966784</v>
      </c>
      <c r="D1990" s="9">
        <f t="shared" si="14"/>
        <v>67.183679012102317</v>
      </c>
      <c r="E1990" s="9"/>
      <c r="F1990" s="9">
        <f ca="1">IFERROR(__xludf.DUMMYFUNCTION("""COMPUTED_VALUE"""),43317)</f>
        <v>43317</v>
      </c>
      <c r="G1990" s="9" t="str">
        <f ca="1">IFERROR(__xludf.DUMMYFUNCTION("""COMPUTED_VALUE"""),"1 USD = 123.3475 PKR")</f>
        <v>1 USD = 123.3475 PKR</v>
      </c>
      <c r="H1990" s="9" t="str">
        <f ca="1">IFERROR(__xludf.DUMMYFUNCTION("""COMPUTED_VALUE"""),"USD PKR rate for 05/08/2018")</f>
        <v>USD PKR rate for 05/08/2018</v>
      </c>
      <c r="I1990" s="9"/>
    </row>
    <row r="1991" spans="1:9" ht="14.25" customHeight="1" x14ac:dyDescent="0.3">
      <c r="A1991" s="6">
        <v>41708</v>
      </c>
      <c r="B1991" s="7">
        <v>101.381</v>
      </c>
      <c r="C1991" s="8">
        <f t="shared" si="15"/>
        <v>112.73648626863834</v>
      </c>
      <c r="D1991" s="9">
        <f t="shared" si="14"/>
        <v>67.186416844899583</v>
      </c>
      <c r="E1991" s="9"/>
      <c r="F1991" s="9">
        <f ca="1">IFERROR(__xludf.DUMMYFUNCTION("""COMPUTED_VALUE"""),43316)</f>
        <v>43316</v>
      </c>
      <c r="G1991" s="9" t="str">
        <f ca="1">IFERROR(__xludf.DUMMYFUNCTION("""COMPUTED_VALUE"""),"1 USD = 124.1 PKR")</f>
        <v>1 USD = 124.1 PKR</v>
      </c>
      <c r="H1991" s="9" t="str">
        <f ca="1">IFERROR(__xludf.DUMMYFUNCTION("""COMPUTED_VALUE"""),"USD PKR rate for 04/08/2018")</f>
        <v>USD PKR rate for 04/08/2018</v>
      </c>
      <c r="I1991" s="9"/>
    </row>
    <row r="1992" spans="1:9" ht="14.25" customHeight="1" x14ac:dyDescent="0.3">
      <c r="A1992" s="6">
        <v>41709</v>
      </c>
      <c r="B1992" s="7">
        <v>100.3519</v>
      </c>
      <c r="C1992" s="8">
        <f t="shared" si="15"/>
        <v>112.756649163093</v>
      </c>
      <c r="D1992" s="9">
        <f t="shared" si="14"/>
        <v>67.189154677696848</v>
      </c>
      <c r="E1992" s="9"/>
      <c r="F1992" s="9">
        <f ca="1">IFERROR(__xludf.DUMMYFUNCTION("""COMPUTED_VALUE"""),43315)</f>
        <v>43315</v>
      </c>
      <c r="G1992" s="9" t="str">
        <f ca="1">IFERROR(__xludf.DUMMYFUNCTION("""COMPUTED_VALUE"""),"1 USD = 124.1 PKR")</f>
        <v>1 USD = 124.1 PKR</v>
      </c>
      <c r="H1992" s="9" t="str">
        <f ca="1">IFERROR(__xludf.DUMMYFUNCTION("""COMPUTED_VALUE"""),"USD PKR rate for 03/08/2018")</f>
        <v>USD PKR rate for 03/08/2018</v>
      </c>
      <c r="I1992" s="9"/>
    </row>
    <row r="1993" spans="1:9" ht="14.25" customHeight="1" x14ac:dyDescent="0.3">
      <c r="A1993" s="6">
        <v>41710</v>
      </c>
      <c r="B1993" s="7">
        <v>98.495400000000018</v>
      </c>
      <c r="C1993" s="8">
        <f t="shared" si="15"/>
        <v>112.77681566367667</v>
      </c>
      <c r="D1993" s="9">
        <f t="shared" si="14"/>
        <v>67.191892510494114</v>
      </c>
      <c r="E1993" s="9"/>
      <c r="F1993" s="9">
        <f ca="1">IFERROR(__xludf.DUMMYFUNCTION("""COMPUTED_VALUE"""),43314)</f>
        <v>43314</v>
      </c>
      <c r="G1993" s="9" t="str">
        <f ca="1">IFERROR(__xludf.DUMMYFUNCTION("""COMPUTED_VALUE"""),"1 USD = 123.1543 PKR")</f>
        <v>1 USD = 123.1543 PKR</v>
      </c>
      <c r="H1993" s="9" t="str">
        <f ca="1">IFERROR(__xludf.DUMMYFUNCTION("""COMPUTED_VALUE"""),"USD PKR rate for 02/08/2018")</f>
        <v>USD PKR rate for 02/08/2018</v>
      </c>
      <c r="I1993" s="9"/>
    </row>
    <row r="1994" spans="1:9" ht="14.25" customHeight="1" x14ac:dyDescent="0.3">
      <c r="A1994" s="6">
        <v>41711</v>
      </c>
      <c r="B1994" s="7">
        <v>98.959000000000003</v>
      </c>
      <c r="C1994" s="8">
        <f t="shared" si="15"/>
        <v>112.79698577103419</v>
      </c>
      <c r="D1994" s="9">
        <f t="shared" si="14"/>
        <v>67.194630343291379</v>
      </c>
      <c r="E1994" s="9"/>
      <c r="F1994" s="9">
        <f ca="1">IFERROR(__xludf.DUMMYFUNCTION("""COMPUTED_VALUE"""),43313)</f>
        <v>43313</v>
      </c>
      <c r="G1994" s="9" t="str">
        <f ca="1">IFERROR(__xludf.DUMMYFUNCTION("""COMPUTED_VALUE"""),"1 USD = 123.4971 PKR")</f>
        <v>1 USD = 123.4971 PKR</v>
      </c>
      <c r="H1994" s="9" t="str">
        <f ca="1">IFERROR(__xludf.DUMMYFUNCTION("""COMPUTED_VALUE"""),"USD PKR rate for 01/08/2018")</f>
        <v>USD PKR rate for 01/08/2018</v>
      </c>
      <c r="I1994" s="9"/>
    </row>
    <row r="1995" spans="1:9" ht="14.25" customHeight="1" x14ac:dyDescent="0.3">
      <c r="A1995" s="6">
        <v>41712</v>
      </c>
      <c r="B1995" s="7">
        <v>99.011399999999995</v>
      </c>
      <c r="C1995" s="8">
        <f t="shared" si="15"/>
        <v>112.81715948581083</v>
      </c>
      <c r="D1995" s="9">
        <f t="shared" si="14"/>
        <v>67.197368176088645</v>
      </c>
      <c r="E1995" s="9"/>
      <c r="F1995" s="9">
        <f ca="1">IFERROR(__xludf.DUMMYFUNCTION("""COMPUTED_VALUE"""),43312)</f>
        <v>43312</v>
      </c>
      <c r="G1995" s="9" t="str">
        <f ca="1">IFERROR(__xludf.DUMMYFUNCTION("""COMPUTED_VALUE"""),"1 USD = 123.4834 PKR")</f>
        <v>1 USD = 123.4834 PKR</v>
      </c>
      <c r="H1995" s="9" t="str">
        <f ca="1">IFERROR(__xludf.DUMMYFUNCTION("""COMPUTED_VALUE"""),"USD PKR rate for 31/07/2018")</f>
        <v>USD PKR rate for 31/07/2018</v>
      </c>
      <c r="I1995" s="9"/>
    </row>
    <row r="1996" spans="1:9" ht="14.25" customHeight="1" x14ac:dyDescent="0.3">
      <c r="A1996" s="6">
        <v>41713</v>
      </c>
      <c r="B1996" s="7">
        <v>99.282300000000006</v>
      </c>
      <c r="C1996" s="8">
        <f t="shared" si="15"/>
        <v>112.8373368086517</v>
      </c>
      <c r="D1996" s="9">
        <f t="shared" si="14"/>
        <v>67.200106008885911</v>
      </c>
      <c r="E1996" s="9"/>
      <c r="F1996" s="9">
        <f ca="1">IFERROR(__xludf.DUMMYFUNCTION("""COMPUTED_VALUE"""),43311)</f>
        <v>43311</v>
      </c>
      <c r="G1996" s="9" t="str">
        <f ca="1">IFERROR(__xludf.DUMMYFUNCTION("""COMPUTED_VALUE"""),"1 USD = 121.5767 PKR")</f>
        <v>1 USD = 121.5767 PKR</v>
      </c>
      <c r="H1996" s="9" t="str">
        <f ca="1">IFERROR(__xludf.DUMMYFUNCTION("""COMPUTED_VALUE"""),"USD PKR rate for 30/07/2018")</f>
        <v>USD PKR rate for 30/07/2018</v>
      </c>
      <c r="I1996" s="9"/>
    </row>
    <row r="1997" spans="1:9" ht="14.25" customHeight="1" x14ac:dyDescent="0.3">
      <c r="A1997" s="6">
        <v>41714</v>
      </c>
      <c r="B1997" s="7">
        <v>99.205600000000004</v>
      </c>
      <c r="C1997" s="8">
        <f t="shared" si="15"/>
        <v>112.85751774020207</v>
      </c>
      <c r="D1997" s="9">
        <f t="shared" si="14"/>
        <v>67.202843841683176</v>
      </c>
      <c r="E1997" s="9"/>
      <c r="F1997" s="9">
        <f ca="1">IFERROR(__xludf.DUMMYFUNCTION("""COMPUTED_VALUE"""),43310)</f>
        <v>43310</v>
      </c>
      <c r="G1997" s="9" t="str">
        <f ca="1">IFERROR(__xludf.DUMMYFUNCTION("""COMPUTED_VALUE"""),"1 USD = 128.5333 PKR")</f>
        <v>1 USD = 128.5333 PKR</v>
      </c>
      <c r="H1997" s="9" t="str">
        <f ca="1">IFERROR(__xludf.DUMMYFUNCTION("""COMPUTED_VALUE"""),"USD PKR rate for 29/07/2018")</f>
        <v>USD PKR rate for 29/07/2018</v>
      </c>
      <c r="I1997" s="9"/>
    </row>
    <row r="1998" spans="1:9" ht="14.25" customHeight="1" x14ac:dyDescent="0.3">
      <c r="A1998" s="6">
        <v>41715</v>
      </c>
      <c r="B1998" s="7">
        <v>99.129500000000007</v>
      </c>
      <c r="C1998" s="8">
        <f t="shared" si="15"/>
        <v>112.87770228110739</v>
      </c>
      <c r="D1998" s="9">
        <f t="shared" si="14"/>
        <v>67.205581674480442</v>
      </c>
      <c r="E1998" s="9"/>
      <c r="F1998" s="9">
        <f ca="1">IFERROR(__xludf.DUMMYFUNCTION("""COMPUTED_VALUE"""),43309)</f>
        <v>43309</v>
      </c>
      <c r="G1998" s="9" t="str">
        <f ca="1">IFERROR(__xludf.DUMMYFUNCTION("""COMPUTED_VALUE"""),"1 USD = 128.9998 PKR")</f>
        <v>1 USD = 128.9998 PKR</v>
      </c>
      <c r="H1998" s="9" t="str">
        <f ca="1">IFERROR(__xludf.DUMMYFUNCTION("""COMPUTED_VALUE"""),"USD PKR rate for 28/07/2018")</f>
        <v>USD PKR rate for 28/07/2018</v>
      </c>
      <c r="I1998" s="9"/>
    </row>
    <row r="1999" spans="1:9" ht="14.25" customHeight="1" x14ac:dyDescent="0.3">
      <c r="A1999" s="6">
        <v>41716</v>
      </c>
      <c r="B1999" s="7">
        <v>99.040300000000002</v>
      </c>
      <c r="C1999" s="8">
        <f t="shared" si="15"/>
        <v>112.89789043201317</v>
      </c>
      <c r="D1999" s="9">
        <f t="shared" si="14"/>
        <v>67.208319507277707</v>
      </c>
      <c r="E1999" s="9"/>
      <c r="F1999" s="9">
        <f ca="1">IFERROR(__xludf.DUMMYFUNCTION("""COMPUTED_VALUE"""),43308)</f>
        <v>43308</v>
      </c>
      <c r="G1999" s="9" t="str">
        <f ca="1">IFERROR(__xludf.DUMMYFUNCTION("""COMPUTED_VALUE"""),"1 USD = 128.9998 PKR")</f>
        <v>1 USD = 128.9998 PKR</v>
      </c>
      <c r="H1999" s="9" t="str">
        <f ca="1">IFERROR(__xludf.DUMMYFUNCTION("""COMPUTED_VALUE"""),"USD PKR rate for 27/07/2018")</f>
        <v>USD PKR rate for 27/07/2018</v>
      </c>
      <c r="I1999" s="9"/>
    </row>
    <row r="2000" spans="1:9" ht="14.25" customHeight="1" x14ac:dyDescent="0.3">
      <c r="A2000" s="6">
        <v>41717</v>
      </c>
      <c r="B2000" s="7">
        <v>98.798699999999997</v>
      </c>
      <c r="C2000" s="8">
        <f t="shared" si="15"/>
        <v>112.91808219356507</v>
      </c>
      <c r="D2000" s="9">
        <f t="shared" si="14"/>
        <v>67.211057340074973</v>
      </c>
      <c r="E2000" s="9"/>
      <c r="F2000" s="9">
        <f ca="1">IFERROR(__xludf.DUMMYFUNCTION("""COMPUTED_VALUE"""),43307)</f>
        <v>43307</v>
      </c>
      <c r="G2000" s="9" t="str">
        <f ca="1">IFERROR(__xludf.DUMMYFUNCTION("""COMPUTED_VALUE"""),"1 USD = 129.0044 PKR")</f>
        <v>1 USD = 129.0044 PKR</v>
      </c>
      <c r="H2000" s="9" t="str">
        <f ca="1">IFERROR(__xludf.DUMMYFUNCTION("""COMPUTED_VALUE"""),"USD PKR rate for 26/07/2018")</f>
        <v>USD PKR rate for 26/07/2018</v>
      </c>
      <c r="I2000" s="9"/>
    </row>
    <row r="2001" spans="1:9" ht="14.25" customHeight="1" x14ac:dyDescent="0.3">
      <c r="A2001" s="6">
        <v>41718</v>
      </c>
      <c r="B2001" s="7">
        <v>98.270700000000019</v>
      </c>
      <c r="C2001" s="8">
        <f t="shared" si="15"/>
        <v>112.93827756640883</v>
      </c>
      <c r="D2001" s="9">
        <f t="shared" si="14"/>
        <v>67.213795172872238</v>
      </c>
      <c r="E2001" s="9"/>
      <c r="F2001" s="9">
        <f ca="1">IFERROR(__xludf.DUMMYFUNCTION("""COMPUTED_VALUE"""),43306)</f>
        <v>43306</v>
      </c>
      <c r="G2001" s="9" t="str">
        <f ca="1">IFERROR(__xludf.DUMMYFUNCTION("""COMPUTED_VALUE"""),"1 USD = 129.1189 PKR")</f>
        <v>1 USD = 129.1189 PKR</v>
      </c>
      <c r="H2001" s="9" t="str">
        <f ca="1">IFERROR(__xludf.DUMMYFUNCTION("""COMPUTED_VALUE"""),"USD PKR rate for 25/07/2018")</f>
        <v>USD PKR rate for 25/07/2018</v>
      </c>
      <c r="I2001" s="9"/>
    </row>
    <row r="2002" spans="1:9" ht="14.25" customHeight="1" x14ac:dyDescent="0.3">
      <c r="A2002" s="6">
        <v>41719</v>
      </c>
      <c r="B2002" s="7">
        <v>98.197199999999995</v>
      </c>
      <c r="C2002" s="8">
        <f t="shared" si="15"/>
        <v>112.95847655119034</v>
      </c>
      <c r="D2002" s="9">
        <f t="shared" si="14"/>
        <v>67.216533005669504</v>
      </c>
      <c r="E2002" s="9"/>
      <c r="F2002" s="9">
        <f ca="1">IFERROR(__xludf.DUMMYFUNCTION("""COMPUTED_VALUE"""),43305)</f>
        <v>43305</v>
      </c>
      <c r="G2002" s="9" t="str">
        <f ca="1">IFERROR(__xludf.DUMMYFUNCTION("""COMPUTED_VALUE"""),"1 USD = 129.1575 PKR")</f>
        <v>1 USD = 129.1575 PKR</v>
      </c>
      <c r="H2002" s="9" t="str">
        <f ca="1">IFERROR(__xludf.DUMMYFUNCTION("""COMPUTED_VALUE"""),"USD PKR rate for 24/07/2018")</f>
        <v>USD PKR rate for 24/07/2018</v>
      </c>
      <c r="I2002" s="9"/>
    </row>
    <row r="2003" spans="1:9" ht="14.25" customHeight="1" x14ac:dyDescent="0.3">
      <c r="A2003" s="6">
        <v>41720</v>
      </c>
      <c r="B2003" s="7">
        <v>98.076499999999996</v>
      </c>
      <c r="C2003" s="8">
        <f t="shared" si="15"/>
        <v>112.97867914855553</v>
      </c>
      <c r="D2003" s="9">
        <f t="shared" si="14"/>
        <v>67.21927083846677</v>
      </c>
      <c r="E2003" s="9"/>
      <c r="F2003" s="9">
        <f ca="1">IFERROR(__xludf.DUMMYFUNCTION("""COMPUTED_VALUE"""),43304)</f>
        <v>43304</v>
      </c>
      <c r="G2003" s="9" t="str">
        <f ca="1">IFERROR(__xludf.DUMMYFUNCTION("""COMPUTED_VALUE"""),"1 USD = 129.1867 PKR")</f>
        <v>1 USD = 129.1867 PKR</v>
      </c>
      <c r="H2003" s="9" t="str">
        <f ca="1">IFERROR(__xludf.DUMMYFUNCTION("""COMPUTED_VALUE"""),"USD PKR rate for 23/07/2018")</f>
        <v>USD PKR rate for 23/07/2018</v>
      </c>
      <c r="I2003" s="9"/>
    </row>
    <row r="2004" spans="1:9" ht="14.25" customHeight="1" x14ac:dyDescent="0.3">
      <c r="A2004" s="6">
        <v>41721</v>
      </c>
      <c r="B2004" s="7">
        <v>97.944900000000004</v>
      </c>
      <c r="C2004" s="8">
        <f t="shared" si="15"/>
        <v>112.99888535915065</v>
      </c>
      <c r="D2004" s="9">
        <f t="shared" si="14"/>
        <v>67.222008671264035</v>
      </c>
      <c r="E2004" s="9"/>
      <c r="F2004" s="9">
        <f ca="1">IFERROR(__xludf.DUMMYFUNCTION("""COMPUTED_VALUE"""),43303)</f>
        <v>43303</v>
      </c>
      <c r="G2004" s="9" t="str">
        <f ca="1">IFERROR(__xludf.DUMMYFUNCTION("""COMPUTED_VALUE"""),"1 USD = 128.3134 PKR")</f>
        <v>1 USD = 128.3134 PKR</v>
      </c>
      <c r="H2004" s="9" t="str">
        <f ca="1">IFERROR(__xludf.DUMMYFUNCTION("""COMPUTED_VALUE"""),"USD PKR rate for 22/07/2018")</f>
        <v>USD PKR rate for 22/07/2018</v>
      </c>
      <c r="I2004" s="9"/>
    </row>
    <row r="2005" spans="1:9" ht="14.25" customHeight="1" x14ac:dyDescent="0.3">
      <c r="A2005" s="6">
        <v>41722</v>
      </c>
      <c r="B2005" s="7">
        <v>97.891900000000007</v>
      </c>
      <c r="C2005" s="8">
        <f t="shared" si="15"/>
        <v>113.01909518362187</v>
      </c>
      <c r="D2005" s="9">
        <f t="shared" si="14"/>
        <v>67.224746504061301</v>
      </c>
      <c r="E2005" s="9"/>
      <c r="F2005" s="9">
        <f ca="1">IFERROR(__xludf.DUMMYFUNCTION("""COMPUTED_VALUE"""),43302)</f>
        <v>43302</v>
      </c>
      <c r="G2005" s="9" t="str">
        <f ca="1">IFERROR(__xludf.DUMMYFUNCTION("""COMPUTED_VALUE"""),"1 USD = 128.3155 PKR")</f>
        <v>1 USD = 128.3155 PKR</v>
      </c>
      <c r="H2005" s="9" t="str">
        <f ca="1">IFERROR(__xludf.DUMMYFUNCTION("""COMPUTED_VALUE"""),"USD PKR rate for 21/07/2018")</f>
        <v>USD PKR rate for 21/07/2018</v>
      </c>
      <c r="I2005" s="9"/>
    </row>
    <row r="2006" spans="1:9" ht="14.25" customHeight="1" x14ac:dyDescent="0.3">
      <c r="A2006" s="6">
        <v>41723</v>
      </c>
      <c r="B2006" s="7">
        <v>97.608599999999996</v>
      </c>
      <c r="C2006" s="8">
        <f t="shared" si="15"/>
        <v>113.03930862261552</v>
      </c>
      <c r="D2006" s="9">
        <f t="shared" si="14"/>
        <v>67.227484336858566</v>
      </c>
      <c r="E2006" s="9"/>
      <c r="F2006" s="9">
        <f ca="1">IFERROR(__xludf.DUMMYFUNCTION("""COMPUTED_VALUE"""),43301)</f>
        <v>43301</v>
      </c>
      <c r="G2006" s="9" t="str">
        <f ca="1">IFERROR(__xludf.DUMMYFUNCTION("""COMPUTED_VALUE"""),"1 USD = 128.5 PKR")</f>
        <v>1 USD = 128.5 PKR</v>
      </c>
      <c r="H2006" s="9" t="str">
        <f ca="1">IFERROR(__xludf.DUMMYFUNCTION("""COMPUTED_VALUE"""),"USD PKR rate for 20/07/2018")</f>
        <v>USD PKR rate for 20/07/2018</v>
      </c>
      <c r="I2006" s="9"/>
    </row>
    <row r="2007" spans="1:9" ht="14.25" customHeight="1" x14ac:dyDescent="0.3">
      <c r="A2007" s="6">
        <v>41724</v>
      </c>
      <c r="B2007" s="7">
        <v>97.865799999999993</v>
      </c>
      <c r="C2007" s="8">
        <f t="shared" si="15"/>
        <v>113.05952567677805</v>
      </c>
      <c r="D2007" s="9">
        <f t="shared" si="14"/>
        <v>67.230222169655832</v>
      </c>
      <c r="E2007" s="9"/>
      <c r="F2007" s="9">
        <f ca="1">IFERROR(__xludf.DUMMYFUNCTION("""COMPUTED_VALUE"""),43300)</f>
        <v>43300</v>
      </c>
      <c r="G2007" s="9" t="str">
        <f ca="1">IFERROR(__xludf.DUMMYFUNCTION("""COMPUTED_VALUE"""),"1 USD = 128.88 PKR")</f>
        <v>1 USD = 128.88 PKR</v>
      </c>
      <c r="H2007" s="9" t="str">
        <f ca="1">IFERROR(__xludf.DUMMYFUNCTION("""COMPUTED_VALUE"""),"USD PKR rate for 19/07/2018")</f>
        <v>USD PKR rate for 19/07/2018</v>
      </c>
      <c r="I2007" s="9"/>
    </row>
    <row r="2008" spans="1:9" ht="14.25" customHeight="1" x14ac:dyDescent="0.3">
      <c r="A2008" s="6">
        <v>41725</v>
      </c>
      <c r="B2008" s="7">
        <v>97.868499999999997</v>
      </c>
      <c r="C2008" s="8">
        <f t="shared" si="15"/>
        <v>113.07974634675601</v>
      </c>
      <c r="D2008" s="9">
        <f t="shared" si="14"/>
        <v>67.232960002453098</v>
      </c>
      <c r="E2008" s="9"/>
      <c r="F2008" s="9">
        <f ca="1">IFERROR(__xludf.DUMMYFUNCTION("""COMPUTED_VALUE"""),43299)</f>
        <v>43299</v>
      </c>
      <c r="G2008" s="9" t="str">
        <f ca="1">IFERROR(__xludf.DUMMYFUNCTION("""COMPUTED_VALUE"""),"1 USD = 127.6551 PKR")</f>
        <v>1 USD = 127.6551 PKR</v>
      </c>
      <c r="H2008" s="9" t="str">
        <f ca="1">IFERROR(__xludf.DUMMYFUNCTION("""COMPUTED_VALUE"""),"USD PKR rate for 18/07/2018")</f>
        <v>USD PKR rate for 18/07/2018</v>
      </c>
      <c r="I2008" s="9"/>
    </row>
    <row r="2009" spans="1:9" ht="14.25" customHeight="1" x14ac:dyDescent="0.3">
      <c r="A2009" s="6">
        <v>41726</v>
      </c>
      <c r="B2009" s="7">
        <v>98.030500000000004</v>
      </c>
      <c r="C2009" s="8">
        <f t="shared" si="15"/>
        <v>113.09997063319615</v>
      </c>
      <c r="D2009" s="9">
        <f t="shared" si="14"/>
        <v>67.235697835250363</v>
      </c>
      <c r="E2009" s="9"/>
      <c r="F2009" s="9">
        <f ca="1">IFERROR(__xludf.DUMMYFUNCTION("""COMPUTED_VALUE"""),43298)</f>
        <v>43298</v>
      </c>
      <c r="G2009" s="9" t="str">
        <f ca="1">IFERROR(__xludf.DUMMYFUNCTION("""COMPUTED_VALUE"""),"1 USD = 127.3635 PKR")</f>
        <v>1 USD = 127.3635 PKR</v>
      </c>
      <c r="H2009" s="9" t="str">
        <f ca="1">IFERROR(__xludf.DUMMYFUNCTION("""COMPUTED_VALUE"""),"USD PKR rate for 17/07/2018")</f>
        <v>USD PKR rate for 17/07/2018</v>
      </c>
      <c r="I2009" s="9"/>
    </row>
    <row r="2010" spans="1:9" ht="14.25" customHeight="1" x14ac:dyDescent="0.3">
      <c r="A2010" s="6">
        <v>41727</v>
      </c>
      <c r="B2010" s="7">
        <v>98.04770000000002</v>
      </c>
      <c r="C2010" s="8">
        <f t="shared" si="15"/>
        <v>113.12019853674521</v>
      </c>
      <c r="D2010" s="9">
        <f t="shared" si="14"/>
        <v>67.238435668047629</v>
      </c>
      <c r="E2010" s="9"/>
      <c r="F2010" s="9">
        <f ca="1">IFERROR(__xludf.DUMMYFUNCTION("""COMPUTED_VALUE"""),43297)</f>
        <v>43297</v>
      </c>
      <c r="G2010" s="9" t="str">
        <f ca="1">IFERROR(__xludf.DUMMYFUNCTION("""COMPUTED_VALUE"""),"1 USD = 121.5121 PKR")</f>
        <v>1 USD = 121.5121 PKR</v>
      </c>
      <c r="H2010" s="9" t="str">
        <f ca="1">IFERROR(__xludf.DUMMYFUNCTION("""COMPUTED_VALUE"""),"USD PKR rate for 16/07/2018")</f>
        <v>USD PKR rate for 16/07/2018</v>
      </c>
      <c r="I2010" s="9"/>
    </row>
    <row r="2011" spans="1:9" ht="14.25" customHeight="1" x14ac:dyDescent="0.3">
      <c r="A2011" s="6">
        <v>41728</v>
      </c>
      <c r="B2011" s="7">
        <v>97.985299999999995</v>
      </c>
      <c r="C2011" s="8">
        <f t="shared" si="15"/>
        <v>113.14043005805013</v>
      </c>
      <c r="D2011" s="9">
        <f t="shared" si="14"/>
        <v>67.241173500844894</v>
      </c>
      <c r="E2011" s="9"/>
      <c r="F2011" s="9">
        <f ca="1">IFERROR(__xludf.DUMMYFUNCTION("""COMPUTED_VALUE"""),43296)</f>
        <v>43296</v>
      </c>
      <c r="G2011" s="9" t="str">
        <f ca="1">IFERROR(__xludf.DUMMYFUNCTION("""COMPUTED_VALUE"""),"1 USD = 121.647 PKR")</f>
        <v>1 USD = 121.647 PKR</v>
      </c>
      <c r="H2011" s="9" t="str">
        <f ca="1">IFERROR(__xludf.DUMMYFUNCTION("""COMPUTED_VALUE"""),"USD PKR rate for 15/07/2018")</f>
        <v>USD PKR rate for 15/07/2018</v>
      </c>
      <c r="I2011" s="9"/>
    </row>
    <row r="2012" spans="1:9" ht="14.25" customHeight="1" x14ac:dyDescent="0.3">
      <c r="A2012" s="6">
        <v>41729</v>
      </c>
      <c r="B2012" s="7">
        <v>98.1267</v>
      </c>
      <c r="C2012" s="8">
        <f t="shared" si="15"/>
        <v>113.16066519775785</v>
      </c>
      <c r="D2012" s="9">
        <f t="shared" si="14"/>
        <v>67.24391133364216</v>
      </c>
      <c r="E2012" s="9"/>
      <c r="F2012" s="9">
        <f ca="1">IFERROR(__xludf.DUMMYFUNCTION("""COMPUTED_VALUE"""),43295)</f>
        <v>43295</v>
      </c>
      <c r="G2012" s="9" t="str">
        <f ca="1">IFERROR(__xludf.DUMMYFUNCTION("""COMPUTED_VALUE"""),"1 USD = 121.5479 PKR")</f>
        <v>1 USD = 121.5479 PKR</v>
      </c>
      <c r="H2012" s="9" t="str">
        <f ca="1">IFERROR(__xludf.DUMMYFUNCTION("""COMPUTED_VALUE"""),"USD PKR rate for 14/07/2018")</f>
        <v>USD PKR rate for 14/07/2018</v>
      </c>
      <c r="I2012" s="9"/>
    </row>
    <row r="2013" spans="1:9" ht="14.25" customHeight="1" x14ac:dyDescent="0.3">
      <c r="A2013" s="6">
        <v>41730</v>
      </c>
      <c r="B2013" s="7">
        <v>98.186000000000007</v>
      </c>
      <c r="C2013" s="8">
        <f t="shared" si="15"/>
        <v>113.18090395651573</v>
      </c>
      <c r="D2013" s="9">
        <f t="shared" si="14"/>
        <v>67.246649166439425</v>
      </c>
      <c r="E2013" s="9"/>
      <c r="F2013" s="9">
        <f ca="1">IFERROR(__xludf.DUMMYFUNCTION("""COMPUTED_VALUE"""),43294)</f>
        <v>43294</v>
      </c>
      <c r="G2013" s="9" t="str">
        <f ca="1">IFERROR(__xludf.DUMMYFUNCTION("""COMPUTED_VALUE"""),"1 USD = 121.5498 PKR")</f>
        <v>1 USD = 121.5498 PKR</v>
      </c>
      <c r="H2013" s="9" t="str">
        <f ca="1">IFERROR(__xludf.DUMMYFUNCTION("""COMPUTED_VALUE"""),"USD PKR rate for 13/07/2018")</f>
        <v>USD PKR rate for 13/07/2018</v>
      </c>
      <c r="I2013" s="9"/>
    </row>
    <row r="2014" spans="1:9" ht="14.25" customHeight="1" x14ac:dyDescent="0.3">
      <c r="A2014" s="6">
        <v>41731</v>
      </c>
      <c r="B2014" s="7">
        <v>98.182299999999998</v>
      </c>
      <c r="C2014" s="8">
        <f t="shared" si="15"/>
        <v>113.20114633497091</v>
      </c>
      <c r="D2014" s="9">
        <f t="shared" si="14"/>
        <v>67.249386999236691</v>
      </c>
      <c r="E2014" s="9"/>
      <c r="F2014" s="9">
        <f ca="1">IFERROR(__xludf.DUMMYFUNCTION("""COMPUTED_VALUE"""),43293)</f>
        <v>43293</v>
      </c>
      <c r="G2014" s="9" t="str">
        <f ca="1">IFERROR(__xludf.DUMMYFUNCTION("""COMPUTED_VALUE"""),"1 USD = 121.5467 PKR")</f>
        <v>1 USD = 121.5467 PKR</v>
      </c>
      <c r="H2014" s="9" t="str">
        <f ca="1">IFERROR(__xludf.DUMMYFUNCTION("""COMPUTED_VALUE"""),"USD PKR rate for 12/07/2018")</f>
        <v>USD PKR rate for 12/07/2018</v>
      </c>
      <c r="I2014" s="9"/>
    </row>
    <row r="2015" spans="1:9" ht="14.25" customHeight="1" x14ac:dyDescent="0.3">
      <c r="A2015" s="6">
        <v>41732</v>
      </c>
      <c r="B2015" s="7">
        <v>98.160100000000014</v>
      </c>
      <c r="C2015" s="8">
        <f t="shared" si="15"/>
        <v>113.22139233377081</v>
      </c>
      <c r="D2015" s="9">
        <f t="shared" si="14"/>
        <v>67.252124832033957</v>
      </c>
      <c r="E2015" s="9"/>
      <c r="F2015" s="9">
        <f ca="1">IFERROR(__xludf.DUMMYFUNCTION("""COMPUTED_VALUE"""),43292)</f>
        <v>43292</v>
      </c>
      <c r="G2015" s="9" t="str">
        <f ca="1">IFERROR(__xludf.DUMMYFUNCTION("""COMPUTED_VALUE"""),"1 USD = 121.5522 PKR")</f>
        <v>1 USD = 121.5522 PKR</v>
      </c>
      <c r="H2015" s="9" t="str">
        <f ca="1">IFERROR(__xludf.DUMMYFUNCTION("""COMPUTED_VALUE"""),"USD PKR rate for 11/07/2018")</f>
        <v>USD PKR rate for 11/07/2018</v>
      </c>
      <c r="I2015" s="9"/>
    </row>
    <row r="2016" spans="1:9" ht="14.25" customHeight="1" x14ac:dyDescent="0.3">
      <c r="A2016" s="6">
        <v>41733</v>
      </c>
      <c r="B2016" s="7">
        <v>98.143199999999993</v>
      </c>
      <c r="C2016" s="8">
        <f t="shared" si="15"/>
        <v>113.2416419535629</v>
      </c>
      <c r="D2016" s="9">
        <f t="shared" si="14"/>
        <v>67.254862664831222</v>
      </c>
      <c r="E2016" s="9"/>
      <c r="F2016" s="9">
        <f ca="1">IFERROR(__xludf.DUMMYFUNCTION("""COMPUTED_VALUE"""),43291)</f>
        <v>43291</v>
      </c>
      <c r="G2016" s="9" t="str">
        <f ca="1">IFERROR(__xludf.DUMMYFUNCTION("""COMPUTED_VALUE"""),"1 USD = 121.5932 PKR")</f>
        <v>1 USD = 121.5932 PKR</v>
      </c>
      <c r="H2016" s="9" t="str">
        <f ca="1">IFERROR(__xludf.DUMMYFUNCTION("""COMPUTED_VALUE"""),"USD PKR rate for 10/07/2018")</f>
        <v>USD PKR rate for 10/07/2018</v>
      </c>
      <c r="I2016" s="9"/>
    </row>
    <row r="2017" spans="1:9" ht="14.25" customHeight="1" x14ac:dyDescent="0.3">
      <c r="A2017" s="6">
        <v>41734</v>
      </c>
      <c r="B2017" s="7">
        <v>98.127499999999998</v>
      </c>
      <c r="C2017" s="8">
        <f t="shared" si="15"/>
        <v>113.26189519499478</v>
      </c>
      <c r="D2017" s="9">
        <f t="shared" si="14"/>
        <v>67.257600497628488</v>
      </c>
      <c r="E2017" s="9"/>
      <c r="F2017" s="9">
        <f ca="1">IFERROR(__xludf.DUMMYFUNCTION("""COMPUTED_VALUE"""),43290)</f>
        <v>43290</v>
      </c>
      <c r="G2017" s="9" t="str">
        <f ca="1">IFERROR(__xludf.DUMMYFUNCTION("""COMPUTED_VALUE"""),"1 USD = 121.55 PKR")</f>
        <v>1 USD = 121.55 PKR</v>
      </c>
      <c r="H2017" s="9" t="str">
        <f ca="1">IFERROR(__xludf.DUMMYFUNCTION("""COMPUTED_VALUE"""),"USD PKR rate for 09/07/2018")</f>
        <v>USD PKR rate for 09/07/2018</v>
      </c>
      <c r="I2017" s="9"/>
    </row>
    <row r="2018" spans="1:9" ht="14.25" customHeight="1" x14ac:dyDescent="0.3">
      <c r="A2018" s="6">
        <v>41735</v>
      </c>
      <c r="B2018" s="7">
        <v>98.119200000000021</v>
      </c>
      <c r="C2018" s="8">
        <f t="shared" si="15"/>
        <v>113.28215205871422</v>
      </c>
      <c r="D2018" s="9">
        <f t="shared" si="14"/>
        <v>67.260338330425753</v>
      </c>
      <c r="E2018" s="9"/>
      <c r="F2018" s="9">
        <f ca="1">IFERROR(__xludf.DUMMYFUNCTION("""COMPUTED_VALUE"""),43289)</f>
        <v>43289</v>
      </c>
      <c r="G2018" s="9" t="str">
        <f ca="1">IFERROR(__xludf.DUMMYFUNCTION("""COMPUTED_VALUE"""),"1 USD = 121.2293 PKR")</f>
        <v>1 USD = 121.2293 PKR</v>
      </c>
      <c r="H2018" s="9" t="str">
        <f ca="1">IFERROR(__xludf.DUMMYFUNCTION("""COMPUTED_VALUE"""),"USD PKR rate for 08/07/2018")</f>
        <v>USD PKR rate for 08/07/2018</v>
      </c>
      <c r="I2018" s="9"/>
    </row>
    <row r="2019" spans="1:9" ht="14.25" customHeight="1" x14ac:dyDescent="0.3">
      <c r="A2019" s="6">
        <v>41736</v>
      </c>
      <c r="B2019" s="7">
        <v>98.142300000000006</v>
      </c>
      <c r="C2019" s="8">
        <f t="shared" si="15"/>
        <v>113.30241254536905</v>
      </c>
      <c r="D2019" s="9">
        <f t="shared" si="14"/>
        <v>67.263076163223019</v>
      </c>
      <c r="E2019" s="9"/>
      <c r="F2019" s="9">
        <f ca="1">IFERROR(__xludf.DUMMYFUNCTION("""COMPUTED_VALUE"""),43288)</f>
        <v>43288</v>
      </c>
      <c r="G2019" s="9" t="str">
        <f ca="1">IFERROR(__xludf.DUMMYFUNCTION("""COMPUTED_VALUE"""),"1 USD = 121.5998 PKR")</f>
        <v>1 USD = 121.5998 PKR</v>
      </c>
      <c r="H2019" s="9" t="str">
        <f ca="1">IFERROR(__xludf.DUMMYFUNCTION("""COMPUTED_VALUE"""),"USD PKR rate for 07/07/2018")</f>
        <v>USD PKR rate for 07/07/2018</v>
      </c>
      <c r="I2019" s="9"/>
    </row>
    <row r="2020" spans="1:9" ht="14.25" customHeight="1" x14ac:dyDescent="0.3">
      <c r="A2020" s="6">
        <v>41737</v>
      </c>
      <c r="B2020" s="7">
        <v>97.746499999999997</v>
      </c>
      <c r="C2020" s="8">
        <f t="shared" si="15"/>
        <v>113.3226766556072</v>
      </c>
      <c r="D2020" s="9">
        <f t="shared" si="14"/>
        <v>67.265813996020285</v>
      </c>
      <c r="E2020" s="9"/>
      <c r="F2020" s="9">
        <f ca="1">IFERROR(__xludf.DUMMYFUNCTION("""COMPUTED_VALUE"""),43287)</f>
        <v>43287</v>
      </c>
      <c r="G2020" s="9" t="str">
        <f ca="1">IFERROR(__xludf.DUMMYFUNCTION("""COMPUTED_VALUE"""),"1 USD = 121.6001 PKR")</f>
        <v>1 USD = 121.6001 PKR</v>
      </c>
      <c r="H2020" s="9" t="str">
        <f ca="1">IFERROR(__xludf.DUMMYFUNCTION("""COMPUTED_VALUE"""),"USD PKR rate for 06/07/2018")</f>
        <v>USD PKR rate for 06/07/2018</v>
      </c>
      <c r="I2020" s="9"/>
    </row>
    <row r="2021" spans="1:9" ht="14.25" customHeight="1" x14ac:dyDescent="0.3">
      <c r="A2021" s="6">
        <v>41738</v>
      </c>
      <c r="B2021" s="7">
        <v>97.525000000000006</v>
      </c>
      <c r="C2021" s="8">
        <f t="shared" si="15"/>
        <v>113.3429443900767</v>
      </c>
      <c r="D2021" s="9">
        <f t="shared" si="14"/>
        <v>67.26855182881755</v>
      </c>
      <c r="E2021" s="9"/>
      <c r="F2021" s="9">
        <f ca="1">IFERROR(__xludf.DUMMYFUNCTION("""COMPUTED_VALUE"""),43286)</f>
        <v>43286</v>
      </c>
      <c r="G2021" s="9" t="str">
        <f ca="1">IFERROR(__xludf.DUMMYFUNCTION("""COMPUTED_VALUE"""),"1 USD = 121.5956 PKR")</f>
        <v>1 USD = 121.5956 PKR</v>
      </c>
      <c r="H2021" s="9" t="str">
        <f ca="1">IFERROR(__xludf.DUMMYFUNCTION("""COMPUTED_VALUE"""),"USD PKR rate for 05/07/2018")</f>
        <v>USD PKR rate for 05/07/2018</v>
      </c>
      <c r="I2021" s="9"/>
    </row>
    <row r="2022" spans="1:9" ht="14.25" customHeight="1" x14ac:dyDescent="0.3">
      <c r="A2022" s="6">
        <v>41739</v>
      </c>
      <c r="B2022" s="7">
        <v>97.285899999999998</v>
      </c>
      <c r="C2022" s="8">
        <f t="shared" si="15"/>
        <v>113.36321574942589</v>
      </c>
      <c r="D2022" s="9">
        <f t="shared" si="14"/>
        <v>67.271289661614816</v>
      </c>
      <c r="E2022" s="9"/>
      <c r="F2022" s="9">
        <f ca="1">IFERROR(__xludf.DUMMYFUNCTION("""COMPUTED_VALUE"""),43285)</f>
        <v>43285</v>
      </c>
      <c r="G2022" s="9" t="str">
        <f ca="1">IFERROR(__xludf.DUMMYFUNCTION("""COMPUTED_VALUE"""),"1 USD = 121.755 PKR")</f>
        <v>1 USD = 121.755 PKR</v>
      </c>
      <c r="H2022" s="9" t="str">
        <f ca="1">IFERROR(__xludf.DUMMYFUNCTION("""COMPUTED_VALUE"""),"USD PKR rate for 04/07/2018")</f>
        <v>USD PKR rate for 04/07/2018</v>
      </c>
      <c r="I2022" s="9"/>
    </row>
    <row r="2023" spans="1:9" ht="14.25" customHeight="1" x14ac:dyDescent="0.3">
      <c r="A2023" s="6">
        <v>41740</v>
      </c>
      <c r="B2023" s="7">
        <v>97.104100000000003</v>
      </c>
      <c r="C2023" s="8">
        <f t="shared" si="15"/>
        <v>113.38349073430302</v>
      </c>
      <c r="D2023" s="9">
        <f t="shared" si="14"/>
        <v>67.274027494412081</v>
      </c>
      <c r="E2023" s="9"/>
      <c r="F2023" s="9">
        <f ca="1">IFERROR(__xludf.DUMMYFUNCTION("""COMPUTED_VALUE"""),43284)</f>
        <v>43284</v>
      </c>
      <c r="G2023" s="9" t="str">
        <f ca="1">IFERROR(__xludf.DUMMYFUNCTION("""COMPUTED_VALUE"""),"1 USD = 121.7282 PKR")</f>
        <v>1 USD = 121.7282 PKR</v>
      </c>
      <c r="H2023" s="9" t="str">
        <f ca="1">IFERROR(__xludf.DUMMYFUNCTION("""COMPUTED_VALUE"""),"USD PKR rate for 03/07/2018")</f>
        <v>USD PKR rate for 03/07/2018</v>
      </c>
      <c r="I2023" s="9"/>
    </row>
    <row r="2024" spans="1:9" ht="14.25" customHeight="1" x14ac:dyDescent="0.3">
      <c r="A2024" s="6">
        <v>41741</v>
      </c>
      <c r="B2024" s="7">
        <v>96.978000000000009</v>
      </c>
      <c r="C2024" s="8">
        <f t="shared" si="15"/>
        <v>113.40376934535647</v>
      </c>
      <c r="D2024" s="9">
        <f t="shared" si="14"/>
        <v>67.276765327209347</v>
      </c>
      <c r="E2024" s="9"/>
      <c r="F2024" s="9">
        <f ca="1">IFERROR(__xludf.DUMMYFUNCTION("""COMPUTED_VALUE"""),43283)</f>
        <v>43283</v>
      </c>
      <c r="G2024" s="9" t="str">
        <f ca="1">IFERROR(__xludf.DUMMYFUNCTION("""COMPUTED_VALUE"""),"1 USD = 121.6824 PKR")</f>
        <v>1 USD = 121.6824 PKR</v>
      </c>
      <c r="H2024" s="9" t="str">
        <f ca="1">IFERROR(__xludf.DUMMYFUNCTION("""COMPUTED_VALUE"""),"USD PKR rate for 02/07/2018")</f>
        <v>USD PKR rate for 02/07/2018</v>
      </c>
      <c r="I2024" s="9"/>
    </row>
    <row r="2025" spans="1:9" ht="14.25" customHeight="1" x14ac:dyDescent="0.3">
      <c r="A2025" s="6">
        <v>41742</v>
      </c>
      <c r="B2025" s="7">
        <v>96.641599999999997</v>
      </c>
      <c r="C2025" s="8">
        <f t="shared" si="15"/>
        <v>113.42405158323486</v>
      </c>
      <c r="D2025" s="9">
        <f t="shared" si="14"/>
        <v>67.279503160006612</v>
      </c>
      <c r="E2025" s="9"/>
      <c r="F2025" s="9">
        <f ca="1">IFERROR(__xludf.DUMMYFUNCTION("""COMPUTED_VALUE"""),43282)</f>
        <v>43282</v>
      </c>
      <c r="G2025" s="9" t="str">
        <f ca="1">IFERROR(__xludf.DUMMYFUNCTION("""COMPUTED_VALUE"""),"1 USD = 121.6576 PKR")</f>
        <v>1 USD = 121.6576 PKR</v>
      </c>
      <c r="H2025" s="9" t="str">
        <f ca="1">IFERROR(__xludf.DUMMYFUNCTION("""COMPUTED_VALUE"""),"USD PKR rate for 01/07/2018")</f>
        <v>USD PKR rate for 01/07/2018</v>
      </c>
      <c r="I2025" s="9"/>
    </row>
    <row r="2026" spans="1:9" ht="14.25" customHeight="1" x14ac:dyDescent="0.3">
      <c r="A2026" s="6">
        <v>41743</v>
      </c>
      <c r="B2026" s="7">
        <v>96.197900000000004</v>
      </c>
      <c r="C2026" s="8">
        <f t="shared" si="15"/>
        <v>113.44433744858677</v>
      </c>
      <c r="D2026" s="9">
        <f t="shared" si="14"/>
        <v>67.282240992803878</v>
      </c>
      <c r="E2026" s="9"/>
      <c r="F2026" s="9">
        <f ca="1">IFERROR(__xludf.DUMMYFUNCTION("""COMPUTED_VALUE"""),43281)</f>
        <v>43281</v>
      </c>
      <c r="G2026" s="9" t="str">
        <f ca="1">IFERROR(__xludf.DUMMYFUNCTION("""COMPUTED_VALUE"""),"1 USD = 121.7331 PKR")</f>
        <v>1 USD = 121.7331 PKR</v>
      </c>
      <c r="H2026" s="9" t="str">
        <f ca="1">IFERROR(__xludf.DUMMYFUNCTION("""COMPUTED_VALUE"""),"USD PKR rate for 30/06/2018")</f>
        <v>USD PKR rate for 30/06/2018</v>
      </c>
      <c r="I2026" s="9"/>
    </row>
    <row r="2027" spans="1:9" ht="14.25" customHeight="1" x14ac:dyDescent="0.3">
      <c r="A2027" s="6">
        <v>41744</v>
      </c>
      <c r="B2027" s="7">
        <v>96.188699999999997</v>
      </c>
      <c r="C2027" s="8">
        <f t="shared" si="15"/>
        <v>113.46462694206097</v>
      </c>
      <c r="D2027" s="9">
        <f t="shared" si="14"/>
        <v>67.284978825601144</v>
      </c>
      <c r="E2027" s="9"/>
      <c r="F2027" s="9">
        <f ca="1">IFERROR(__xludf.DUMMYFUNCTION("""COMPUTED_VALUE"""),43280)</f>
        <v>43280</v>
      </c>
      <c r="G2027" s="9" t="str">
        <f ca="1">IFERROR(__xludf.DUMMYFUNCTION("""COMPUTED_VALUE"""),"1 USD = 121.7375 PKR")</f>
        <v>1 USD = 121.7375 PKR</v>
      </c>
      <c r="H2027" s="9" t="str">
        <f ca="1">IFERROR(__xludf.DUMMYFUNCTION("""COMPUTED_VALUE"""),"USD PKR rate for 29/06/2018")</f>
        <v>USD PKR rate for 29/06/2018</v>
      </c>
      <c r="I2027" s="9"/>
    </row>
    <row r="2028" spans="1:9" ht="14.25" customHeight="1" x14ac:dyDescent="0.3">
      <c r="A2028" s="6">
        <v>41745</v>
      </c>
      <c r="B2028" s="7">
        <v>96.390300000000011</v>
      </c>
      <c r="C2028" s="8">
        <f t="shared" si="15"/>
        <v>113.48492006430641</v>
      </c>
      <c r="D2028" s="9">
        <f t="shared" si="14"/>
        <v>67.287716658398409</v>
      </c>
      <c r="E2028" s="9"/>
      <c r="F2028" s="9">
        <f ca="1">IFERROR(__xludf.DUMMYFUNCTION("""COMPUTED_VALUE"""),43279)</f>
        <v>43279</v>
      </c>
      <c r="G2028" s="9" t="str">
        <f ca="1">IFERROR(__xludf.DUMMYFUNCTION("""COMPUTED_VALUE"""),"1 USD = 121.7285 PKR")</f>
        <v>1 USD = 121.7285 PKR</v>
      </c>
      <c r="H2028" s="9" t="str">
        <f ca="1">IFERROR(__xludf.DUMMYFUNCTION("""COMPUTED_VALUE"""),"USD PKR rate for 28/06/2018")</f>
        <v>USD PKR rate for 28/06/2018</v>
      </c>
      <c r="I2028" s="9"/>
    </row>
    <row r="2029" spans="1:9" ht="14.25" customHeight="1" x14ac:dyDescent="0.3">
      <c r="A2029" s="6">
        <v>41746</v>
      </c>
      <c r="B2029" s="7">
        <v>96.623000000000005</v>
      </c>
      <c r="C2029" s="8">
        <f t="shared" si="15"/>
        <v>113.50521681597206</v>
      </c>
      <c r="D2029" s="9">
        <f t="shared" si="14"/>
        <v>67.290454491195675</v>
      </c>
      <c r="E2029" s="9"/>
      <c r="F2029" s="9">
        <f ca="1">IFERROR(__xludf.DUMMYFUNCTION("""COMPUTED_VALUE"""),43278)</f>
        <v>43278</v>
      </c>
      <c r="G2029" s="9" t="str">
        <f ca="1">IFERROR(__xludf.DUMMYFUNCTION("""COMPUTED_VALUE"""),"1 USD = 121.5449 PKR")</f>
        <v>1 USD = 121.5449 PKR</v>
      </c>
      <c r="H2029" s="9" t="str">
        <f ca="1">IFERROR(__xludf.DUMMYFUNCTION("""COMPUTED_VALUE"""),"USD PKR rate for 27/06/2018")</f>
        <v>USD PKR rate for 27/06/2018</v>
      </c>
      <c r="I2029" s="9"/>
    </row>
    <row r="2030" spans="1:9" ht="14.25" customHeight="1" x14ac:dyDescent="0.3">
      <c r="A2030" s="6">
        <v>41747</v>
      </c>
      <c r="B2030" s="7">
        <v>97.172600000000003</v>
      </c>
      <c r="C2030" s="8">
        <f t="shared" si="15"/>
        <v>113.52551719770695</v>
      </c>
      <c r="D2030" s="9">
        <f t="shared" si="14"/>
        <v>67.29319232399294</v>
      </c>
      <c r="E2030" s="9"/>
      <c r="F2030" s="9">
        <f ca="1">IFERROR(__xludf.DUMMYFUNCTION("""COMPUTED_VALUE"""),43277)</f>
        <v>43277</v>
      </c>
      <c r="G2030" s="9" t="str">
        <f ca="1">IFERROR(__xludf.DUMMYFUNCTION("""COMPUTED_VALUE"""),"1 USD = 121.6422 PKR")</f>
        <v>1 USD = 121.6422 PKR</v>
      </c>
      <c r="H2030" s="9" t="str">
        <f ca="1">IFERROR(__xludf.DUMMYFUNCTION("""COMPUTED_VALUE"""),"USD PKR rate for 26/06/2018")</f>
        <v>USD PKR rate for 26/06/2018</v>
      </c>
      <c r="I2030" s="9"/>
    </row>
    <row r="2031" spans="1:9" ht="14.25" customHeight="1" x14ac:dyDescent="0.3">
      <c r="A2031" s="6">
        <v>41748</v>
      </c>
      <c r="B2031" s="7">
        <v>97.138300000000001</v>
      </c>
      <c r="C2031" s="8">
        <f t="shared" si="15"/>
        <v>113.54582121016048</v>
      </c>
      <c r="D2031" s="9">
        <f t="shared" si="14"/>
        <v>67.295930156790206</v>
      </c>
      <c r="E2031" s="9"/>
      <c r="F2031" s="9">
        <f ca="1">IFERROR(__xludf.DUMMYFUNCTION("""COMPUTED_VALUE"""),43276)</f>
        <v>43276</v>
      </c>
      <c r="G2031" s="9" t="str">
        <f ca="1">IFERROR(__xludf.DUMMYFUNCTION("""COMPUTED_VALUE"""),"1 USD = 121.5733 PKR")</f>
        <v>1 USD = 121.5733 PKR</v>
      </c>
      <c r="H2031" s="9" t="str">
        <f ca="1">IFERROR(__xludf.DUMMYFUNCTION("""COMPUTED_VALUE"""),"USD PKR rate for 25/06/2018")</f>
        <v>USD PKR rate for 25/06/2018</v>
      </c>
      <c r="I2031" s="9"/>
    </row>
    <row r="2032" spans="1:9" ht="14.25" customHeight="1" x14ac:dyDescent="0.3">
      <c r="A2032" s="6">
        <v>41749</v>
      </c>
      <c r="B2032" s="7">
        <v>97.199700000000007</v>
      </c>
      <c r="C2032" s="8">
        <f t="shared" si="15"/>
        <v>113.56612885398197</v>
      </c>
      <c r="D2032" s="9">
        <f t="shared" si="14"/>
        <v>67.298667989587472</v>
      </c>
      <c r="E2032" s="9"/>
      <c r="F2032" s="9">
        <f ca="1">IFERROR(__xludf.DUMMYFUNCTION("""COMPUTED_VALUE"""),43275)</f>
        <v>43275</v>
      </c>
      <c r="G2032" s="9" t="str">
        <f ca="1">IFERROR(__xludf.DUMMYFUNCTION("""COMPUTED_VALUE"""),"1 USD = 121.6086 PKR")</f>
        <v>1 USD = 121.6086 PKR</v>
      </c>
      <c r="H2032" s="9" t="str">
        <f ca="1">IFERROR(__xludf.DUMMYFUNCTION("""COMPUTED_VALUE"""),"USD PKR rate for 24/06/2018")</f>
        <v>USD PKR rate for 24/06/2018</v>
      </c>
      <c r="I2032" s="9"/>
    </row>
    <row r="2033" spans="1:9" ht="14.25" customHeight="1" x14ac:dyDescent="0.3">
      <c r="A2033" s="6">
        <v>41750</v>
      </c>
      <c r="B2033" s="7">
        <v>97.434899999999999</v>
      </c>
      <c r="C2033" s="8">
        <f t="shared" si="15"/>
        <v>113.58644012982084</v>
      </c>
      <c r="D2033" s="9">
        <f t="shared" si="14"/>
        <v>67.301405822384737</v>
      </c>
      <c r="E2033" s="9"/>
      <c r="F2033" s="9">
        <f ca="1">IFERROR(__xludf.DUMMYFUNCTION("""COMPUTED_VALUE"""),43274)</f>
        <v>43274</v>
      </c>
      <c r="G2033" s="9" t="str">
        <f ca="1">IFERROR(__xludf.DUMMYFUNCTION("""COMPUTED_VALUE"""),"1 USD = 121.6017 PKR")</f>
        <v>1 USD = 121.6017 PKR</v>
      </c>
      <c r="H2033" s="9" t="str">
        <f ca="1">IFERROR(__xludf.DUMMYFUNCTION("""COMPUTED_VALUE"""),"USD PKR rate for 23/06/2018")</f>
        <v>USD PKR rate for 23/06/2018</v>
      </c>
      <c r="I2033" s="9"/>
    </row>
    <row r="2034" spans="1:9" ht="14.25" customHeight="1" x14ac:dyDescent="0.3">
      <c r="A2034" s="6">
        <v>41751</v>
      </c>
      <c r="B2034" s="7">
        <v>97.635400000000004</v>
      </c>
      <c r="C2034" s="8">
        <f t="shared" si="15"/>
        <v>113.60675503832668</v>
      </c>
      <c r="D2034" s="9">
        <f t="shared" si="14"/>
        <v>67.304143655182003</v>
      </c>
      <c r="E2034" s="9"/>
      <c r="F2034" s="9">
        <f ca="1">IFERROR(__xludf.DUMMYFUNCTION("""COMPUTED_VALUE"""),43273)</f>
        <v>43273</v>
      </c>
      <c r="G2034" s="9" t="str">
        <f ca="1">IFERROR(__xludf.DUMMYFUNCTION("""COMPUTED_VALUE"""),"1 USD = 121.6017 PKR")</f>
        <v>1 USD = 121.6017 PKR</v>
      </c>
      <c r="H2034" s="9" t="str">
        <f ca="1">IFERROR(__xludf.DUMMYFUNCTION("""COMPUTED_VALUE"""),"USD PKR rate for 22/06/2018")</f>
        <v>USD PKR rate for 22/06/2018</v>
      </c>
      <c r="I2034" s="9"/>
    </row>
    <row r="2035" spans="1:9" ht="14.25" customHeight="1" x14ac:dyDescent="0.3">
      <c r="A2035" s="6">
        <v>41752</v>
      </c>
      <c r="B2035" s="7">
        <v>97.616900000000001</v>
      </c>
      <c r="C2035" s="8">
        <f t="shared" si="15"/>
        <v>113.62707358014922</v>
      </c>
      <c r="D2035" s="9">
        <f t="shared" si="14"/>
        <v>67.306881487979268</v>
      </c>
      <c r="E2035" s="9"/>
      <c r="F2035" s="9">
        <f ca="1">IFERROR(__xludf.DUMMYFUNCTION("""COMPUTED_VALUE"""),43272)</f>
        <v>43272</v>
      </c>
      <c r="G2035" s="9" t="str">
        <f ca="1">IFERROR(__xludf.DUMMYFUNCTION("""COMPUTED_VALUE"""),"1 USD = 121.6463 PKR")</f>
        <v>1 USD = 121.6463 PKR</v>
      </c>
      <c r="H2035" s="9" t="str">
        <f ca="1">IFERROR(__xludf.DUMMYFUNCTION("""COMPUTED_VALUE"""),"USD PKR rate for 21/06/2018")</f>
        <v>USD PKR rate for 21/06/2018</v>
      </c>
      <c r="I2035" s="9"/>
    </row>
    <row r="2036" spans="1:9" ht="14.25" customHeight="1" x14ac:dyDescent="0.3">
      <c r="A2036" s="6">
        <v>41753</v>
      </c>
      <c r="B2036" s="7">
        <v>97.949600000000004</v>
      </c>
      <c r="C2036" s="8">
        <f t="shared" si="15"/>
        <v>113.64739575593825</v>
      </c>
      <c r="D2036" s="9">
        <f t="shared" si="14"/>
        <v>67.309619320776534</v>
      </c>
      <c r="E2036" s="9"/>
      <c r="F2036" s="9">
        <f ca="1">IFERROR(__xludf.DUMMYFUNCTION("""COMPUTED_VALUE"""),43271)</f>
        <v>43271</v>
      </c>
      <c r="G2036" s="9" t="str">
        <f ca="1">IFERROR(__xludf.DUMMYFUNCTION("""COMPUTED_VALUE"""),"1 USD = 121.5308 PKR")</f>
        <v>1 USD = 121.5308 PKR</v>
      </c>
      <c r="H2036" s="9" t="str">
        <f ca="1">IFERROR(__xludf.DUMMYFUNCTION("""COMPUTED_VALUE"""),"USD PKR rate for 20/06/2018")</f>
        <v>USD PKR rate for 20/06/2018</v>
      </c>
      <c r="I2036" s="9"/>
    </row>
    <row r="2037" spans="1:9" ht="14.25" customHeight="1" x14ac:dyDescent="0.3">
      <c r="A2037" s="6">
        <v>41754</v>
      </c>
      <c r="B2037" s="7">
        <v>98.090400000000017</v>
      </c>
      <c r="C2037" s="8">
        <f t="shared" si="15"/>
        <v>113.6677215663437</v>
      </c>
      <c r="D2037" s="9">
        <f t="shared" si="14"/>
        <v>67.312357153573799</v>
      </c>
      <c r="E2037" s="9"/>
      <c r="F2037" s="9">
        <f ca="1">IFERROR(__xludf.DUMMYFUNCTION("""COMPUTED_VALUE"""),43270)</f>
        <v>43270</v>
      </c>
      <c r="G2037" s="9" t="str">
        <f ca="1">IFERROR(__xludf.DUMMYFUNCTION("""COMPUTED_VALUE"""),"1 USD = 121.2476 PKR")</f>
        <v>1 USD = 121.2476 PKR</v>
      </c>
      <c r="H2037" s="9" t="str">
        <f ca="1">IFERROR(__xludf.DUMMYFUNCTION("""COMPUTED_VALUE"""),"USD PKR rate for 19/06/2018")</f>
        <v>USD PKR rate for 19/06/2018</v>
      </c>
      <c r="I2037" s="9"/>
    </row>
    <row r="2038" spans="1:9" ht="14.25" customHeight="1" x14ac:dyDescent="0.3">
      <c r="A2038" s="6">
        <v>41755</v>
      </c>
      <c r="B2038" s="7">
        <v>98.084199999999996</v>
      </c>
      <c r="C2038" s="8">
        <f t="shared" si="15"/>
        <v>113.68805101201563</v>
      </c>
      <c r="D2038" s="9">
        <f t="shared" si="14"/>
        <v>67.315094986371065</v>
      </c>
      <c r="E2038" s="9"/>
      <c r="F2038" s="9">
        <f ca="1">IFERROR(__xludf.DUMMYFUNCTION("""COMPUTED_VALUE"""),43269)</f>
        <v>43269</v>
      </c>
      <c r="G2038" s="9" t="str">
        <f ca="1">IFERROR(__xludf.DUMMYFUNCTION("""COMPUTED_VALUE"""),"1 USD = 119.8285 PKR")</f>
        <v>1 USD = 119.8285 PKR</v>
      </c>
      <c r="H2038" s="9" t="str">
        <f ca="1">IFERROR(__xludf.DUMMYFUNCTION("""COMPUTED_VALUE"""),"USD PKR rate for 18/06/2018")</f>
        <v>USD PKR rate for 18/06/2018</v>
      </c>
      <c r="I2038" s="9"/>
    </row>
    <row r="2039" spans="1:9" ht="14.25" customHeight="1" x14ac:dyDescent="0.3">
      <c r="A2039" s="6">
        <v>41756</v>
      </c>
      <c r="B2039" s="7">
        <v>98.135999999999996</v>
      </c>
      <c r="C2039" s="8">
        <f t="shared" si="15"/>
        <v>113.70838409360414</v>
      </c>
      <c r="D2039" s="9">
        <f t="shared" si="14"/>
        <v>67.317832819168331</v>
      </c>
      <c r="E2039" s="9"/>
      <c r="F2039" s="9">
        <f ca="1">IFERROR(__xludf.DUMMYFUNCTION("""COMPUTED_VALUE"""),43268)</f>
        <v>43268</v>
      </c>
      <c r="G2039" s="9" t="str">
        <f ca="1">IFERROR(__xludf.DUMMYFUNCTION("""COMPUTED_VALUE"""),"1 USD = 119.875 PKR")</f>
        <v>1 USD = 119.875 PKR</v>
      </c>
      <c r="H2039" s="9" t="str">
        <f ca="1">IFERROR(__xludf.DUMMYFUNCTION("""COMPUTED_VALUE"""),"USD PKR rate for 17/06/2018")</f>
        <v>USD PKR rate for 17/06/2018</v>
      </c>
      <c r="I2039" s="9"/>
    </row>
    <row r="2040" spans="1:9" ht="14.25" customHeight="1" x14ac:dyDescent="0.3">
      <c r="A2040" s="6">
        <v>41757</v>
      </c>
      <c r="B2040" s="7">
        <v>98.148100000000014</v>
      </c>
      <c r="C2040" s="8">
        <f t="shared" si="15"/>
        <v>113.72872081175966</v>
      </c>
      <c r="D2040" s="9">
        <f t="shared" si="14"/>
        <v>67.320570651965596</v>
      </c>
      <c r="E2040" s="9"/>
      <c r="F2040" s="9">
        <f ca="1">IFERROR(__xludf.DUMMYFUNCTION("""COMPUTED_VALUE"""),43267)</f>
        <v>43267</v>
      </c>
      <c r="G2040" s="9" t="str">
        <f ca="1">IFERROR(__xludf.DUMMYFUNCTION("""COMPUTED_VALUE"""),"1 USD = 119.8745 PKR")</f>
        <v>1 USD = 119.8745 PKR</v>
      </c>
      <c r="H2040" s="9" t="str">
        <f ca="1">IFERROR(__xludf.DUMMYFUNCTION("""COMPUTED_VALUE"""),"USD PKR rate for 16/06/2018")</f>
        <v>USD PKR rate for 16/06/2018</v>
      </c>
      <c r="I2040" s="9"/>
    </row>
    <row r="2041" spans="1:9" ht="14.25" customHeight="1" x14ac:dyDescent="0.3">
      <c r="A2041" s="6">
        <v>41758</v>
      </c>
      <c r="B2041" s="7">
        <v>98.334199999999996</v>
      </c>
      <c r="C2041" s="8">
        <f t="shared" si="15"/>
        <v>113.74906116713251</v>
      </c>
      <c r="D2041" s="9">
        <f t="shared" si="14"/>
        <v>67.323308484762862</v>
      </c>
      <c r="E2041" s="9"/>
      <c r="F2041" s="9">
        <f ca="1">IFERROR(__xludf.DUMMYFUNCTION("""COMPUTED_VALUE"""),43266)</f>
        <v>43266</v>
      </c>
      <c r="G2041" s="9" t="str">
        <f ca="1">IFERROR(__xludf.DUMMYFUNCTION("""COMPUTED_VALUE"""),"1 USD = 119.8745 PKR")</f>
        <v>1 USD = 119.8745 PKR</v>
      </c>
      <c r="H2041" s="9" t="str">
        <f ca="1">IFERROR(__xludf.DUMMYFUNCTION("""COMPUTED_VALUE"""),"USD PKR rate for 15/06/2018")</f>
        <v>USD PKR rate for 15/06/2018</v>
      </c>
      <c r="I2041" s="9"/>
    </row>
    <row r="2042" spans="1:9" ht="14.25" customHeight="1" x14ac:dyDescent="0.3">
      <c r="A2042" s="6">
        <v>41759</v>
      </c>
      <c r="B2042" s="7">
        <v>98.544899999999998</v>
      </c>
      <c r="C2042" s="8">
        <f t="shared" si="15"/>
        <v>113.76940516037322</v>
      </c>
      <c r="D2042" s="9">
        <f t="shared" si="14"/>
        <v>67.326046317560127</v>
      </c>
      <c r="E2042" s="9"/>
      <c r="F2042" s="9">
        <f ca="1">IFERROR(__xludf.DUMMYFUNCTION("""COMPUTED_VALUE"""),43265)</f>
        <v>43265</v>
      </c>
      <c r="G2042" s="9" t="str">
        <f ca="1">IFERROR(__xludf.DUMMYFUNCTION("""COMPUTED_VALUE"""),"1 USD = 117.1591 PKR")</f>
        <v>1 USD = 117.1591 PKR</v>
      </c>
      <c r="H2042" s="9" t="str">
        <f ca="1">IFERROR(__xludf.DUMMYFUNCTION("""COMPUTED_VALUE"""),"USD PKR rate for 14/06/2018")</f>
        <v>USD PKR rate for 14/06/2018</v>
      </c>
      <c r="I2042" s="9"/>
    </row>
    <row r="2043" spans="1:9" ht="14.25" customHeight="1" x14ac:dyDescent="0.3">
      <c r="A2043" s="6">
        <v>41760</v>
      </c>
      <c r="B2043" s="7">
        <v>98.633600000000001</v>
      </c>
      <c r="C2043" s="8">
        <f t="shared" si="15"/>
        <v>113.78975279213239</v>
      </c>
      <c r="D2043" s="9">
        <f t="shared" ref="D2043:D2297" si="16">(A2043-$A$3)/365.2524</f>
        <v>67.328784150357393</v>
      </c>
      <c r="E2043" s="9"/>
      <c r="F2043" s="9">
        <f ca="1">IFERROR(__xludf.DUMMYFUNCTION("""COMPUTED_VALUE"""),43264)</f>
        <v>43264</v>
      </c>
      <c r="G2043" s="9" t="str">
        <f ca="1">IFERROR(__xludf.DUMMYFUNCTION("""COMPUTED_VALUE"""),"1 USD = 118.0309 PKR")</f>
        <v>1 USD = 118.0309 PKR</v>
      </c>
      <c r="H2043" s="9" t="str">
        <f ca="1">IFERROR(__xludf.DUMMYFUNCTION("""COMPUTED_VALUE"""),"USD PKR rate for 13/06/2018")</f>
        <v>USD PKR rate for 13/06/2018</v>
      </c>
      <c r="I2043" s="9"/>
    </row>
    <row r="2044" spans="1:9" ht="14.25" customHeight="1" x14ac:dyDescent="0.3">
      <c r="A2044" s="6">
        <v>41761</v>
      </c>
      <c r="B2044" s="7">
        <v>98.702800000000011</v>
      </c>
      <c r="C2044" s="8">
        <f t="shared" ref="C2044:C2298" si="17">(1+$C$1)^D2044*$C$3</f>
        <v>113.81010406306081</v>
      </c>
      <c r="D2044" s="9">
        <f t="shared" si="16"/>
        <v>67.331521983154659</v>
      </c>
      <c r="E2044" s="9"/>
      <c r="F2044" s="9">
        <f ca="1">IFERROR(__xludf.DUMMYFUNCTION("""COMPUTED_VALUE"""),43263)</f>
        <v>43263</v>
      </c>
      <c r="G2044" s="9" t="str">
        <f ca="1">IFERROR(__xludf.DUMMYFUNCTION("""COMPUTED_VALUE"""),"1 USD = 115.5995 PKR")</f>
        <v>1 USD = 115.5995 PKR</v>
      </c>
      <c r="H2044" s="9" t="str">
        <f ca="1">IFERROR(__xludf.DUMMYFUNCTION("""COMPUTED_VALUE"""),"USD PKR rate for 12/06/2018")</f>
        <v>USD PKR rate for 12/06/2018</v>
      </c>
      <c r="I2044" s="9"/>
    </row>
    <row r="2045" spans="1:9" ht="14.25" customHeight="1" x14ac:dyDescent="0.3">
      <c r="A2045" s="6">
        <v>41762</v>
      </c>
      <c r="B2045" s="7">
        <v>98.73220000000002</v>
      </c>
      <c r="C2045" s="8">
        <f t="shared" si="17"/>
        <v>113.8304589738093</v>
      </c>
      <c r="D2045" s="9">
        <f t="shared" si="16"/>
        <v>67.334259815951924</v>
      </c>
      <c r="E2045" s="9"/>
      <c r="F2045" s="9">
        <f ca="1">IFERROR(__xludf.DUMMYFUNCTION("""COMPUTED_VALUE"""),43262)</f>
        <v>43262</v>
      </c>
      <c r="G2045" s="9" t="str">
        <f ca="1">IFERROR(__xludf.DUMMYFUNCTION("""COMPUTED_VALUE"""),"1 USD = 115.7623 PKR")</f>
        <v>1 USD = 115.7623 PKR</v>
      </c>
      <c r="H2045" s="9" t="str">
        <f ca="1">IFERROR(__xludf.DUMMYFUNCTION("""COMPUTED_VALUE"""),"USD PKR rate for 11/06/2018")</f>
        <v>USD PKR rate for 11/06/2018</v>
      </c>
      <c r="I2045" s="9"/>
    </row>
    <row r="2046" spans="1:9" ht="14.25" customHeight="1" x14ac:dyDescent="0.3">
      <c r="A2046" s="6">
        <v>41763</v>
      </c>
      <c r="B2046" s="7">
        <v>98.809700000000021</v>
      </c>
      <c r="C2046" s="8">
        <f t="shared" si="17"/>
        <v>113.85081752502886</v>
      </c>
      <c r="D2046" s="9">
        <f t="shared" si="16"/>
        <v>67.33699764874919</v>
      </c>
      <c r="E2046" s="9"/>
      <c r="F2046" s="9">
        <f ca="1">IFERROR(__xludf.DUMMYFUNCTION("""COMPUTED_VALUE"""),43261)</f>
        <v>43261</v>
      </c>
      <c r="G2046" s="9" t="str">
        <f ca="1">IFERROR(__xludf.DUMMYFUNCTION("""COMPUTED_VALUE"""),"1 USD = 115.3478 PKR")</f>
        <v>1 USD = 115.3478 PKR</v>
      </c>
      <c r="H2046" s="9" t="str">
        <f ca="1">IFERROR(__xludf.DUMMYFUNCTION("""COMPUTED_VALUE"""),"USD PKR rate for 10/06/2018")</f>
        <v>USD PKR rate for 10/06/2018</v>
      </c>
      <c r="I2046" s="9"/>
    </row>
    <row r="2047" spans="1:9" ht="14.25" customHeight="1" x14ac:dyDescent="0.3">
      <c r="A2047" s="6">
        <v>41764</v>
      </c>
      <c r="B2047" s="7">
        <v>98.826499999999996</v>
      </c>
      <c r="C2047" s="8">
        <f t="shared" si="17"/>
        <v>113.87117971737061</v>
      </c>
      <c r="D2047" s="9">
        <f t="shared" si="16"/>
        <v>67.339735481546455</v>
      </c>
      <c r="E2047" s="9"/>
      <c r="F2047" s="9">
        <f ca="1">IFERROR(__xludf.DUMMYFUNCTION("""COMPUTED_VALUE"""),43260)</f>
        <v>43260</v>
      </c>
      <c r="G2047" s="9" t="str">
        <f ca="1">IFERROR(__xludf.DUMMYFUNCTION("""COMPUTED_VALUE"""),"1 USD = 115.6955 PKR")</f>
        <v>1 USD = 115.6955 PKR</v>
      </c>
      <c r="H2047" s="9" t="str">
        <f ca="1">IFERROR(__xludf.DUMMYFUNCTION("""COMPUTED_VALUE"""),"USD PKR rate for 09/06/2018")</f>
        <v>USD PKR rate for 09/06/2018</v>
      </c>
      <c r="I2047" s="9"/>
    </row>
    <row r="2048" spans="1:9" ht="14.25" customHeight="1" x14ac:dyDescent="0.3">
      <c r="A2048" s="6">
        <v>41765</v>
      </c>
      <c r="B2048" s="7">
        <v>98.707999999999998</v>
      </c>
      <c r="C2048" s="8">
        <f t="shared" si="17"/>
        <v>113.89154555148565</v>
      </c>
      <c r="D2048" s="9">
        <f t="shared" si="16"/>
        <v>67.342473314343721</v>
      </c>
      <c r="E2048" s="9"/>
      <c r="F2048" s="9">
        <f ca="1">IFERROR(__xludf.DUMMYFUNCTION("""COMPUTED_VALUE"""),43259)</f>
        <v>43259</v>
      </c>
      <c r="G2048" s="9" t="str">
        <f ca="1">IFERROR(__xludf.DUMMYFUNCTION("""COMPUTED_VALUE"""),"1 USD = 115.6985 PKR")</f>
        <v>1 USD = 115.6985 PKR</v>
      </c>
      <c r="H2048" s="9" t="str">
        <f ca="1">IFERROR(__xludf.DUMMYFUNCTION("""COMPUTED_VALUE"""),"USD PKR rate for 08/06/2018")</f>
        <v>USD PKR rate for 08/06/2018</v>
      </c>
      <c r="I2048" s="9"/>
    </row>
    <row r="2049" spans="1:9" ht="14.25" customHeight="1" x14ac:dyDescent="0.3">
      <c r="A2049" s="6">
        <v>41766</v>
      </c>
      <c r="B2049" s="7">
        <v>98.359899999999996</v>
      </c>
      <c r="C2049" s="8">
        <f t="shared" si="17"/>
        <v>113.91191502802548</v>
      </c>
      <c r="D2049" s="9">
        <f t="shared" si="16"/>
        <v>67.345211147140986</v>
      </c>
      <c r="E2049" s="9"/>
      <c r="F2049" s="9">
        <f ca="1">IFERROR(__xludf.DUMMYFUNCTION("""COMPUTED_VALUE"""),43258)</f>
        <v>43258</v>
      </c>
      <c r="G2049" s="9" t="str">
        <f ca="1">IFERROR(__xludf.DUMMYFUNCTION("""COMPUTED_VALUE"""),"1 USD = 115.7126 PKR")</f>
        <v>1 USD = 115.7126 PKR</v>
      </c>
      <c r="H2049" s="9" t="str">
        <f ca="1">IFERROR(__xludf.DUMMYFUNCTION("""COMPUTED_VALUE"""),"USD PKR rate for 07/06/2018")</f>
        <v>USD PKR rate for 07/06/2018</v>
      </c>
      <c r="I2049" s="9"/>
    </row>
    <row r="2050" spans="1:9" ht="14.25" customHeight="1" x14ac:dyDescent="0.3">
      <c r="A2050" s="6">
        <v>41767</v>
      </c>
      <c r="B2050" s="7">
        <v>98.593400000000017</v>
      </c>
      <c r="C2050" s="8">
        <f t="shared" si="17"/>
        <v>113.93228814764149</v>
      </c>
      <c r="D2050" s="9">
        <f t="shared" si="16"/>
        <v>67.347948979938252</v>
      </c>
      <c r="E2050" s="9"/>
      <c r="F2050" s="9">
        <f ca="1">IFERROR(__xludf.DUMMYFUNCTION("""COMPUTED_VALUE"""),43257)</f>
        <v>43257</v>
      </c>
      <c r="G2050" s="9" t="str">
        <f ca="1">IFERROR(__xludf.DUMMYFUNCTION("""COMPUTED_VALUE"""),"1 USD = 115.7004 PKR")</f>
        <v>1 USD = 115.7004 PKR</v>
      </c>
      <c r="H2050" s="9" t="str">
        <f ca="1">IFERROR(__xludf.DUMMYFUNCTION("""COMPUTED_VALUE"""),"USD PKR rate for 06/06/2018")</f>
        <v>USD PKR rate for 06/06/2018</v>
      </c>
      <c r="I2050" s="9"/>
    </row>
    <row r="2051" spans="1:9" ht="14.25" customHeight="1" x14ac:dyDescent="0.3">
      <c r="A2051" s="6">
        <v>41768</v>
      </c>
      <c r="B2051" s="7">
        <v>98.527600000000007</v>
      </c>
      <c r="C2051" s="8">
        <f t="shared" si="17"/>
        <v>113.95266491098519</v>
      </c>
      <c r="D2051" s="9">
        <f t="shared" si="16"/>
        <v>67.350686812735518</v>
      </c>
      <c r="E2051" s="9"/>
      <c r="F2051" s="9">
        <f ca="1">IFERROR(__xludf.DUMMYFUNCTION("""COMPUTED_VALUE"""),43256)</f>
        <v>43256</v>
      </c>
      <c r="G2051" s="9" t="str">
        <f ca="1">IFERROR(__xludf.DUMMYFUNCTION("""COMPUTED_VALUE"""),"1 USD = 115.5955 PKR")</f>
        <v>1 USD = 115.5955 PKR</v>
      </c>
      <c r="H2051" s="9" t="str">
        <f ca="1">IFERROR(__xludf.DUMMYFUNCTION("""COMPUTED_VALUE"""),"USD PKR rate for 05/06/2018")</f>
        <v>USD PKR rate for 05/06/2018</v>
      </c>
      <c r="I2051" s="9"/>
    </row>
    <row r="2052" spans="1:9" ht="14.25" customHeight="1" x14ac:dyDescent="0.3">
      <c r="A2052" s="6">
        <v>41769</v>
      </c>
      <c r="B2052" s="7">
        <v>98.631699999999995</v>
      </c>
      <c r="C2052" s="8">
        <f t="shared" si="17"/>
        <v>113.97304531870832</v>
      </c>
      <c r="D2052" s="9">
        <f t="shared" si="16"/>
        <v>67.353424645532783</v>
      </c>
      <c r="E2052" s="9"/>
      <c r="F2052" s="9">
        <f ca="1">IFERROR(__xludf.DUMMYFUNCTION("""COMPUTED_VALUE"""),43255)</f>
        <v>43255</v>
      </c>
      <c r="G2052" s="9" t="str">
        <f ca="1">IFERROR(__xludf.DUMMYFUNCTION("""COMPUTED_VALUE"""),"1 USD = 115.8763 PKR")</f>
        <v>1 USD = 115.8763 PKR</v>
      </c>
      <c r="H2052" s="9" t="str">
        <f ca="1">IFERROR(__xludf.DUMMYFUNCTION("""COMPUTED_VALUE"""),"USD PKR rate for 04/06/2018")</f>
        <v>USD PKR rate for 04/06/2018</v>
      </c>
      <c r="I2052" s="9"/>
    </row>
    <row r="2053" spans="1:9" ht="14.25" customHeight="1" x14ac:dyDescent="0.3">
      <c r="A2053" s="6">
        <v>41770</v>
      </c>
      <c r="B2053" s="7">
        <v>98.589500000000001</v>
      </c>
      <c r="C2053" s="8">
        <f t="shared" si="17"/>
        <v>113.99342937146265</v>
      </c>
      <c r="D2053" s="9">
        <f t="shared" si="16"/>
        <v>67.356162478330049</v>
      </c>
      <c r="E2053" s="9"/>
      <c r="F2053" s="9">
        <f ca="1">IFERROR(__xludf.DUMMYFUNCTION("""COMPUTED_VALUE"""),43254)</f>
        <v>43254</v>
      </c>
      <c r="G2053" s="9" t="str">
        <f ca="1">IFERROR(__xludf.DUMMYFUNCTION("""COMPUTED_VALUE"""),"1 USD = 116.1723 PKR")</f>
        <v>1 USD = 116.1723 PKR</v>
      </c>
      <c r="H2053" s="9" t="str">
        <f ca="1">IFERROR(__xludf.DUMMYFUNCTION("""COMPUTED_VALUE"""),"USD PKR rate for 03/06/2018")</f>
        <v>USD PKR rate for 03/06/2018</v>
      </c>
      <c r="I2053" s="9"/>
    </row>
    <row r="2054" spans="1:9" ht="14.25" customHeight="1" x14ac:dyDescent="0.3">
      <c r="A2054" s="6">
        <v>41771</v>
      </c>
      <c r="B2054" s="7">
        <v>98.538600000000002</v>
      </c>
      <c r="C2054" s="8">
        <f t="shared" si="17"/>
        <v>114.01381706990009</v>
      </c>
      <c r="D2054" s="9">
        <f t="shared" si="16"/>
        <v>67.358900311127314</v>
      </c>
      <c r="E2054" s="9"/>
      <c r="F2054" s="9">
        <f ca="1">IFERROR(__xludf.DUMMYFUNCTION("""COMPUTED_VALUE"""),43253)</f>
        <v>43253</v>
      </c>
      <c r="G2054" s="9" t="str">
        <f ca="1">IFERROR(__xludf.DUMMYFUNCTION("""COMPUTED_VALUE"""),"1 USD = 116.1723 PKR")</f>
        <v>1 USD = 116.1723 PKR</v>
      </c>
      <c r="H2054" s="9" t="str">
        <f ca="1">IFERROR(__xludf.DUMMYFUNCTION("""COMPUTED_VALUE"""),"USD PKR rate for 02/06/2018")</f>
        <v>USD PKR rate for 02/06/2018</v>
      </c>
      <c r="I2054" s="9"/>
    </row>
    <row r="2055" spans="1:9" ht="14.25" customHeight="1" x14ac:dyDescent="0.3">
      <c r="A2055" s="6">
        <v>41772</v>
      </c>
      <c r="B2055" s="7">
        <v>98.674099999999996</v>
      </c>
      <c r="C2055" s="8">
        <f t="shared" si="17"/>
        <v>114.03420841467268</v>
      </c>
      <c r="D2055" s="9">
        <f t="shared" si="16"/>
        <v>67.36163814392458</v>
      </c>
      <c r="E2055" s="9"/>
      <c r="F2055" s="9">
        <f ca="1">IFERROR(__xludf.DUMMYFUNCTION("""COMPUTED_VALUE"""),43252)</f>
        <v>43252</v>
      </c>
      <c r="G2055" s="9" t="str">
        <f ca="1">IFERROR(__xludf.DUMMYFUNCTION("""COMPUTED_VALUE"""),"1 USD = 115.5995 PKR")</f>
        <v>1 USD = 115.5995 PKR</v>
      </c>
      <c r="H2055" s="9" t="str">
        <f ca="1">IFERROR(__xludf.DUMMYFUNCTION("""COMPUTED_VALUE"""),"USD PKR rate for 01/06/2018")</f>
        <v>USD PKR rate for 01/06/2018</v>
      </c>
      <c r="I2055" s="9"/>
    </row>
    <row r="2056" spans="1:9" ht="14.25" customHeight="1" x14ac:dyDescent="0.3">
      <c r="A2056" s="6">
        <v>41773</v>
      </c>
      <c r="B2056" s="7">
        <v>98.677199999999999</v>
      </c>
      <c r="C2056" s="8">
        <f t="shared" si="17"/>
        <v>114.05460340643253</v>
      </c>
      <c r="D2056" s="9">
        <f t="shared" si="16"/>
        <v>67.364375976721846</v>
      </c>
      <c r="E2056" s="9"/>
      <c r="F2056" s="9">
        <f ca="1">IFERROR(__xludf.DUMMYFUNCTION("""COMPUTED_VALUE"""),43251)</f>
        <v>43251</v>
      </c>
      <c r="G2056" s="9" t="str">
        <f ca="1">IFERROR(__xludf.DUMMYFUNCTION("""COMPUTED_VALUE"""),"1 USD = 115.7021 PKR")</f>
        <v>1 USD = 115.7021 PKR</v>
      </c>
      <c r="H2056" s="9" t="str">
        <f ca="1">IFERROR(__xludf.DUMMYFUNCTION("""COMPUTED_VALUE"""),"USD PKR rate for 31/05/2018")</f>
        <v>USD PKR rate for 31/05/2018</v>
      </c>
      <c r="I2056" s="9"/>
    </row>
    <row r="2057" spans="1:9" ht="14.25" customHeight="1" x14ac:dyDescent="0.3">
      <c r="A2057" s="6">
        <v>41774</v>
      </c>
      <c r="B2057" s="7">
        <v>98.65470000000002</v>
      </c>
      <c r="C2057" s="8">
        <f t="shared" si="17"/>
        <v>114.07500204583188</v>
      </c>
      <c r="D2057" s="9">
        <f t="shared" si="16"/>
        <v>67.367113809519111</v>
      </c>
      <c r="E2057" s="9"/>
      <c r="F2057" s="9">
        <f ca="1">IFERROR(__xludf.DUMMYFUNCTION("""COMPUTED_VALUE"""),43250)</f>
        <v>43250</v>
      </c>
      <c r="G2057" s="9" t="str">
        <f ca="1">IFERROR(__xludf.DUMMYFUNCTION("""COMPUTED_VALUE"""),"1 USD = 115.6693 PKR")</f>
        <v>1 USD = 115.6693 PKR</v>
      </c>
      <c r="H2057" s="9" t="str">
        <f ca="1">IFERROR(__xludf.DUMMYFUNCTION("""COMPUTED_VALUE"""),"USD PKR rate for 30/05/2018")</f>
        <v>USD PKR rate for 30/05/2018</v>
      </c>
      <c r="I2057" s="9"/>
    </row>
    <row r="2058" spans="1:9" ht="14.25" customHeight="1" x14ac:dyDescent="0.3">
      <c r="A2058" s="6">
        <v>41775</v>
      </c>
      <c r="B2058" s="7">
        <v>98.359899999999996</v>
      </c>
      <c r="C2058" s="8">
        <f t="shared" si="17"/>
        <v>114.09540433352322</v>
      </c>
      <c r="D2058" s="9">
        <f t="shared" si="16"/>
        <v>67.369851642316377</v>
      </c>
      <c r="E2058" s="9"/>
      <c r="F2058" s="9">
        <f ca="1">IFERROR(__xludf.DUMMYFUNCTION("""COMPUTED_VALUE"""),43249)</f>
        <v>43249</v>
      </c>
      <c r="G2058" s="9" t="str">
        <f ca="1">IFERROR(__xludf.DUMMYFUNCTION("""COMPUTED_VALUE"""),"1 USD = 115.7883 PKR")</f>
        <v>1 USD = 115.7883 PKR</v>
      </c>
      <c r="H2058" s="9" t="str">
        <f ca="1">IFERROR(__xludf.DUMMYFUNCTION("""COMPUTED_VALUE"""),"USD PKR rate for 29/05/2018")</f>
        <v>USD PKR rate for 29/05/2018</v>
      </c>
      <c r="I2058" s="9"/>
    </row>
    <row r="2059" spans="1:9" ht="14.25" customHeight="1" x14ac:dyDescent="0.3">
      <c r="A2059" s="6">
        <v>41776</v>
      </c>
      <c r="B2059" s="7">
        <v>98.336200000000019</v>
      </c>
      <c r="C2059" s="8">
        <f t="shared" si="17"/>
        <v>114.115810270159</v>
      </c>
      <c r="D2059" s="9">
        <f t="shared" si="16"/>
        <v>67.372589475113642</v>
      </c>
      <c r="E2059" s="9"/>
      <c r="F2059" s="9">
        <f ca="1">IFERROR(__xludf.DUMMYFUNCTION("""COMPUTED_VALUE"""),43248)</f>
        <v>43248</v>
      </c>
      <c r="G2059" s="9" t="str">
        <f ca="1">IFERROR(__xludf.DUMMYFUNCTION("""COMPUTED_VALUE"""),"1 USD = 115.8075 PKR")</f>
        <v>1 USD = 115.8075 PKR</v>
      </c>
      <c r="H2059" s="9" t="str">
        <f ca="1">IFERROR(__xludf.DUMMYFUNCTION("""COMPUTED_VALUE"""),"USD PKR rate for 28/05/2018")</f>
        <v>USD PKR rate for 28/05/2018</v>
      </c>
      <c r="I2059" s="9"/>
    </row>
    <row r="2060" spans="1:9" ht="14.25" customHeight="1" x14ac:dyDescent="0.3">
      <c r="A2060" s="6">
        <v>41777</v>
      </c>
      <c r="B2060" s="7">
        <v>98.350600000000014</v>
      </c>
      <c r="C2060" s="8">
        <f t="shared" si="17"/>
        <v>114.13621985639183</v>
      </c>
      <c r="D2060" s="9">
        <f t="shared" si="16"/>
        <v>67.375327307910908</v>
      </c>
      <c r="E2060" s="9"/>
      <c r="F2060" s="9">
        <f ca="1">IFERROR(__xludf.DUMMYFUNCTION("""COMPUTED_VALUE"""),43247)</f>
        <v>43247</v>
      </c>
      <c r="G2060" s="9" t="str">
        <f ca="1">IFERROR(__xludf.DUMMYFUNCTION("""COMPUTED_VALUE"""),"1 USD = 115.5998 PKR")</f>
        <v>1 USD = 115.5998 PKR</v>
      </c>
      <c r="H2060" s="9" t="str">
        <f ca="1">IFERROR(__xludf.DUMMYFUNCTION("""COMPUTED_VALUE"""),"USD PKR rate for 27/05/2018")</f>
        <v>USD PKR rate for 27/05/2018</v>
      </c>
      <c r="I2060" s="9"/>
    </row>
    <row r="2061" spans="1:9" ht="14.25" customHeight="1" x14ac:dyDescent="0.3">
      <c r="A2061" s="6">
        <v>41778</v>
      </c>
      <c r="B2061" s="7">
        <v>98.613900000000001</v>
      </c>
      <c r="C2061" s="8">
        <f t="shared" si="17"/>
        <v>114.15663309287442</v>
      </c>
      <c r="D2061" s="9">
        <f t="shared" si="16"/>
        <v>67.378065140708173</v>
      </c>
      <c r="E2061" s="9"/>
      <c r="F2061" s="9">
        <f ca="1">IFERROR(__xludf.DUMMYFUNCTION("""COMPUTED_VALUE"""),43246)</f>
        <v>43246</v>
      </c>
      <c r="G2061" s="9" t="str">
        <f ca="1">IFERROR(__xludf.DUMMYFUNCTION("""COMPUTED_VALUE"""),"1 USD = 115.6004 PKR")</f>
        <v>1 USD = 115.6004 PKR</v>
      </c>
      <c r="H2061" s="9" t="str">
        <f ca="1">IFERROR(__xludf.DUMMYFUNCTION("""COMPUTED_VALUE"""),"USD PKR rate for 26/05/2018")</f>
        <v>USD PKR rate for 26/05/2018</v>
      </c>
      <c r="I2061" s="9"/>
    </row>
    <row r="2062" spans="1:9" ht="14.25" customHeight="1" x14ac:dyDescent="0.3">
      <c r="A2062" s="6">
        <v>41779</v>
      </c>
      <c r="B2062" s="7">
        <v>98.753600000000006</v>
      </c>
      <c r="C2062" s="8">
        <f t="shared" si="17"/>
        <v>114.17704998025962</v>
      </c>
      <c r="D2062" s="9">
        <f t="shared" si="16"/>
        <v>67.380802973505439</v>
      </c>
      <c r="E2062" s="9"/>
      <c r="F2062" s="9">
        <f ca="1">IFERROR(__xludf.DUMMYFUNCTION("""COMPUTED_VALUE"""),43245)</f>
        <v>43245</v>
      </c>
      <c r="G2062" s="9" t="str">
        <f ca="1">IFERROR(__xludf.DUMMYFUNCTION("""COMPUTED_VALUE"""),"1 USD = 115.5999 PKR")</f>
        <v>1 USD = 115.5999 PKR</v>
      </c>
      <c r="H2062" s="9" t="str">
        <f ca="1">IFERROR(__xludf.DUMMYFUNCTION("""COMPUTED_VALUE"""),"USD PKR rate for 25/05/2018")</f>
        <v>USD PKR rate for 25/05/2018</v>
      </c>
      <c r="I2062" s="9"/>
    </row>
    <row r="2063" spans="1:9" ht="14.25" customHeight="1" x14ac:dyDescent="0.3">
      <c r="A2063" s="6">
        <v>41780</v>
      </c>
      <c r="B2063" s="7">
        <v>98.7834</v>
      </c>
      <c r="C2063" s="8">
        <f t="shared" si="17"/>
        <v>114.19747051920041</v>
      </c>
      <c r="D2063" s="9">
        <f t="shared" si="16"/>
        <v>67.383540806302705</v>
      </c>
      <c r="E2063" s="9"/>
      <c r="F2063" s="9">
        <f ca="1">IFERROR(__xludf.DUMMYFUNCTION("""COMPUTED_VALUE"""),43244)</f>
        <v>43244</v>
      </c>
      <c r="G2063" s="9" t="str">
        <f ca="1">IFERROR(__xludf.DUMMYFUNCTION("""COMPUTED_VALUE"""),"1 USD = 115.6753 PKR")</f>
        <v>1 USD = 115.6753 PKR</v>
      </c>
      <c r="H2063" s="9" t="str">
        <f ca="1">IFERROR(__xludf.DUMMYFUNCTION("""COMPUTED_VALUE"""),"USD PKR rate for 24/05/2018")</f>
        <v>USD PKR rate for 24/05/2018</v>
      </c>
      <c r="I2063" s="9"/>
    </row>
    <row r="2064" spans="1:9" ht="14.25" customHeight="1" x14ac:dyDescent="0.3">
      <c r="A2064" s="6">
        <v>41781</v>
      </c>
      <c r="B2064" s="7">
        <v>98.811800000000005</v>
      </c>
      <c r="C2064" s="8">
        <f t="shared" si="17"/>
        <v>114.21789471034987</v>
      </c>
      <c r="D2064" s="9">
        <f t="shared" si="16"/>
        <v>67.38627863909997</v>
      </c>
      <c r="E2064" s="9"/>
      <c r="F2064" s="9">
        <f ca="1">IFERROR(__xludf.DUMMYFUNCTION("""COMPUTED_VALUE"""),43243)</f>
        <v>43243</v>
      </c>
      <c r="G2064" s="9" t="str">
        <f ca="1">IFERROR(__xludf.DUMMYFUNCTION("""COMPUTED_VALUE"""),"1 USD = 115.6016 PKR")</f>
        <v>1 USD = 115.6016 PKR</v>
      </c>
      <c r="H2064" s="9" t="str">
        <f ca="1">IFERROR(__xludf.DUMMYFUNCTION("""COMPUTED_VALUE"""),"USD PKR rate for 23/05/2018")</f>
        <v>USD PKR rate for 23/05/2018</v>
      </c>
      <c r="I2064" s="9"/>
    </row>
    <row r="2065" spans="1:9" ht="14.25" customHeight="1" x14ac:dyDescent="0.3">
      <c r="A2065" s="6">
        <v>41782</v>
      </c>
      <c r="B2065" s="7">
        <v>98.835899999999995</v>
      </c>
      <c r="C2065" s="8">
        <f t="shared" si="17"/>
        <v>114.23832255436118</v>
      </c>
      <c r="D2065" s="9">
        <f t="shared" si="16"/>
        <v>67.389016471897236</v>
      </c>
      <c r="E2065" s="9"/>
      <c r="F2065" s="9">
        <f ca="1">IFERROR(__xludf.DUMMYFUNCTION("""COMPUTED_VALUE"""),43242)</f>
        <v>43242</v>
      </c>
      <c r="G2065" s="9" t="str">
        <f ca="1">IFERROR(__xludf.DUMMYFUNCTION("""COMPUTED_VALUE"""),"1 USD = 115.595 PKR")</f>
        <v>1 USD = 115.595 PKR</v>
      </c>
      <c r="H2065" s="9" t="str">
        <f ca="1">IFERROR(__xludf.DUMMYFUNCTION("""COMPUTED_VALUE"""),"USD PKR rate for 22/05/2018")</f>
        <v>USD PKR rate for 22/05/2018</v>
      </c>
      <c r="I2065" s="9"/>
    </row>
    <row r="2066" spans="1:9" ht="14.25" customHeight="1" x14ac:dyDescent="0.3">
      <c r="A2066" s="6">
        <v>41783</v>
      </c>
      <c r="B2066" s="7">
        <v>98.8489</v>
      </c>
      <c r="C2066" s="8">
        <f t="shared" si="17"/>
        <v>114.25875405188754</v>
      </c>
      <c r="D2066" s="9">
        <f t="shared" si="16"/>
        <v>67.391754304694501</v>
      </c>
      <c r="E2066" s="9"/>
      <c r="F2066" s="9">
        <f ca="1">IFERROR(__xludf.DUMMYFUNCTION("""COMPUTED_VALUE"""),43241)</f>
        <v>43241</v>
      </c>
      <c r="G2066" s="9" t="str">
        <f ca="1">IFERROR(__xludf.DUMMYFUNCTION("""COMPUTED_VALUE"""),"1 USD = 115.65 PKR")</f>
        <v>1 USD = 115.65 PKR</v>
      </c>
      <c r="H2066" s="9" t="str">
        <f ca="1">IFERROR(__xludf.DUMMYFUNCTION("""COMPUTED_VALUE"""),"USD PKR rate for 21/05/2018")</f>
        <v>USD PKR rate for 21/05/2018</v>
      </c>
      <c r="I2066" s="9"/>
    </row>
    <row r="2067" spans="1:9" ht="14.25" customHeight="1" x14ac:dyDescent="0.3">
      <c r="A2067" s="6">
        <v>41784</v>
      </c>
      <c r="B2067" s="7">
        <v>98.90470000000002</v>
      </c>
      <c r="C2067" s="8">
        <f t="shared" si="17"/>
        <v>114.27918920358262</v>
      </c>
      <c r="D2067" s="9">
        <f t="shared" si="16"/>
        <v>67.394492137491767</v>
      </c>
      <c r="E2067" s="9"/>
      <c r="F2067" s="9">
        <f ca="1">IFERROR(__xludf.DUMMYFUNCTION("""COMPUTED_VALUE"""),43240)</f>
        <v>43240</v>
      </c>
      <c r="G2067" s="9" t="str">
        <f ca="1">IFERROR(__xludf.DUMMYFUNCTION("""COMPUTED_VALUE"""),"1 USD = 115.6876 PKR")</f>
        <v>1 USD = 115.6876 PKR</v>
      </c>
      <c r="H2067" s="9" t="str">
        <f ca="1">IFERROR(__xludf.DUMMYFUNCTION("""COMPUTED_VALUE"""),"USD PKR rate for 20/05/2018")</f>
        <v>USD PKR rate for 20/05/2018</v>
      </c>
      <c r="I2067" s="9"/>
    </row>
    <row r="2068" spans="1:9" ht="14.25" customHeight="1" x14ac:dyDescent="0.3">
      <c r="A2068" s="6">
        <v>41785</v>
      </c>
      <c r="B2068" s="7">
        <v>98.852599999999995</v>
      </c>
      <c r="C2068" s="8">
        <f t="shared" si="17"/>
        <v>114.29962801009984</v>
      </c>
      <c r="D2068" s="9">
        <f t="shared" si="16"/>
        <v>67.397229970289033</v>
      </c>
      <c r="E2068" s="9"/>
      <c r="F2068" s="9">
        <f ca="1">IFERROR(__xludf.DUMMYFUNCTION("""COMPUTED_VALUE"""),43239)</f>
        <v>43239</v>
      </c>
      <c r="G2068" s="9" t="str">
        <f ca="1">IFERROR(__xludf.DUMMYFUNCTION("""COMPUTED_VALUE"""),"1 USD = 115.6859 PKR")</f>
        <v>1 USD = 115.6859 PKR</v>
      </c>
      <c r="H2068" s="9" t="str">
        <f ca="1">IFERROR(__xludf.DUMMYFUNCTION("""COMPUTED_VALUE"""),"USD PKR rate for 19/05/2018")</f>
        <v>USD PKR rate for 19/05/2018</v>
      </c>
      <c r="I2068" s="9"/>
    </row>
    <row r="2069" spans="1:9" ht="14.25" customHeight="1" x14ac:dyDescent="0.3">
      <c r="A2069" s="6">
        <v>41786</v>
      </c>
      <c r="B2069" s="7">
        <v>98.725600000000014</v>
      </c>
      <c r="C2069" s="8">
        <f t="shared" si="17"/>
        <v>114.32007047209288</v>
      </c>
      <c r="D2069" s="9">
        <f t="shared" si="16"/>
        <v>67.399967803086298</v>
      </c>
      <c r="E2069" s="9"/>
      <c r="F2069" s="9">
        <f ca="1">IFERROR(__xludf.DUMMYFUNCTION("""COMPUTED_VALUE"""),43238)</f>
        <v>43238</v>
      </c>
      <c r="G2069" s="9" t="str">
        <f ca="1">IFERROR(__xludf.DUMMYFUNCTION("""COMPUTED_VALUE"""),"1 USD = 115.7793 PKR")</f>
        <v>1 USD = 115.7793 PKR</v>
      </c>
      <c r="H2069" s="9" t="str">
        <f ca="1">IFERROR(__xludf.DUMMYFUNCTION("""COMPUTED_VALUE"""),"USD PKR rate for 18/05/2018")</f>
        <v>USD PKR rate for 18/05/2018</v>
      </c>
      <c r="I2069" s="9"/>
    </row>
    <row r="2070" spans="1:9" ht="14.25" customHeight="1" x14ac:dyDescent="0.3">
      <c r="A2070" s="6">
        <v>41787</v>
      </c>
      <c r="B2070" s="7">
        <v>98.724100000000007</v>
      </c>
      <c r="C2070" s="8">
        <f t="shared" si="17"/>
        <v>114.34051659021549</v>
      </c>
      <c r="D2070" s="9">
        <f t="shared" si="16"/>
        <v>67.402705635883564</v>
      </c>
      <c r="E2070" s="9"/>
      <c r="F2070" s="9">
        <f ca="1">IFERROR(__xludf.DUMMYFUNCTION("""COMPUTED_VALUE"""),43237)</f>
        <v>43237</v>
      </c>
      <c r="G2070" s="9" t="str">
        <f ca="1">IFERROR(__xludf.DUMMYFUNCTION("""COMPUTED_VALUE"""),"1 USD = 115.8174 PKR")</f>
        <v>1 USD = 115.8174 PKR</v>
      </c>
      <c r="H2070" s="9" t="str">
        <f ca="1">IFERROR(__xludf.DUMMYFUNCTION("""COMPUTED_VALUE"""),"USD PKR rate for 17/05/2018")</f>
        <v>USD PKR rate for 17/05/2018</v>
      </c>
      <c r="I2070" s="9"/>
    </row>
    <row r="2071" spans="1:9" ht="14.25" customHeight="1" x14ac:dyDescent="0.3">
      <c r="A2071" s="6">
        <v>41788</v>
      </c>
      <c r="B2071" s="7">
        <v>98.701600000000013</v>
      </c>
      <c r="C2071" s="8">
        <f t="shared" si="17"/>
        <v>114.36096636512161</v>
      </c>
      <c r="D2071" s="9">
        <f t="shared" si="16"/>
        <v>67.405443468680829</v>
      </c>
      <c r="E2071" s="9"/>
      <c r="F2071" s="9">
        <f ca="1">IFERROR(__xludf.DUMMYFUNCTION("""COMPUTED_VALUE"""),43236)</f>
        <v>43236</v>
      </c>
      <c r="G2071" s="9" t="str">
        <f ca="1">IFERROR(__xludf.DUMMYFUNCTION("""COMPUTED_VALUE"""),"1 USD = 115.7296 PKR")</f>
        <v>1 USD = 115.7296 PKR</v>
      </c>
      <c r="H2071" s="9" t="str">
        <f ca="1">IFERROR(__xludf.DUMMYFUNCTION("""COMPUTED_VALUE"""),"USD PKR rate for 16/05/2018")</f>
        <v>USD PKR rate for 16/05/2018</v>
      </c>
      <c r="I2071" s="9"/>
    </row>
    <row r="2072" spans="1:9" ht="14.25" customHeight="1" x14ac:dyDescent="0.3">
      <c r="A2072" s="6">
        <v>41789</v>
      </c>
      <c r="B2072" s="7">
        <v>98.724500000000006</v>
      </c>
      <c r="C2072" s="8">
        <f t="shared" si="17"/>
        <v>114.38141979746523</v>
      </c>
      <c r="D2072" s="9">
        <f t="shared" si="16"/>
        <v>67.408181301478095</v>
      </c>
      <c r="E2072" s="9"/>
      <c r="F2072" s="9">
        <f ca="1">IFERROR(__xludf.DUMMYFUNCTION("""COMPUTED_VALUE"""),43235)</f>
        <v>43235</v>
      </c>
      <c r="G2072" s="9" t="str">
        <f ca="1">IFERROR(__xludf.DUMMYFUNCTION("""COMPUTED_VALUE"""),"1 USD = 115.7667 PKR")</f>
        <v>1 USD = 115.7667 PKR</v>
      </c>
      <c r="H2072" s="9" t="str">
        <f ca="1">IFERROR(__xludf.DUMMYFUNCTION("""COMPUTED_VALUE"""),"USD PKR rate for 15/05/2018")</f>
        <v>USD PKR rate for 15/05/2018</v>
      </c>
      <c r="I2072" s="9"/>
    </row>
    <row r="2073" spans="1:9" ht="14.25" customHeight="1" x14ac:dyDescent="0.3">
      <c r="A2073" s="6">
        <v>41790</v>
      </c>
      <c r="B2073" s="7">
        <v>98.719700000000003</v>
      </c>
      <c r="C2073" s="8">
        <f t="shared" si="17"/>
        <v>114.40187688790049</v>
      </c>
      <c r="D2073" s="9">
        <f t="shared" si="16"/>
        <v>67.41091913427536</v>
      </c>
      <c r="E2073" s="9"/>
      <c r="F2073" s="9">
        <f ca="1">IFERROR(__xludf.DUMMYFUNCTION("""COMPUTED_VALUE"""),43234)</f>
        <v>43234</v>
      </c>
      <c r="G2073" s="9" t="str">
        <f ca="1">IFERROR(__xludf.DUMMYFUNCTION("""COMPUTED_VALUE"""),"1 USD = 115.6762 PKR")</f>
        <v>1 USD = 115.6762 PKR</v>
      </c>
      <c r="H2073" s="9" t="str">
        <f ca="1">IFERROR(__xludf.DUMMYFUNCTION("""COMPUTED_VALUE"""),"USD PKR rate for 14/05/2018")</f>
        <v>USD PKR rate for 14/05/2018</v>
      </c>
      <c r="I2073" s="9"/>
    </row>
    <row r="2074" spans="1:9" ht="14.25" customHeight="1" x14ac:dyDescent="0.3">
      <c r="A2074" s="6">
        <v>41791</v>
      </c>
      <c r="B2074" s="7">
        <v>98.728000000000009</v>
      </c>
      <c r="C2074" s="8">
        <f t="shared" si="17"/>
        <v>114.42233763708163</v>
      </c>
      <c r="D2074" s="9">
        <f t="shared" si="16"/>
        <v>67.413656967072626</v>
      </c>
      <c r="E2074" s="9"/>
      <c r="F2074" s="9">
        <f ca="1">IFERROR(__xludf.DUMMYFUNCTION("""COMPUTED_VALUE"""),43233)</f>
        <v>43233</v>
      </c>
      <c r="G2074" s="9" t="str">
        <f ca="1">IFERROR(__xludf.DUMMYFUNCTION("""COMPUTED_VALUE"""),"1 USD = 115.5988 PKR")</f>
        <v>1 USD = 115.5988 PKR</v>
      </c>
      <c r="H2074" s="9" t="str">
        <f ca="1">IFERROR(__xludf.DUMMYFUNCTION("""COMPUTED_VALUE"""),"USD PKR rate for 13/05/2018")</f>
        <v>USD PKR rate for 13/05/2018</v>
      </c>
      <c r="I2074" s="9"/>
    </row>
    <row r="2075" spans="1:9" ht="14.25" customHeight="1" x14ac:dyDescent="0.3">
      <c r="A2075" s="6">
        <v>41792</v>
      </c>
      <c r="B2075" s="7">
        <v>98.597800000000007</v>
      </c>
      <c r="C2075" s="8">
        <f t="shared" si="17"/>
        <v>114.44280204566292</v>
      </c>
      <c r="D2075" s="9">
        <f t="shared" si="16"/>
        <v>67.416394799869892</v>
      </c>
      <c r="E2075" s="9"/>
      <c r="F2075" s="9">
        <f ca="1">IFERROR(__xludf.DUMMYFUNCTION("""COMPUTED_VALUE"""),43232)</f>
        <v>43232</v>
      </c>
      <c r="G2075" s="9" t="str">
        <f ca="1">IFERROR(__xludf.DUMMYFUNCTION("""COMPUTED_VALUE"""),"1 USD = 115.5468 PKR")</f>
        <v>1 USD = 115.5468 PKR</v>
      </c>
      <c r="H2075" s="9" t="str">
        <f ca="1">IFERROR(__xludf.DUMMYFUNCTION("""COMPUTED_VALUE"""),"USD PKR rate for 12/05/2018")</f>
        <v>USD PKR rate for 12/05/2018</v>
      </c>
      <c r="I2075" s="9"/>
    </row>
    <row r="2076" spans="1:9" ht="14.25" customHeight="1" x14ac:dyDescent="0.3">
      <c r="A2076" s="6">
        <v>41793</v>
      </c>
      <c r="B2076" s="7">
        <v>98.657600000000002</v>
      </c>
      <c r="C2076" s="8">
        <f t="shared" si="17"/>
        <v>114.46327011429905</v>
      </c>
      <c r="D2076" s="9">
        <f t="shared" si="16"/>
        <v>67.419132632667157</v>
      </c>
      <c r="E2076" s="9"/>
      <c r="F2076" s="9">
        <f ca="1">IFERROR(__xludf.DUMMYFUNCTION("""COMPUTED_VALUE"""),43231)</f>
        <v>43231</v>
      </c>
      <c r="G2076" s="9" t="str">
        <f ca="1">IFERROR(__xludf.DUMMYFUNCTION("""COMPUTED_VALUE"""),"1 USD = 115.5501 PKR")</f>
        <v>1 USD = 115.5501 PKR</v>
      </c>
      <c r="H2076" s="9" t="str">
        <f ca="1">IFERROR(__xludf.DUMMYFUNCTION("""COMPUTED_VALUE"""),"USD PKR rate for 11/05/2018")</f>
        <v>USD PKR rate for 11/05/2018</v>
      </c>
      <c r="I2076" s="9"/>
    </row>
    <row r="2077" spans="1:9" ht="14.25" customHeight="1" x14ac:dyDescent="0.3">
      <c r="A2077" s="6">
        <v>41794</v>
      </c>
      <c r="B2077" s="7">
        <v>98.503900000000016</v>
      </c>
      <c r="C2077" s="8">
        <f t="shared" si="17"/>
        <v>114.48374184364451</v>
      </c>
      <c r="D2077" s="9">
        <f t="shared" si="16"/>
        <v>67.421870465464423</v>
      </c>
      <c r="E2077" s="9"/>
      <c r="F2077" s="9">
        <f ca="1">IFERROR(__xludf.DUMMYFUNCTION("""COMPUTED_VALUE"""),43230)</f>
        <v>43230</v>
      </c>
      <c r="G2077" s="9" t="str">
        <f ca="1">IFERROR(__xludf.DUMMYFUNCTION("""COMPUTED_VALUE"""),"1 USD = 115.7771 PKR")</f>
        <v>1 USD = 115.7771 PKR</v>
      </c>
      <c r="H2077" s="9" t="str">
        <f ca="1">IFERROR(__xludf.DUMMYFUNCTION("""COMPUTED_VALUE"""),"USD PKR rate for 10/05/2018")</f>
        <v>USD PKR rate for 10/05/2018</v>
      </c>
      <c r="I2077" s="9"/>
    </row>
    <row r="2078" spans="1:9" ht="14.25" customHeight="1" x14ac:dyDescent="0.3">
      <c r="A2078" s="6">
        <v>41795</v>
      </c>
      <c r="B2078" s="7">
        <v>98.528400000000005</v>
      </c>
      <c r="C2078" s="8">
        <f t="shared" si="17"/>
        <v>114.50421723435402</v>
      </c>
      <c r="D2078" s="9">
        <f t="shared" si="16"/>
        <v>67.424608298261688</v>
      </c>
      <c r="E2078" s="9"/>
      <c r="F2078" s="9">
        <f ca="1">IFERROR(__xludf.DUMMYFUNCTION("""COMPUTED_VALUE"""),43229)</f>
        <v>43229</v>
      </c>
      <c r="G2078" s="9" t="str">
        <f ca="1">IFERROR(__xludf.DUMMYFUNCTION("""COMPUTED_VALUE"""),"1 USD = 115.6736 PKR")</f>
        <v>1 USD = 115.6736 PKR</v>
      </c>
      <c r="H2078" s="9" t="str">
        <f ca="1">IFERROR(__xludf.DUMMYFUNCTION("""COMPUTED_VALUE"""),"USD PKR rate for 09/05/2018")</f>
        <v>USD PKR rate for 09/05/2018</v>
      </c>
      <c r="I2078" s="9"/>
    </row>
    <row r="2079" spans="1:9" ht="14.25" customHeight="1" x14ac:dyDescent="0.3">
      <c r="A2079" s="6">
        <v>41796</v>
      </c>
      <c r="B2079" s="7">
        <v>98.469600000000014</v>
      </c>
      <c r="C2079" s="8">
        <f t="shared" si="17"/>
        <v>114.52469628708243</v>
      </c>
      <c r="D2079" s="9">
        <f t="shared" si="16"/>
        <v>67.427346131058954</v>
      </c>
      <c r="E2079" s="9"/>
      <c r="F2079" s="9">
        <f ca="1">IFERROR(__xludf.DUMMYFUNCTION("""COMPUTED_VALUE"""),43228)</f>
        <v>43228</v>
      </c>
      <c r="G2079" s="9" t="str">
        <f ca="1">IFERROR(__xludf.DUMMYFUNCTION("""COMPUTED_VALUE"""),"1 USD = 115.7315 PKR")</f>
        <v>1 USD = 115.7315 PKR</v>
      </c>
      <c r="H2079" s="9" t="str">
        <f ca="1">IFERROR(__xludf.DUMMYFUNCTION("""COMPUTED_VALUE"""),"USD PKR rate for 08/05/2018")</f>
        <v>USD PKR rate for 08/05/2018</v>
      </c>
      <c r="I2079" s="9"/>
    </row>
    <row r="2080" spans="1:9" ht="14.25" customHeight="1" x14ac:dyDescent="0.3">
      <c r="A2080" s="6">
        <v>41797</v>
      </c>
      <c r="B2080" s="7">
        <v>98.422899999999998</v>
      </c>
      <c r="C2080" s="8">
        <f t="shared" si="17"/>
        <v>114.54517900248466</v>
      </c>
      <c r="D2080" s="9">
        <f t="shared" si="16"/>
        <v>67.430083963856219</v>
      </c>
      <c r="E2080" s="9"/>
      <c r="F2080" s="9">
        <f ca="1">IFERROR(__xludf.DUMMYFUNCTION("""COMPUTED_VALUE"""),43227)</f>
        <v>43227</v>
      </c>
      <c r="G2080" s="9" t="str">
        <f ca="1">IFERROR(__xludf.DUMMYFUNCTION("""COMPUTED_VALUE"""),"1 USD = 115.6746 PKR")</f>
        <v>1 USD = 115.6746 PKR</v>
      </c>
      <c r="H2080" s="9" t="str">
        <f ca="1">IFERROR(__xludf.DUMMYFUNCTION("""COMPUTED_VALUE"""),"USD PKR rate for 07/05/2018")</f>
        <v>USD PKR rate for 07/05/2018</v>
      </c>
      <c r="I2080" s="9"/>
    </row>
    <row r="2081" spans="1:9" ht="14.25" customHeight="1" x14ac:dyDescent="0.3">
      <c r="A2081" s="6">
        <v>41798</v>
      </c>
      <c r="B2081" s="7">
        <v>98.492500000000007</v>
      </c>
      <c r="C2081" s="8">
        <f t="shared" si="17"/>
        <v>114.56566538121581</v>
      </c>
      <c r="D2081" s="9">
        <f t="shared" si="16"/>
        <v>67.432821796653485</v>
      </c>
      <c r="E2081" s="9"/>
      <c r="F2081" s="9">
        <f ca="1">IFERROR(__xludf.DUMMYFUNCTION("""COMPUTED_VALUE"""),43226)</f>
        <v>43226</v>
      </c>
      <c r="G2081" s="9" t="str">
        <f ca="1">IFERROR(__xludf.DUMMYFUNCTION("""COMPUTED_VALUE"""),"1 USD = 115.6423 PKR")</f>
        <v>1 USD = 115.6423 PKR</v>
      </c>
      <c r="H2081" s="9" t="str">
        <f ca="1">IFERROR(__xludf.DUMMYFUNCTION("""COMPUTED_VALUE"""),"USD PKR rate for 06/05/2018")</f>
        <v>USD PKR rate for 06/05/2018</v>
      </c>
      <c r="I2081" s="9"/>
    </row>
    <row r="2082" spans="1:9" ht="14.25" customHeight="1" x14ac:dyDescent="0.3">
      <c r="A2082" s="6">
        <v>41799</v>
      </c>
      <c r="B2082" s="7">
        <v>98.571100000000001</v>
      </c>
      <c r="C2082" s="8">
        <f t="shared" si="17"/>
        <v>114.58615542393103</v>
      </c>
      <c r="D2082" s="9">
        <f t="shared" si="16"/>
        <v>67.435559629450751</v>
      </c>
      <c r="E2082" s="9"/>
      <c r="F2082" s="9">
        <f ca="1">IFERROR(__xludf.DUMMYFUNCTION("""COMPUTED_VALUE"""),43225)</f>
        <v>43225</v>
      </c>
      <c r="G2082" s="9" t="str">
        <f ca="1">IFERROR(__xludf.DUMMYFUNCTION("""COMPUTED_VALUE"""),"1 USD = 115.6847 PKR")</f>
        <v>1 USD = 115.6847 PKR</v>
      </c>
      <c r="H2082" s="9" t="str">
        <f ca="1">IFERROR(__xludf.DUMMYFUNCTION("""COMPUTED_VALUE"""),"USD PKR rate for 05/05/2018")</f>
        <v>USD PKR rate for 05/05/2018</v>
      </c>
      <c r="I2082" s="9"/>
    </row>
    <row r="2083" spans="1:9" ht="14.25" customHeight="1" x14ac:dyDescent="0.3">
      <c r="A2083" s="6">
        <v>41800</v>
      </c>
      <c r="B2083" s="7">
        <v>98.571399999999997</v>
      </c>
      <c r="C2083" s="8">
        <f t="shared" si="17"/>
        <v>114.60664913128565</v>
      </c>
      <c r="D2083" s="9">
        <f t="shared" si="16"/>
        <v>67.438297462248016</v>
      </c>
      <c r="E2083" s="9"/>
      <c r="F2083" s="9">
        <f ca="1">IFERROR(__xludf.DUMMYFUNCTION("""COMPUTED_VALUE"""),43224)</f>
        <v>43224</v>
      </c>
      <c r="G2083" s="9" t="str">
        <f ca="1">IFERROR(__xludf.DUMMYFUNCTION("""COMPUTED_VALUE"""),"1 USD = 115.7754 PKR")</f>
        <v>1 USD = 115.7754 PKR</v>
      </c>
      <c r="H2083" s="9" t="str">
        <f ca="1">IFERROR(__xludf.DUMMYFUNCTION("""COMPUTED_VALUE"""),"USD PKR rate for 04/05/2018")</f>
        <v>USD PKR rate for 04/05/2018</v>
      </c>
      <c r="I2083" s="9"/>
    </row>
    <row r="2084" spans="1:9" ht="14.25" customHeight="1" x14ac:dyDescent="0.3">
      <c r="A2084" s="6">
        <v>41801</v>
      </c>
      <c r="B2084" s="7">
        <v>98.584500000000006</v>
      </c>
      <c r="C2084" s="8">
        <f t="shared" si="17"/>
        <v>114.62714650393498</v>
      </c>
      <c r="D2084" s="9">
        <f t="shared" si="16"/>
        <v>67.441035295045282</v>
      </c>
      <c r="E2084" s="9"/>
      <c r="F2084" s="9">
        <f ca="1">IFERROR(__xludf.DUMMYFUNCTION("""COMPUTED_VALUE"""),43223)</f>
        <v>43223</v>
      </c>
      <c r="G2084" s="9" t="str">
        <f ca="1">IFERROR(__xludf.DUMMYFUNCTION("""COMPUTED_VALUE"""),"1 USD = 115.6 PKR")</f>
        <v>1 USD = 115.6 PKR</v>
      </c>
      <c r="H2084" s="9" t="str">
        <f ca="1">IFERROR(__xludf.DUMMYFUNCTION("""COMPUTED_VALUE"""),"USD PKR rate for 03/05/2018")</f>
        <v>USD PKR rate for 03/05/2018</v>
      </c>
      <c r="I2084" s="9"/>
    </row>
    <row r="2085" spans="1:9" ht="14.25" customHeight="1" x14ac:dyDescent="0.3">
      <c r="A2085" s="6">
        <v>41802</v>
      </c>
      <c r="B2085" s="7">
        <v>98.447199999999995</v>
      </c>
      <c r="C2085" s="8">
        <f t="shared" si="17"/>
        <v>114.64764754253478</v>
      </c>
      <c r="D2085" s="9">
        <f t="shared" si="16"/>
        <v>67.443773127842547</v>
      </c>
      <c r="E2085" s="9"/>
      <c r="F2085" s="9">
        <f ca="1">IFERROR(__xludf.DUMMYFUNCTION("""COMPUTED_VALUE"""),43222)</f>
        <v>43222</v>
      </c>
      <c r="G2085" s="9" t="str">
        <f ca="1">IFERROR(__xludf.DUMMYFUNCTION("""COMPUTED_VALUE"""),"1 USD = 115.7194 PKR")</f>
        <v>1 USD = 115.7194 PKR</v>
      </c>
      <c r="H2085" s="9" t="str">
        <f ca="1">IFERROR(__xludf.DUMMYFUNCTION("""COMPUTED_VALUE"""),"USD PKR rate for 02/05/2018")</f>
        <v>USD PKR rate for 02/05/2018</v>
      </c>
      <c r="I2085" s="9"/>
    </row>
    <row r="2086" spans="1:9" ht="14.25" customHeight="1" x14ac:dyDescent="0.3">
      <c r="A2086" s="6">
        <v>41803</v>
      </c>
      <c r="B2086" s="7">
        <v>98.425799999999995</v>
      </c>
      <c r="C2086" s="8">
        <f t="shared" si="17"/>
        <v>114.66815224774057</v>
      </c>
      <c r="D2086" s="9">
        <f t="shared" si="16"/>
        <v>67.446510960639813</v>
      </c>
      <c r="E2086" s="9"/>
      <c r="F2086" s="9">
        <f ca="1">IFERROR(__xludf.DUMMYFUNCTION("""COMPUTED_VALUE"""),43221)</f>
        <v>43221</v>
      </c>
      <c r="G2086" s="9" t="str">
        <f ca="1">IFERROR(__xludf.DUMMYFUNCTION("""COMPUTED_VALUE"""),"1 USD = 115.9133 PKR")</f>
        <v>1 USD = 115.9133 PKR</v>
      </c>
      <c r="H2086" s="9" t="str">
        <f ca="1">IFERROR(__xludf.DUMMYFUNCTION("""COMPUTED_VALUE"""),"USD PKR rate for 01/05/2018")</f>
        <v>USD PKR rate for 01/05/2018</v>
      </c>
      <c r="I2086" s="9"/>
    </row>
    <row r="2087" spans="1:9" ht="14.25" customHeight="1" x14ac:dyDescent="0.3">
      <c r="A2087" s="6">
        <v>41804</v>
      </c>
      <c r="B2087" s="7">
        <v>98.406400000000005</v>
      </c>
      <c r="C2087" s="8">
        <f t="shared" si="17"/>
        <v>114.68866062020814</v>
      </c>
      <c r="D2087" s="9">
        <f t="shared" si="16"/>
        <v>67.449248793437079</v>
      </c>
      <c r="E2087" s="9"/>
      <c r="F2087" s="9">
        <f ca="1">IFERROR(__xludf.DUMMYFUNCTION("""COMPUTED_VALUE"""),43220)</f>
        <v>43220</v>
      </c>
      <c r="G2087" s="9" t="str">
        <f ca="1">IFERROR(__xludf.DUMMYFUNCTION("""COMPUTED_VALUE"""),"1 USD = 115.7846 PKR")</f>
        <v>1 USD = 115.7846 PKR</v>
      </c>
      <c r="H2087" s="9" t="str">
        <f ca="1">IFERROR(__xludf.DUMMYFUNCTION("""COMPUTED_VALUE"""),"USD PKR rate for 30/04/2018")</f>
        <v>USD PKR rate for 30/04/2018</v>
      </c>
      <c r="I2087" s="9"/>
    </row>
    <row r="2088" spans="1:9" ht="14.25" customHeight="1" x14ac:dyDescent="0.3">
      <c r="A2088" s="6">
        <v>41805</v>
      </c>
      <c r="B2088" s="7">
        <v>98.4392</v>
      </c>
      <c r="C2088" s="8">
        <f t="shared" si="17"/>
        <v>114.70917266059338</v>
      </c>
      <c r="D2088" s="9">
        <f t="shared" si="16"/>
        <v>67.451986626234344</v>
      </c>
      <c r="E2088" s="9"/>
      <c r="F2088" s="9">
        <f ca="1">IFERROR(__xludf.DUMMYFUNCTION("""COMPUTED_VALUE"""),43219)</f>
        <v>43219</v>
      </c>
      <c r="G2088" s="9" t="str">
        <f ca="1">IFERROR(__xludf.DUMMYFUNCTION("""COMPUTED_VALUE"""),"1 USD = 115.7015 PKR")</f>
        <v>1 USD = 115.7015 PKR</v>
      </c>
      <c r="H2088" s="9" t="str">
        <f ca="1">IFERROR(__xludf.DUMMYFUNCTION("""COMPUTED_VALUE"""),"USD PKR rate for 29/04/2018")</f>
        <v>USD PKR rate for 29/04/2018</v>
      </c>
      <c r="I2088" s="9"/>
    </row>
    <row r="2089" spans="1:9" ht="14.25" customHeight="1" x14ac:dyDescent="0.3">
      <c r="A2089" s="6">
        <v>41806</v>
      </c>
      <c r="B2089" s="7">
        <v>98.653199999999998</v>
      </c>
      <c r="C2089" s="8">
        <f t="shared" si="17"/>
        <v>114.72968836955228</v>
      </c>
      <c r="D2089" s="9">
        <f t="shared" si="16"/>
        <v>67.45472445903161</v>
      </c>
      <c r="E2089" s="9"/>
      <c r="F2089" s="9">
        <f ca="1">IFERROR(__xludf.DUMMYFUNCTION("""COMPUTED_VALUE"""),43218)</f>
        <v>43218</v>
      </c>
      <c r="G2089" s="9" t="str">
        <f ca="1">IFERROR(__xludf.DUMMYFUNCTION("""COMPUTED_VALUE"""),"1 USD = 115.5998 PKR")</f>
        <v>1 USD = 115.5998 PKR</v>
      </c>
      <c r="H2089" s="9" t="str">
        <f ca="1">IFERROR(__xludf.DUMMYFUNCTION("""COMPUTED_VALUE"""),"USD PKR rate for 28/04/2018")</f>
        <v>USD PKR rate for 28/04/2018</v>
      </c>
      <c r="I2089" s="9"/>
    </row>
    <row r="2090" spans="1:9" ht="14.25" customHeight="1" x14ac:dyDescent="0.3">
      <c r="A2090" s="6">
        <v>41807</v>
      </c>
      <c r="B2090" s="7">
        <v>98.470399999999998</v>
      </c>
      <c r="C2090" s="8">
        <f t="shared" si="17"/>
        <v>114.75020774774099</v>
      </c>
      <c r="D2090" s="9">
        <f t="shared" si="16"/>
        <v>67.457462291828875</v>
      </c>
      <c r="E2090" s="9"/>
      <c r="F2090" s="9">
        <f ca="1">IFERROR(__xludf.DUMMYFUNCTION("""COMPUTED_VALUE"""),43217)</f>
        <v>43217</v>
      </c>
      <c r="G2090" s="9" t="str">
        <f ca="1">IFERROR(__xludf.DUMMYFUNCTION("""COMPUTED_VALUE"""),"1 USD = 115.5998 PKR")</f>
        <v>1 USD = 115.5998 PKR</v>
      </c>
      <c r="H2090" s="9" t="str">
        <f ca="1">IFERROR(__xludf.DUMMYFUNCTION("""COMPUTED_VALUE"""),"USD PKR rate for 27/04/2018")</f>
        <v>USD PKR rate for 27/04/2018</v>
      </c>
      <c r="I2090" s="9"/>
    </row>
    <row r="2091" spans="1:9" ht="14.25" customHeight="1" x14ac:dyDescent="0.3">
      <c r="A2091" s="6">
        <v>41808</v>
      </c>
      <c r="B2091" s="7">
        <v>98.303700000000021</v>
      </c>
      <c r="C2091" s="8">
        <f t="shared" si="17"/>
        <v>114.77073079581572</v>
      </c>
      <c r="D2091" s="9">
        <f t="shared" si="16"/>
        <v>67.460200124626141</v>
      </c>
      <c r="E2091" s="9"/>
      <c r="F2091" s="9">
        <f ca="1">IFERROR(__xludf.DUMMYFUNCTION("""COMPUTED_VALUE"""),43216)</f>
        <v>43216</v>
      </c>
      <c r="G2091" s="9" t="str">
        <f ca="1">IFERROR(__xludf.DUMMYFUNCTION("""COMPUTED_VALUE"""),"1 USD = 115.7297 PKR")</f>
        <v>1 USD = 115.7297 PKR</v>
      </c>
      <c r="H2091" s="9" t="str">
        <f ca="1">IFERROR(__xludf.DUMMYFUNCTION("""COMPUTED_VALUE"""),"USD PKR rate for 26/04/2018")</f>
        <v>USD PKR rate for 26/04/2018</v>
      </c>
      <c r="I2091" s="9"/>
    </row>
    <row r="2092" spans="1:9" ht="14.25" customHeight="1" x14ac:dyDescent="0.3">
      <c r="A2092" s="6">
        <v>41809</v>
      </c>
      <c r="B2092" s="7">
        <v>98.355800000000002</v>
      </c>
      <c r="C2092" s="8">
        <f t="shared" si="17"/>
        <v>114.79125751443284</v>
      </c>
      <c r="D2092" s="9">
        <f t="shared" si="16"/>
        <v>67.462937957423406</v>
      </c>
      <c r="E2092" s="9"/>
      <c r="F2092" s="9">
        <f ca="1">IFERROR(__xludf.DUMMYFUNCTION("""COMPUTED_VALUE"""),43215)</f>
        <v>43215</v>
      </c>
      <c r="G2092" s="9" t="str">
        <f ca="1">IFERROR(__xludf.DUMMYFUNCTION("""COMPUTED_VALUE"""),"1 USD = 115.6883 PKR")</f>
        <v>1 USD = 115.6883 PKR</v>
      </c>
      <c r="H2092" s="9" t="str">
        <f ca="1">IFERROR(__xludf.DUMMYFUNCTION("""COMPUTED_VALUE"""),"USD PKR rate for 25/04/2018")</f>
        <v>USD PKR rate for 25/04/2018</v>
      </c>
      <c r="I2092" s="9"/>
    </row>
    <row r="2093" spans="1:9" ht="14.25" customHeight="1" x14ac:dyDescent="0.3">
      <c r="A2093" s="6">
        <v>41810</v>
      </c>
      <c r="B2093" s="7">
        <v>98.323099999999997</v>
      </c>
      <c r="C2093" s="8">
        <f t="shared" si="17"/>
        <v>114.81178790424875</v>
      </c>
      <c r="D2093" s="9">
        <f t="shared" si="16"/>
        <v>67.465675790220672</v>
      </c>
      <c r="E2093" s="9"/>
      <c r="F2093" s="9">
        <f ca="1">IFERROR(__xludf.DUMMYFUNCTION("""COMPUTED_VALUE"""),43214)</f>
        <v>43214</v>
      </c>
      <c r="G2093" s="9" t="str">
        <f ca="1">IFERROR(__xludf.DUMMYFUNCTION("""COMPUTED_VALUE"""),"1 USD = 115.7524 PKR")</f>
        <v>1 USD = 115.7524 PKR</v>
      </c>
      <c r="H2093" s="9" t="str">
        <f ca="1">IFERROR(__xludf.DUMMYFUNCTION("""COMPUTED_VALUE"""),"USD PKR rate for 24/04/2018")</f>
        <v>USD PKR rate for 24/04/2018</v>
      </c>
      <c r="I2093" s="9"/>
    </row>
    <row r="2094" spans="1:9" ht="14.25" customHeight="1" x14ac:dyDescent="0.3">
      <c r="A2094" s="6">
        <v>41811</v>
      </c>
      <c r="B2094" s="7">
        <v>98.354900000000001</v>
      </c>
      <c r="C2094" s="8">
        <f t="shared" si="17"/>
        <v>114.8323219659202</v>
      </c>
      <c r="D2094" s="9">
        <f t="shared" si="16"/>
        <v>67.468413623017938</v>
      </c>
      <c r="E2094" s="9"/>
      <c r="F2094" s="9">
        <f ca="1">IFERROR(__xludf.DUMMYFUNCTION("""COMPUTED_VALUE"""),43213)</f>
        <v>43213</v>
      </c>
      <c r="G2094" s="9" t="str">
        <f ca="1">IFERROR(__xludf.DUMMYFUNCTION("""COMPUTED_VALUE"""),"1 USD = 115.7511 PKR")</f>
        <v>1 USD = 115.7511 PKR</v>
      </c>
      <c r="H2094" s="9" t="str">
        <f ca="1">IFERROR(__xludf.DUMMYFUNCTION("""COMPUTED_VALUE"""),"USD PKR rate for 23/04/2018")</f>
        <v>USD PKR rate for 23/04/2018</v>
      </c>
      <c r="I2094" s="9"/>
    </row>
    <row r="2095" spans="1:9" ht="14.25" customHeight="1" x14ac:dyDescent="0.3">
      <c r="A2095" s="6">
        <v>41812</v>
      </c>
      <c r="B2095" s="7">
        <v>98.383499999999998</v>
      </c>
      <c r="C2095" s="8">
        <f t="shared" si="17"/>
        <v>114.85285970010383</v>
      </c>
      <c r="D2095" s="9">
        <f t="shared" si="16"/>
        <v>67.471151455815203</v>
      </c>
      <c r="E2095" s="9"/>
      <c r="F2095" s="9">
        <f ca="1">IFERROR(__xludf.DUMMYFUNCTION("""COMPUTED_VALUE"""),43212)</f>
        <v>43212</v>
      </c>
      <c r="G2095" s="9" t="str">
        <f ca="1">IFERROR(__xludf.DUMMYFUNCTION("""COMPUTED_VALUE"""),"1 USD = 115.6577 PKR")</f>
        <v>1 USD = 115.6577 PKR</v>
      </c>
      <c r="H2095" s="9" t="str">
        <f ca="1">IFERROR(__xludf.DUMMYFUNCTION("""COMPUTED_VALUE"""),"USD PKR rate for 22/04/2018")</f>
        <v>USD PKR rate for 22/04/2018</v>
      </c>
      <c r="I2095" s="9"/>
    </row>
    <row r="2096" spans="1:9" ht="14.25" customHeight="1" x14ac:dyDescent="0.3">
      <c r="A2096" s="6">
        <v>41813</v>
      </c>
      <c r="B2096" s="7">
        <v>98.531899999999993</v>
      </c>
      <c r="C2096" s="8">
        <f t="shared" si="17"/>
        <v>114.87340110745649</v>
      </c>
      <c r="D2096" s="9">
        <f t="shared" si="16"/>
        <v>67.473889288612469</v>
      </c>
      <c r="E2096" s="9"/>
      <c r="F2096" s="9">
        <f ca="1">IFERROR(__xludf.DUMMYFUNCTION("""COMPUTED_VALUE"""),43211)</f>
        <v>43211</v>
      </c>
      <c r="G2096" s="9" t="str">
        <f ca="1">IFERROR(__xludf.DUMMYFUNCTION("""COMPUTED_VALUE"""),"1 USD = 115.68 PKR")</f>
        <v>1 USD = 115.68 PKR</v>
      </c>
      <c r="H2096" s="9" t="str">
        <f ca="1">IFERROR(__xludf.DUMMYFUNCTION("""COMPUTED_VALUE"""),"USD PKR rate for 21/04/2018")</f>
        <v>USD PKR rate for 21/04/2018</v>
      </c>
      <c r="I2096" s="9"/>
    </row>
    <row r="2097" spans="1:9" ht="14.25" customHeight="1" x14ac:dyDescent="0.3">
      <c r="A2097" s="6">
        <v>41814</v>
      </c>
      <c r="B2097" s="7">
        <v>98.57480000000001</v>
      </c>
      <c r="C2097" s="8">
        <f t="shared" si="17"/>
        <v>114.89394618863507</v>
      </c>
      <c r="D2097" s="9">
        <f t="shared" si="16"/>
        <v>67.476627121409734</v>
      </c>
      <c r="E2097" s="9"/>
      <c r="F2097" s="9">
        <f ca="1">IFERROR(__xludf.DUMMYFUNCTION("""COMPUTED_VALUE"""),43210)</f>
        <v>43210</v>
      </c>
      <c r="G2097" s="9" t="str">
        <f ca="1">IFERROR(__xludf.DUMMYFUNCTION("""COMPUTED_VALUE"""),"1 USD = 115.5501 PKR")</f>
        <v>1 USD = 115.5501 PKR</v>
      </c>
      <c r="H2097" s="9" t="str">
        <f ca="1">IFERROR(__xludf.DUMMYFUNCTION("""COMPUTED_VALUE"""),"USD PKR rate for 20/04/2018")</f>
        <v>USD PKR rate for 20/04/2018</v>
      </c>
      <c r="I2097" s="9"/>
    </row>
    <row r="2098" spans="1:9" ht="14.25" customHeight="1" x14ac:dyDescent="0.3">
      <c r="A2098" s="6">
        <v>41815</v>
      </c>
      <c r="B2098" s="7">
        <v>98.680400000000006</v>
      </c>
      <c r="C2098" s="8">
        <f t="shared" si="17"/>
        <v>114.91449494429665</v>
      </c>
      <c r="D2098" s="9">
        <f t="shared" si="16"/>
        <v>67.479364954207</v>
      </c>
      <c r="E2098" s="9"/>
      <c r="F2098" s="9">
        <f ca="1">IFERROR(__xludf.DUMMYFUNCTION("""COMPUTED_VALUE"""),43209)</f>
        <v>43209</v>
      </c>
      <c r="G2098" s="9" t="str">
        <f ca="1">IFERROR(__xludf.DUMMYFUNCTION("""COMPUTED_VALUE"""),"1 USD = 115.7233 PKR")</f>
        <v>1 USD = 115.7233 PKR</v>
      </c>
      <c r="H2098" s="9" t="str">
        <f ca="1">IFERROR(__xludf.DUMMYFUNCTION("""COMPUTED_VALUE"""),"USD PKR rate for 19/04/2018")</f>
        <v>USD PKR rate for 19/04/2018</v>
      </c>
      <c r="I2098" s="9"/>
    </row>
    <row r="2099" spans="1:9" ht="14.25" customHeight="1" x14ac:dyDescent="0.3">
      <c r="A2099" s="6">
        <v>41816</v>
      </c>
      <c r="B2099" s="7">
        <v>98.679400000000001</v>
      </c>
      <c r="C2099" s="8">
        <f t="shared" si="17"/>
        <v>114.93504737509845</v>
      </c>
      <c r="D2099" s="9">
        <f t="shared" si="16"/>
        <v>67.482102787004266</v>
      </c>
      <c r="E2099" s="9"/>
      <c r="F2099" s="9">
        <f ca="1">IFERROR(__xludf.DUMMYFUNCTION("""COMPUTED_VALUE"""),43208)</f>
        <v>43208</v>
      </c>
      <c r="G2099" s="9" t="str">
        <f ca="1">IFERROR(__xludf.DUMMYFUNCTION("""COMPUTED_VALUE"""),"1 USD = 115.6608 PKR")</f>
        <v>1 USD = 115.6608 PKR</v>
      </c>
      <c r="H2099" s="9" t="str">
        <f ca="1">IFERROR(__xludf.DUMMYFUNCTION("""COMPUTED_VALUE"""),"USD PKR rate for 18/04/2018")</f>
        <v>USD PKR rate for 18/04/2018</v>
      </c>
      <c r="I2099" s="9"/>
    </row>
    <row r="2100" spans="1:9" ht="14.25" customHeight="1" x14ac:dyDescent="0.3">
      <c r="A2100" s="6">
        <v>41817</v>
      </c>
      <c r="B2100" s="7">
        <v>98.635900000000007</v>
      </c>
      <c r="C2100" s="8">
        <f t="shared" si="17"/>
        <v>114.95560348169772</v>
      </c>
      <c r="D2100" s="9">
        <f t="shared" si="16"/>
        <v>67.484840619801531</v>
      </c>
      <c r="E2100" s="9"/>
      <c r="F2100" s="9">
        <f ca="1">IFERROR(__xludf.DUMMYFUNCTION("""COMPUTED_VALUE"""),43207)</f>
        <v>43207</v>
      </c>
      <c r="G2100" s="9" t="str">
        <f ca="1">IFERROR(__xludf.DUMMYFUNCTION("""COMPUTED_VALUE"""),"1 USD = 115.5517 PKR")</f>
        <v>1 USD = 115.5517 PKR</v>
      </c>
      <c r="H2100" s="9" t="str">
        <f ca="1">IFERROR(__xludf.DUMMYFUNCTION("""COMPUTED_VALUE"""),"USD PKR rate for 17/04/2018")</f>
        <v>USD PKR rate for 17/04/2018</v>
      </c>
      <c r="I2100" s="9"/>
    </row>
    <row r="2101" spans="1:9" ht="14.25" customHeight="1" x14ac:dyDescent="0.3">
      <c r="A2101" s="6">
        <v>41818</v>
      </c>
      <c r="B2101" s="7">
        <v>98.670300000000012</v>
      </c>
      <c r="C2101" s="8">
        <f t="shared" si="17"/>
        <v>114.97616326475189</v>
      </c>
      <c r="D2101" s="9">
        <f t="shared" si="16"/>
        <v>67.487578452598797</v>
      </c>
      <c r="E2101" s="9"/>
      <c r="F2101" s="9">
        <f ca="1">IFERROR(__xludf.DUMMYFUNCTION("""COMPUTED_VALUE"""),43206)</f>
        <v>43206</v>
      </c>
      <c r="G2101" s="9" t="str">
        <f ca="1">IFERROR(__xludf.DUMMYFUNCTION("""COMPUTED_VALUE"""),"1 USD = 115.7624 PKR")</f>
        <v>1 USD = 115.7624 PKR</v>
      </c>
      <c r="H2101" s="9" t="str">
        <f ca="1">IFERROR(__xludf.DUMMYFUNCTION("""COMPUTED_VALUE"""),"USD PKR rate for 16/04/2018")</f>
        <v>USD PKR rate for 16/04/2018</v>
      </c>
      <c r="I2101" s="9"/>
    </row>
    <row r="2102" spans="1:9" ht="14.25" customHeight="1" x14ac:dyDescent="0.3">
      <c r="A2102" s="6">
        <v>41819</v>
      </c>
      <c r="B2102" s="7">
        <v>98.706400000000016</v>
      </c>
      <c r="C2102" s="8">
        <f t="shared" si="17"/>
        <v>114.9967267249184</v>
      </c>
      <c r="D2102" s="9">
        <f t="shared" si="16"/>
        <v>67.490316285396062</v>
      </c>
      <c r="E2102" s="9"/>
      <c r="F2102" s="9">
        <f ca="1">IFERROR(__xludf.DUMMYFUNCTION("""COMPUTED_VALUE"""),43205)</f>
        <v>43205</v>
      </c>
      <c r="G2102" s="9" t="str">
        <f ca="1">IFERROR(__xludf.DUMMYFUNCTION("""COMPUTED_VALUE"""),"1 USD = 115.6011 PKR")</f>
        <v>1 USD = 115.6011 PKR</v>
      </c>
      <c r="H2102" s="9" t="str">
        <f ca="1">IFERROR(__xludf.DUMMYFUNCTION("""COMPUTED_VALUE"""),"USD PKR rate for 15/04/2018")</f>
        <v>USD PKR rate for 15/04/2018</v>
      </c>
      <c r="I2102" s="9"/>
    </row>
    <row r="2103" spans="1:9" ht="14.25" customHeight="1" x14ac:dyDescent="0.3">
      <c r="A2103" s="6">
        <v>41820</v>
      </c>
      <c r="B2103" s="7">
        <v>98.784999999999997</v>
      </c>
      <c r="C2103" s="8">
        <f t="shared" si="17"/>
        <v>115.01729386285511</v>
      </c>
      <c r="D2103" s="9">
        <f t="shared" si="16"/>
        <v>67.493054118193328</v>
      </c>
      <c r="E2103" s="9"/>
      <c r="F2103" s="9">
        <f ca="1">IFERROR(__xludf.DUMMYFUNCTION("""COMPUTED_VALUE"""),43204)</f>
        <v>43204</v>
      </c>
      <c r="G2103" s="9" t="str">
        <f ca="1">IFERROR(__xludf.DUMMYFUNCTION("""COMPUTED_VALUE"""),"1 USD = 115.5999 PKR")</f>
        <v>1 USD = 115.5999 PKR</v>
      </c>
      <c r="H2103" s="9" t="str">
        <f ca="1">IFERROR(__xludf.DUMMYFUNCTION("""COMPUTED_VALUE"""),"USD PKR rate for 14/04/2018")</f>
        <v>USD PKR rate for 14/04/2018</v>
      </c>
      <c r="I2103" s="9"/>
    </row>
    <row r="2104" spans="1:9" ht="14.25" customHeight="1" x14ac:dyDescent="0.3">
      <c r="A2104" s="6">
        <v>41821</v>
      </c>
      <c r="B2104" s="7">
        <v>98.627700000000019</v>
      </c>
      <c r="C2104" s="8">
        <f t="shared" si="17"/>
        <v>115.03786467921965</v>
      </c>
      <c r="D2104" s="9">
        <f t="shared" si="16"/>
        <v>67.495791950990593</v>
      </c>
      <c r="E2104" s="9"/>
      <c r="F2104" s="9">
        <f ca="1">IFERROR(__xludf.DUMMYFUNCTION("""COMPUTED_VALUE"""),43203)</f>
        <v>43203</v>
      </c>
      <c r="G2104" s="9" t="str">
        <f ca="1">IFERROR(__xludf.DUMMYFUNCTION("""COMPUTED_VALUE"""),"1 USD = 115.5999 PKR")</f>
        <v>1 USD = 115.5999 PKR</v>
      </c>
      <c r="H2104" s="9" t="str">
        <f ca="1">IFERROR(__xludf.DUMMYFUNCTION("""COMPUTED_VALUE"""),"USD PKR rate for 13/04/2018")</f>
        <v>USD PKR rate for 13/04/2018</v>
      </c>
      <c r="I2104" s="9"/>
    </row>
    <row r="2105" spans="1:9" ht="14.25" customHeight="1" x14ac:dyDescent="0.3">
      <c r="A2105" s="6">
        <v>41822</v>
      </c>
      <c r="B2105" s="7">
        <v>98.612099999999998</v>
      </c>
      <c r="C2105" s="8">
        <f t="shared" si="17"/>
        <v>115.05843917466997</v>
      </c>
      <c r="D2105" s="9">
        <f t="shared" si="16"/>
        <v>67.498529783787859</v>
      </c>
      <c r="E2105" s="9"/>
      <c r="F2105" s="9">
        <f ca="1">IFERROR(__xludf.DUMMYFUNCTION("""COMPUTED_VALUE"""),43202)</f>
        <v>43202</v>
      </c>
      <c r="G2105" s="9" t="str">
        <f ca="1">IFERROR(__xludf.DUMMYFUNCTION("""COMPUTED_VALUE"""),"1 USD = 115.6482 PKR")</f>
        <v>1 USD = 115.6482 PKR</v>
      </c>
      <c r="H2105" s="9" t="str">
        <f ca="1">IFERROR(__xludf.DUMMYFUNCTION("""COMPUTED_VALUE"""),"USD PKR rate for 12/04/2018")</f>
        <v>USD PKR rate for 12/04/2018</v>
      </c>
      <c r="I2105" s="9"/>
    </row>
    <row r="2106" spans="1:9" ht="14.25" customHeight="1" x14ac:dyDescent="0.3">
      <c r="A2106" s="6">
        <v>41823</v>
      </c>
      <c r="B2106" s="7">
        <v>98.589299999999994</v>
      </c>
      <c r="C2106" s="8">
        <f t="shared" si="17"/>
        <v>115.079017349864</v>
      </c>
      <c r="D2106" s="9">
        <f t="shared" si="16"/>
        <v>67.501267616585125</v>
      </c>
      <c r="E2106" s="9"/>
      <c r="F2106" s="9">
        <f ca="1">IFERROR(__xludf.DUMMYFUNCTION("""COMPUTED_VALUE"""),43201)</f>
        <v>43201</v>
      </c>
      <c r="G2106" s="9" t="str">
        <f ca="1">IFERROR(__xludf.DUMMYFUNCTION("""COMPUTED_VALUE"""),"1 USD = 115.4933 PKR")</f>
        <v>1 USD = 115.4933 PKR</v>
      </c>
      <c r="H2106" s="9" t="str">
        <f ca="1">IFERROR(__xludf.DUMMYFUNCTION("""COMPUTED_VALUE"""),"USD PKR rate for 11/04/2018")</f>
        <v>USD PKR rate for 11/04/2018</v>
      </c>
      <c r="I2106" s="9"/>
    </row>
    <row r="2107" spans="1:9" ht="14.25" customHeight="1" x14ac:dyDescent="0.3">
      <c r="A2107" s="6">
        <v>41824</v>
      </c>
      <c r="B2107" s="7">
        <v>98.650300000000001</v>
      </c>
      <c r="C2107" s="8">
        <f t="shared" si="17"/>
        <v>115.09959920545991</v>
      </c>
      <c r="D2107" s="9">
        <f t="shared" si="16"/>
        <v>67.50400544938239</v>
      </c>
      <c r="E2107" s="9"/>
      <c r="F2107" s="9">
        <f ca="1">IFERROR(__xludf.DUMMYFUNCTION("""COMPUTED_VALUE"""),43200)</f>
        <v>43200</v>
      </c>
      <c r="G2107" s="9" t="str">
        <f ca="1">IFERROR(__xludf.DUMMYFUNCTION("""COMPUTED_VALUE"""),"1 USD = 115.5255 PKR")</f>
        <v>1 USD = 115.5255 PKR</v>
      </c>
      <c r="H2107" s="9" t="str">
        <f ca="1">IFERROR(__xludf.DUMMYFUNCTION("""COMPUTED_VALUE"""),"USD PKR rate for 10/04/2018")</f>
        <v>USD PKR rate for 10/04/2018</v>
      </c>
      <c r="I2107" s="9"/>
    </row>
    <row r="2108" spans="1:9" ht="14.25" customHeight="1" x14ac:dyDescent="0.3">
      <c r="A2108" s="6">
        <v>41825</v>
      </c>
      <c r="B2108" s="7">
        <v>98.685400000000001</v>
      </c>
      <c r="C2108" s="8">
        <f t="shared" si="17"/>
        <v>115.12018474211592</v>
      </c>
      <c r="D2108" s="9">
        <f t="shared" si="16"/>
        <v>67.506743282179656</v>
      </c>
      <c r="E2108" s="9"/>
      <c r="F2108" s="9">
        <f ca="1">IFERROR(__xludf.DUMMYFUNCTION("""COMPUTED_VALUE"""),43199)</f>
        <v>43199</v>
      </c>
      <c r="G2108" s="9" t="str">
        <f ca="1">IFERROR(__xludf.DUMMYFUNCTION("""COMPUTED_VALUE"""),"1 USD = 115.3759 PKR")</f>
        <v>1 USD = 115.3759 PKR</v>
      </c>
      <c r="H2108" s="9" t="str">
        <f ca="1">IFERROR(__xludf.DUMMYFUNCTION("""COMPUTED_VALUE"""),"USD PKR rate for 09/04/2018")</f>
        <v>USD PKR rate for 09/04/2018</v>
      </c>
      <c r="I2108" s="9"/>
    </row>
    <row r="2109" spans="1:9" ht="14.25" customHeight="1" x14ac:dyDescent="0.3">
      <c r="A2109" s="6">
        <v>41826</v>
      </c>
      <c r="B2109" s="7">
        <v>98.683700000000002</v>
      </c>
      <c r="C2109" s="8">
        <f t="shared" si="17"/>
        <v>115.14077396049042</v>
      </c>
      <c r="D2109" s="9">
        <f t="shared" si="16"/>
        <v>67.509481114976921</v>
      </c>
      <c r="E2109" s="9"/>
      <c r="F2109" s="9">
        <f ca="1">IFERROR(__xludf.DUMMYFUNCTION("""COMPUTED_VALUE"""),43198)</f>
        <v>43198</v>
      </c>
      <c r="G2109" s="9" t="str">
        <f ca="1">IFERROR(__xludf.DUMMYFUNCTION("""COMPUTED_VALUE"""),"1 USD = 115.6907 PKR")</f>
        <v>1 USD = 115.6907 PKR</v>
      </c>
      <c r="H2109" s="9" t="str">
        <f ca="1">IFERROR(__xludf.DUMMYFUNCTION("""COMPUTED_VALUE"""),"USD PKR rate for 08/04/2018")</f>
        <v>USD PKR rate for 08/04/2018</v>
      </c>
      <c r="I2109" s="9"/>
    </row>
    <row r="2110" spans="1:9" ht="14.25" customHeight="1" x14ac:dyDescent="0.3">
      <c r="A2110" s="6">
        <v>41827</v>
      </c>
      <c r="B2110" s="7">
        <v>98.772999999999996</v>
      </c>
      <c r="C2110" s="8">
        <f t="shared" si="17"/>
        <v>115.16136686124182</v>
      </c>
      <c r="D2110" s="9">
        <f t="shared" si="16"/>
        <v>67.512218947774187</v>
      </c>
      <c r="E2110" s="9"/>
      <c r="F2110" s="9">
        <f ca="1">IFERROR(__xludf.DUMMYFUNCTION("""COMPUTED_VALUE"""),43197)</f>
        <v>43197</v>
      </c>
      <c r="G2110" s="9" t="str">
        <f ca="1">IFERROR(__xludf.DUMMYFUNCTION("""COMPUTED_VALUE"""),"1 USD = 115.5037 PKR")</f>
        <v>1 USD = 115.5037 PKR</v>
      </c>
      <c r="H2110" s="9" t="str">
        <f ca="1">IFERROR(__xludf.DUMMYFUNCTION("""COMPUTED_VALUE"""),"USD PKR rate for 07/04/2018")</f>
        <v>USD PKR rate for 07/04/2018</v>
      </c>
      <c r="I2110" s="9"/>
    </row>
    <row r="2111" spans="1:9" ht="14.25" customHeight="1" x14ac:dyDescent="0.3">
      <c r="A2111" s="6">
        <v>41828</v>
      </c>
      <c r="B2111" s="7">
        <v>98.806299999999993</v>
      </c>
      <c r="C2111" s="8">
        <f t="shared" si="17"/>
        <v>115.18196344502867</v>
      </c>
      <c r="D2111" s="9">
        <f t="shared" si="16"/>
        <v>67.514956780571453</v>
      </c>
      <c r="E2111" s="9"/>
      <c r="F2111" s="9">
        <f ca="1">IFERROR(__xludf.DUMMYFUNCTION("""COMPUTED_VALUE"""),43196)</f>
        <v>43196</v>
      </c>
      <c r="G2111" s="9" t="str">
        <f ca="1">IFERROR(__xludf.DUMMYFUNCTION("""COMPUTED_VALUE"""),"1 USD = 115.5007 PKR")</f>
        <v>1 USD = 115.5007 PKR</v>
      </c>
      <c r="H2111" s="9" t="str">
        <f ca="1">IFERROR(__xludf.DUMMYFUNCTION("""COMPUTED_VALUE"""),"USD PKR rate for 06/04/2018")</f>
        <v>USD PKR rate for 06/04/2018</v>
      </c>
      <c r="I2111" s="9"/>
    </row>
    <row r="2112" spans="1:9" ht="14.25" customHeight="1" x14ac:dyDescent="0.3">
      <c r="A2112" s="6">
        <v>41829</v>
      </c>
      <c r="B2112" s="7">
        <v>98.753100000000003</v>
      </c>
      <c r="C2112" s="8">
        <f t="shared" si="17"/>
        <v>115.20256371250984</v>
      </c>
      <c r="D2112" s="9">
        <f t="shared" si="16"/>
        <v>67.517694613368718</v>
      </c>
      <c r="E2112" s="9"/>
      <c r="F2112" s="9">
        <f ca="1">IFERROR(__xludf.DUMMYFUNCTION("""COMPUTED_VALUE"""),43195)</f>
        <v>43195</v>
      </c>
      <c r="G2112" s="9" t="str">
        <f ca="1">IFERROR(__xludf.DUMMYFUNCTION("""COMPUTED_VALUE"""),"1 USD = 115.7602 PKR")</f>
        <v>1 USD = 115.7602 PKR</v>
      </c>
      <c r="H2112" s="9" t="str">
        <f ca="1">IFERROR(__xludf.DUMMYFUNCTION("""COMPUTED_VALUE"""),"USD PKR rate for 05/04/2018")</f>
        <v>USD PKR rate for 05/04/2018</v>
      </c>
      <c r="I2112" s="9"/>
    </row>
    <row r="2113" spans="1:9" ht="14.25" customHeight="1" x14ac:dyDescent="0.3">
      <c r="A2113" s="6">
        <v>41830</v>
      </c>
      <c r="B2113" s="7">
        <v>98.674899999999994</v>
      </c>
      <c r="C2113" s="8">
        <f t="shared" si="17"/>
        <v>115.2231676643441</v>
      </c>
      <c r="D2113" s="9">
        <f t="shared" si="16"/>
        <v>67.520432446165984</v>
      </c>
      <c r="E2113" s="9"/>
      <c r="F2113" s="9">
        <f ca="1">IFERROR(__xludf.DUMMYFUNCTION("""COMPUTED_VALUE"""),43194)</f>
        <v>43194</v>
      </c>
      <c r="G2113" s="9" t="str">
        <f ca="1">IFERROR(__xludf.DUMMYFUNCTION("""COMPUTED_VALUE"""),"1 USD = 115.7009 PKR")</f>
        <v>1 USD = 115.7009 PKR</v>
      </c>
      <c r="H2113" s="9" t="str">
        <f ca="1">IFERROR(__xludf.DUMMYFUNCTION("""COMPUTED_VALUE"""),"USD PKR rate for 04/04/2018")</f>
        <v>USD PKR rate for 04/04/2018</v>
      </c>
      <c r="I2113" s="9"/>
    </row>
    <row r="2114" spans="1:9" ht="14.25" customHeight="1" x14ac:dyDescent="0.3">
      <c r="A2114" s="6">
        <v>41831</v>
      </c>
      <c r="B2114" s="7">
        <v>98.724900000000005</v>
      </c>
      <c r="C2114" s="8">
        <f t="shared" si="17"/>
        <v>115.24377530119037</v>
      </c>
      <c r="D2114" s="9">
        <f t="shared" si="16"/>
        <v>67.523170278963249</v>
      </c>
      <c r="E2114" s="9"/>
      <c r="F2114" s="9">
        <f ca="1">IFERROR(__xludf.DUMMYFUNCTION("""COMPUTED_VALUE"""),43193)</f>
        <v>43193</v>
      </c>
      <c r="G2114" s="9" t="str">
        <f ca="1">IFERROR(__xludf.DUMMYFUNCTION("""COMPUTED_VALUE"""),"1 USD = 115.6874 PKR")</f>
        <v>1 USD = 115.6874 PKR</v>
      </c>
      <c r="H2114" s="9" t="str">
        <f ca="1">IFERROR(__xludf.DUMMYFUNCTION("""COMPUTED_VALUE"""),"USD PKR rate for 03/04/2018")</f>
        <v>USD PKR rate for 03/04/2018</v>
      </c>
      <c r="I2114" s="9"/>
    </row>
    <row r="2115" spans="1:9" ht="14.25" customHeight="1" x14ac:dyDescent="0.3">
      <c r="A2115" s="6">
        <v>41832</v>
      </c>
      <c r="B2115" s="7">
        <v>98.749100000000013</v>
      </c>
      <c r="C2115" s="8">
        <f t="shared" si="17"/>
        <v>115.26438662370769</v>
      </c>
      <c r="D2115" s="9">
        <f t="shared" si="16"/>
        <v>67.525908111760515</v>
      </c>
      <c r="E2115" s="9"/>
      <c r="F2115" s="9">
        <f ca="1">IFERROR(__xludf.DUMMYFUNCTION("""COMPUTED_VALUE"""),43192)</f>
        <v>43192</v>
      </c>
      <c r="G2115" s="9" t="str">
        <f ca="1">IFERROR(__xludf.DUMMYFUNCTION("""COMPUTED_VALUE"""),"1 USD = 115.727 PKR")</f>
        <v>1 USD = 115.727 PKR</v>
      </c>
      <c r="H2115" s="9" t="str">
        <f ca="1">IFERROR(__xludf.DUMMYFUNCTION("""COMPUTED_VALUE"""),"USD PKR rate for 02/04/2018")</f>
        <v>USD PKR rate for 02/04/2018</v>
      </c>
      <c r="I2115" s="9"/>
    </row>
    <row r="2116" spans="1:9" ht="14.25" customHeight="1" x14ac:dyDescent="0.3">
      <c r="A2116" s="6">
        <v>41833</v>
      </c>
      <c r="B2116" s="7">
        <v>98.701099999999997</v>
      </c>
      <c r="C2116" s="8">
        <f t="shared" si="17"/>
        <v>115.28500163255531</v>
      </c>
      <c r="D2116" s="9">
        <f t="shared" si="16"/>
        <v>67.52864594455778</v>
      </c>
      <c r="E2116" s="9"/>
      <c r="F2116" s="9">
        <f ca="1">IFERROR(__xludf.DUMMYFUNCTION("""COMPUTED_VALUE"""),43191)</f>
        <v>43191</v>
      </c>
      <c r="G2116" s="9" t="str">
        <f ca="1">IFERROR(__xludf.DUMMYFUNCTION("""COMPUTED_VALUE"""),"1 USD = 115.6247 PKR")</f>
        <v>1 USD = 115.6247 PKR</v>
      </c>
      <c r="H2116" s="9" t="str">
        <f ca="1">IFERROR(__xludf.DUMMYFUNCTION("""COMPUTED_VALUE"""),"USD PKR rate for 01/04/2018")</f>
        <v>USD PKR rate for 01/04/2018</v>
      </c>
      <c r="I2116" s="9"/>
    </row>
    <row r="2117" spans="1:9" ht="14.25" customHeight="1" x14ac:dyDescent="0.3">
      <c r="A2117" s="6">
        <v>41834</v>
      </c>
      <c r="B2117" s="7">
        <v>98.741600000000005</v>
      </c>
      <c r="C2117" s="8">
        <f t="shared" si="17"/>
        <v>115.30562032839245</v>
      </c>
      <c r="D2117" s="9">
        <f t="shared" si="16"/>
        <v>67.531383777355046</v>
      </c>
      <c r="E2117" s="9"/>
      <c r="F2117" s="9">
        <f ca="1">IFERROR(__xludf.DUMMYFUNCTION("""COMPUTED_VALUE"""),43190)</f>
        <v>43190</v>
      </c>
      <c r="G2117" s="9" t="str">
        <f ca="1">IFERROR(__xludf.DUMMYFUNCTION("""COMPUTED_VALUE"""),"1 USD = 115.7131 PKR")</f>
        <v>1 USD = 115.7131 PKR</v>
      </c>
      <c r="H2117" s="9" t="str">
        <f ca="1">IFERROR(__xludf.DUMMYFUNCTION("""COMPUTED_VALUE"""),"USD PKR rate for 31/03/2018")</f>
        <v>USD PKR rate for 31/03/2018</v>
      </c>
      <c r="I2117" s="9"/>
    </row>
    <row r="2118" spans="1:9" ht="14.25" customHeight="1" x14ac:dyDescent="0.3">
      <c r="A2118" s="6">
        <v>41835</v>
      </c>
      <c r="B2118" s="7">
        <v>98.775899999999993</v>
      </c>
      <c r="C2118" s="8">
        <f t="shared" si="17"/>
        <v>115.32624271187859</v>
      </c>
      <c r="D2118" s="9">
        <f t="shared" si="16"/>
        <v>67.534121610152312</v>
      </c>
      <c r="E2118" s="9"/>
      <c r="F2118" s="9">
        <f ca="1">IFERROR(__xludf.DUMMYFUNCTION("""COMPUTED_VALUE"""),43189)</f>
        <v>43189</v>
      </c>
      <c r="G2118" s="9" t="str">
        <f ca="1">IFERROR(__xludf.DUMMYFUNCTION("""COMPUTED_VALUE"""),"1 USD = 115.7097 PKR")</f>
        <v>1 USD = 115.7097 PKR</v>
      </c>
      <c r="H2118" s="9" t="str">
        <f ca="1">IFERROR(__xludf.DUMMYFUNCTION("""COMPUTED_VALUE"""),"USD PKR rate for 30/03/2018")</f>
        <v>USD PKR rate for 30/03/2018</v>
      </c>
      <c r="I2118" s="9"/>
    </row>
    <row r="2119" spans="1:9" ht="14.25" customHeight="1" x14ac:dyDescent="0.3">
      <c r="A2119" s="6">
        <v>41836</v>
      </c>
      <c r="B2119" s="7">
        <v>98.770899999999997</v>
      </c>
      <c r="C2119" s="8">
        <f t="shared" si="17"/>
        <v>115.34686878367322</v>
      </c>
      <c r="D2119" s="9">
        <f t="shared" si="16"/>
        <v>67.536859442949577</v>
      </c>
      <c r="E2119" s="9"/>
      <c r="F2119" s="9">
        <f ca="1">IFERROR(__xludf.DUMMYFUNCTION("""COMPUTED_VALUE"""),43188)</f>
        <v>43188</v>
      </c>
      <c r="G2119" s="9" t="str">
        <f ca="1">IFERROR(__xludf.DUMMYFUNCTION("""COMPUTED_VALUE"""),"1 USD = 115.6185 PKR")</f>
        <v>1 USD = 115.6185 PKR</v>
      </c>
      <c r="H2119" s="9" t="str">
        <f ca="1">IFERROR(__xludf.DUMMYFUNCTION("""COMPUTED_VALUE"""),"USD PKR rate for 29/03/2018")</f>
        <v>USD PKR rate for 29/03/2018</v>
      </c>
      <c r="I2119" s="9"/>
    </row>
    <row r="2120" spans="1:9" ht="14.25" customHeight="1" x14ac:dyDescent="0.3">
      <c r="A2120" s="6">
        <v>41837</v>
      </c>
      <c r="B2120" s="7">
        <v>98.768600000000006</v>
      </c>
      <c r="C2120" s="8">
        <f t="shared" si="17"/>
        <v>115.36749854443592</v>
      </c>
      <c r="D2120" s="9">
        <f t="shared" si="16"/>
        <v>67.539597275746843</v>
      </c>
      <c r="E2120" s="9"/>
      <c r="F2120" s="9">
        <f ca="1">IFERROR(__xludf.DUMMYFUNCTION("""COMPUTED_VALUE"""),43187)</f>
        <v>43187</v>
      </c>
      <c r="G2120" s="9" t="str">
        <f ca="1">IFERROR(__xludf.DUMMYFUNCTION("""COMPUTED_VALUE"""),"1 USD = 115.6393 PKR")</f>
        <v>1 USD = 115.6393 PKR</v>
      </c>
      <c r="H2120" s="9" t="str">
        <f ca="1">IFERROR(__xludf.DUMMYFUNCTION("""COMPUTED_VALUE"""),"USD PKR rate for 28/03/2018")</f>
        <v>USD PKR rate for 28/03/2018</v>
      </c>
      <c r="I2120" s="9"/>
    </row>
    <row r="2121" spans="1:9" ht="14.25" customHeight="1" x14ac:dyDescent="0.3">
      <c r="A2121" s="6">
        <v>41838</v>
      </c>
      <c r="B2121" s="7">
        <v>98.791300000000007</v>
      </c>
      <c r="C2121" s="8">
        <f t="shared" si="17"/>
        <v>115.38813199482667</v>
      </c>
      <c r="D2121" s="9">
        <f t="shared" si="16"/>
        <v>67.542335108544108</v>
      </c>
      <c r="E2121" s="9"/>
      <c r="F2121" s="9">
        <f ca="1">IFERROR(__xludf.DUMMYFUNCTION("""COMPUTED_VALUE"""),43186)</f>
        <v>43186</v>
      </c>
      <c r="G2121" s="9" t="str">
        <f ca="1">IFERROR(__xludf.DUMMYFUNCTION("""COMPUTED_VALUE"""),"1 USD = 115.5961 PKR")</f>
        <v>1 USD = 115.5961 PKR</v>
      </c>
      <c r="H2121" s="9" t="str">
        <f ca="1">IFERROR(__xludf.DUMMYFUNCTION("""COMPUTED_VALUE"""),"USD PKR rate for 27/03/2018")</f>
        <v>USD PKR rate for 27/03/2018</v>
      </c>
      <c r="I2121" s="9"/>
    </row>
    <row r="2122" spans="1:9" ht="14.25" customHeight="1" x14ac:dyDescent="0.3">
      <c r="A2122" s="6">
        <v>41839</v>
      </c>
      <c r="B2122" s="7">
        <v>98.014399999999995</v>
      </c>
      <c r="C2122" s="8">
        <f t="shared" si="17"/>
        <v>115.40876913550521</v>
      </c>
      <c r="D2122" s="9">
        <f t="shared" si="16"/>
        <v>67.545072941341374</v>
      </c>
      <c r="E2122" s="9"/>
      <c r="F2122" s="9">
        <f ca="1">IFERROR(__xludf.DUMMYFUNCTION("""COMPUTED_VALUE"""),43185)</f>
        <v>43185</v>
      </c>
      <c r="G2122" s="9" t="str">
        <f ca="1">IFERROR(__xludf.DUMMYFUNCTION("""COMPUTED_VALUE"""),"1 USD = 115.5016 PKR")</f>
        <v>1 USD = 115.5016 PKR</v>
      </c>
      <c r="H2122" s="9" t="str">
        <f ca="1">IFERROR(__xludf.DUMMYFUNCTION("""COMPUTED_VALUE"""),"USD PKR rate for 26/03/2018")</f>
        <v>USD PKR rate for 26/03/2018</v>
      </c>
      <c r="I2122" s="9"/>
    </row>
    <row r="2123" spans="1:9" ht="14.25" customHeight="1" x14ac:dyDescent="0.3">
      <c r="A2123" s="6">
        <v>41840</v>
      </c>
      <c r="B2123" s="7">
        <v>97.975000000000009</v>
      </c>
      <c r="C2123" s="8">
        <f t="shared" si="17"/>
        <v>115.4294099671316</v>
      </c>
      <c r="D2123" s="9">
        <f t="shared" si="16"/>
        <v>67.54781077413864</v>
      </c>
      <c r="E2123" s="9"/>
      <c r="F2123" s="9">
        <f ca="1">IFERROR(__xludf.DUMMYFUNCTION("""COMPUTED_VALUE"""),43184)</f>
        <v>43184</v>
      </c>
      <c r="G2123" s="9" t="str">
        <f ca="1">IFERROR(__xludf.DUMMYFUNCTION("""COMPUTED_VALUE"""),"1 USD = 115.4955 PKR")</f>
        <v>1 USD = 115.4955 PKR</v>
      </c>
      <c r="H2123" s="9" t="str">
        <f ca="1">IFERROR(__xludf.DUMMYFUNCTION("""COMPUTED_VALUE"""),"USD PKR rate for 25/03/2018")</f>
        <v>USD PKR rate for 25/03/2018</v>
      </c>
      <c r="I2123" s="9"/>
    </row>
    <row r="2124" spans="1:9" ht="14.25" customHeight="1" x14ac:dyDescent="0.3">
      <c r="A2124" s="6">
        <v>41841</v>
      </c>
      <c r="B2124" s="7">
        <v>98.795599999999993</v>
      </c>
      <c r="C2124" s="8">
        <f t="shared" si="17"/>
        <v>115.45005449036593</v>
      </c>
      <c r="D2124" s="9">
        <f t="shared" si="16"/>
        <v>67.550548606935905</v>
      </c>
      <c r="E2124" s="9"/>
      <c r="F2124" s="9">
        <f ca="1">IFERROR(__xludf.DUMMYFUNCTION("""COMPUTED_VALUE"""),43183)</f>
        <v>43183</v>
      </c>
      <c r="G2124" s="9" t="str">
        <f ca="1">IFERROR(__xludf.DUMMYFUNCTION("""COMPUTED_VALUE"""),"1 USD = 115.4819 PKR")</f>
        <v>1 USD = 115.4819 PKR</v>
      </c>
      <c r="H2124" s="9" t="str">
        <f ca="1">IFERROR(__xludf.DUMMYFUNCTION("""COMPUTED_VALUE"""),"USD PKR rate for 24/03/2018")</f>
        <v>USD PKR rate for 24/03/2018</v>
      </c>
      <c r="I2124" s="9"/>
    </row>
    <row r="2125" spans="1:9" ht="14.25" customHeight="1" x14ac:dyDescent="0.3">
      <c r="A2125" s="6">
        <v>41842</v>
      </c>
      <c r="B2125" s="7">
        <v>98.780100000000004</v>
      </c>
      <c r="C2125" s="8">
        <f t="shared" si="17"/>
        <v>115.47070270586849</v>
      </c>
      <c r="D2125" s="9">
        <f t="shared" si="16"/>
        <v>67.553286439733171</v>
      </c>
      <c r="E2125" s="9"/>
      <c r="F2125" s="9">
        <f ca="1">IFERROR(__xludf.DUMMYFUNCTION("""COMPUTED_VALUE"""),43182)</f>
        <v>43182</v>
      </c>
      <c r="G2125" s="9" t="str">
        <f ca="1">IFERROR(__xludf.DUMMYFUNCTION("""COMPUTED_VALUE"""),"1 USD = 115.5506 PKR")</f>
        <v>1 USD = 115.5506 PKR</v>
      </c>
      <c r="H2125" s="9" t="str">
        <f ca="1">IFERROR(__xludf.DUMMYFUNCTION("""COMPUTED_VALUE"""),"USD PKR rate for 23/03/2018")</f>
        <v>USD PKR rate for 23/03/2018</v>
      </c>
      <c r="I2125" s="9"/>
    </row>
    <row r="2126" spans="1:9" ht="14.25" customHeight="1" x14ac:dyDescent="0.3">
      <c r="A2126" s="6">
        <v>41843</v>
      </c>
      <c r="B2126" s="7">
        <v>98.784300000000002</v>
      </c>
      <c r="C2126" s="8">
        <f t="shared" si="17"/>
        <v>115.49135461429958</v>
      </c>
      <c r="D2126" s="9">
        <f t="shared" si="16"/>
        <v>67.556024272530436</v>
      </c>
      <c r="E2126" s="9"/>
      <c r="F2126" s="9">
        <f ca="1">IFERROR(__xludf.DUMMYFUNCTION("""COMPUTED_VALUE"""),43181)</f>
        <v>43181</v>
      </c>
      <c r="G2126" s="9" t="str">
        <f ca="1">IFERROR(__xludf.DUMMYFUNCTION("""COMPUTED_VALUE"""),"1 USD = 115.7107 PKR")</f>
        <v>1 USD = 115.7107 PKR</v>
      </c>
      <c r="H2126" s="9" t="str">
        <f ca="1">IFERROR(__xludf.DUMMYFUNCTION("""COMPUTED_VALUE"""),"USD PKR rate for 22/03/2018")</f>
        <v>USD PKR rate for 22/03/2018</v>
      </c>
      <c r="I2126" s="9"/>
    </row>
    <row r="2127" spans="1:9" ht="14.25" customHeight="1" x14ac:dyDescent="0.3">
      <c r="A2127" s="6">
        <v>41844</v>
      </c>
      <c r="B2127" s="7">
        <v>98.731899999999996</v>
      </c>
      <c r="C2127" s="8">
        <f t="shared" si="17"/>
        <v>115.51201021631972</v>
      </c>
      <c r="D2127" s="9">
        <f t="shared" si="16"/>
        <v>67.558762105327702</v>
      </c>
      <c r="E2127" s="9"/>
      <c r="F2127" s="9">
        <f ca="1">IFERROR(__xludf.DUMMYFUNCTION("""COMPUTED_VALUE"""),43180)</f>
        <v>43180</v>
      </c>
      <c r="G2127" s="9" t="str">
        <f ca="1">IFERROR(__xludf.DUMMYFUNCTION("""COMPUTED_VALUE"""),"1 USD = 115.1352 PKR")</f>
        <v>1 USD = 115.1352 PKR</v>
      </c>
      <c r="H2127" s="9" t="str">
        <f ca="1">IFERROR(__xludf.DUMMYFUNCTION("""COMPUTED_VALUE"""),"USD PKR rate for 21/03/2018")</f>
        <v>USD PKR rate for 21/03/2018</v>
      </c>
      <c r="I2127" s="9"/>
    </row>
    <row r="2128" spans="1:9" ht="14.25" customHeight="1" x14ac:dyDescent="0.3">
      <c r="A2128" s="6">
        <v>41845</v>
      </c>
      <c r="B2128" s="7">
        <v>98.719899999999996</v>
      </c>
      <c r="C2128" s="8">
        <f t="shared" si="17"/>
        <v>115.53266951258949</v>
      </c>
      <c r="D2128" s="9">
        <f t="shared" si="16"/>
        <v>67.561499938124967</v>
      </c>
      <c r="E2128" s="9"/>
      <c r="F2128" s="9">
        <f ca="1">IFERROR(__xludf.DUMMYFUNCTION("""COMPUTED_VALUE"""),43179)</f>
        <v>43179</v>
      </c>
      <c r="G2128" s="9" t="str">
        <f ca="1">IFERROR(__xludf.DUMMYFUNCTION("""COMPUTED_VALUE"""),"1 USD = 110.5973 PKR")</f>
        <v>1 USD = 110.5973 PKR</v>
      </c>
      <c r="H2128" s="9" t="str">
        <f ca="1">IFERROR(__xludf.DUMMYFUNCTION("""COMPUTED_VALUE"""),"USD PKR rate for 20/03/2018")</f>
        <v>USD PKR rate for 20/03/2018</v>
      </c>
      <c r="I2128" s="9"/>
    </row>
    <row r="2129" spans="1:9" ht="14.25" customHeight="1" x14ac:dyDescent="0.3">
      <c r="A2129" s="6">
        <v>41846</v>
      </c>
      <c r="B2129" s="7">
        <v>98.734099999999998</v>
      </c>
      <c r="C2129" s="8">
        <f t="shared" si="17"/>
        <v>115.55333250376974</v>
      </c>
      <c r="D2129" s="9">
        <f t="shared" si="16"/>
        <v>67.564237770922247</v>
      </c>
      <c r="E2129" s="9"/>
      <c r="F2129" s="9">
        <f ca="1">IFERROR(__xludf.DUMMYFUNCTION("""COMPUTED_VALUE"""),43178)</f>
        <v>43178</v>
      </c>
      <c r="G2129" s="9" t="str">
        <f ca="1">IFERROR(__xludf.DUMMYFUNCTION("""COMPUTED_VALUE"""),"1 USD = 110.5418 PKR")</f>
        <v>1 USD = 110.5418 PKR</v>
      </c>
      <c r="H2129" s="9" t="str">
        <f ca="1">IFERROR(__xludf.DUMMYFUNCTION("""COMPUTED_VALUE"""),"USD PKR rate for 19/03/2018")</f>
        <v>USD PKR rate for 19/03/2018</v>
      </c>
      <c r="I2129" s="9"/>
    </row>
    <row r="2130" spans="1:9" ht="14.25" customHeight="1" x14ac:dyDescent="0.3">
      <c r="A2130" s="6">
        <v>41847</v>
      </c>
      <c r="B2130" s="7">
        <v>98.681299999999993</v>
      </c>
      <c r="C2130" s="8">
        <f t="shared" si="17"/>
        <v>115.57399919052094</v>
      </c>
      <c r="D2130" s="9">
        <f t="shared" si="16"/>
        <v>67.566975603719513</v>
      </c>
      <c r="E2130" s="9"/>
      <c r="F2130" s="9">
        <f ca="1">IFERROR(__xludf.DUMMYFUNCTION("""COMPUTED_VALUE"""),43177)</f>
        <v>43177</v>
      </c>
      <c r="G2130" s="9" t="str">
        <f ca="1">IFERROR(__xludf.DUMMYFUNCTION("""COMPUTED_VALUE"""),"1 USD = 110.8839 PKR")</f>
        <v>1 USD = 110.8839 PKR</v>
      </c>
      <c r="H2130" s="9" t="str">
        <f ca="1">IFERROR(__xludf.DUMMYFUNCTION("""COMPUTED_VALUE"""),"USD PKR rate for 18/03/2018")</f>
        <v>USD PKR rate for 18/03/2018</v>
      </c>
      <c r="I2130" s="9"/>
    </row>
    <row r="2131" spans="1:9" ht="14.25" customHeight="1" x14ac:dyDescent="0.3">
      <c r="A2131" s="6">
        <v>41848</v>
      </c>
      <c r="B2131" s="7">
        <v>98.772599999999997</v>
      </c>
      <c r="C2131" s="8">
        <f t="shared" si="17"/>
        <v>115.59466957350439</v>
      </c>
      <c r="D2131" s="9">
        <f t="shared" si="16"/>
        <v>67.569713436516778</v>
      </c>
      <c r="E2131" s="9"/>
      <c r="F2131" s="9">
        <f ca="1">IFERROR(__xludf.DUMMYFUNCTION("""COMPUTED_VALUE"""),43176)</f>
        <v>43176</v>
      </c>
      <c r="G2131" s="9" t="str">
        <f ca="1">IFERROR(__xludf.DUMMYFUNCTION("""COMPUTED_VALUE"""),"1 USD = 110.625 PKR")</f>
        <v>1 USD = 110.625 PKR</v>
      </c>
      <c r="H2131" s="9" t="str">
        <f ca="1">IFERROR(__xludf.DUMMYFUNCTION("""COMPUTED_VALUE"""),"USD PKR rate for 17/03/2018")</f>
        <v>USD PKR rate for 17/03/2018</v>
      </c>
      <c r="I2131" s="9"/>
    </row>
    <row r="2132" spans="1:9" ht="14.25" customHeight="1" x14ac:dyDescent="0.3">
      <c r="A2132" s="6">
        <v>41849</v>
      </c>
      <c r="B2132" s="7">
        <v>98.804000000000002</v>
      </c>
      <c r="C2132" s="8">
        <f t="shared" si="17"/>
        <v>115.61534365338106</v>
      </c>
      <c r="D2132" s="9">
        <f t="shared" si="16"/>
        <v>67.572451269314044</v>
      </c>
      <c r="E2132" s="9"/>
      <c r="F2132" s="9">
        <f ca="1">IFERROR(__xludf.DUMMYFUNCTION("""COMPUTED_VALUE"""),43175)</f>
        <v>43175</v>
      </c>
      <c r="G2132" s="9" t="str">
        <f ca="1">IFERROR(__xludf.DUMMYFUNCTION("""COMPUTED_VALUE"""),"1 USD = 110.625 PKR")</f>
        <v>1 USD = 110.625 PKR</v>
      </c>
      <c r="H2132" s="9" t="str">
        <f ca="1">IFERROR(__xludf.DUMMYFUNCTION("""COMPUTED_VALUE"""),"USD PKR rate for 16/03/2018")</f>
        <v>USD PKR rate for 16/03/2018</v>
      </c>
      <c r="I2132" s="9"/>
    </row>
    <row r="2133" spans="1:9" ht="14.25" customHeight="1" x14ac:dyDescent="0.3">
      <c r="A2133" s="6">
        <v>41850</v>
      </c>
      <c r="B2133" s="7">
        <v>98.762799999999999</v>
      </c>
      <c r="C2133" s="8">
        <f t="shared" si="17"/>
        <v>115.63602143081212</v>
      </c>
      <c r="D2133" s="9">
        <f t="shared" si="16"/>
        <v>67.57518910211131</v>
      </c>
      <c r="E2133" s="9"/>
      <c r="F2133" s="9">
        <f ca="1">IFERROR(__xludf.DUMMYFUNCTION("""COMPUTED_VALUE"""),43174)</f>
        <v>43174</v>
      </c>
      <c r="G2133" s="9" t="str">
        <f ca="1">IFERROR(__xludf.DUMMYFUNCTION("""COMPUTED_VALUE"""),"1 USD = 110.656 PKR")</f>
        <v>1 USD = 110.656 PKR</v>
      </c>
      <c r="H2133" s="9" t="str">
        <f ca="1">IFERROR(__xludf.DUMMYFUNCTION("""COMPUTED_VALUE"""),"USD PKR rate for 15/03/2018")</f>
        <v>USD PKR rate for 15/03/2018</v>
      </c>
      <c r="I2133" s="9"/>
    </row>
    <row r="2134" spans="1:9" ht="14.25" customHeight="1" x14ac:dyDescent="0.3">
      <c r="A2134" s="6">
        <v>41851</v>
      </c>
      <c r="B2134" s="7">
        <v>98.75330000000001</v>
      </c>
      <c r="C2134" s="8">
        <f t="shared" si="17"/>
        <v>115.65670290645888</v>
      </c>
      <c r="D2134" s="9">
        <f t="shared" si="16"/>
        <v>67.577926934908575</v>
      </c>
      <c r="E2134" s="9"/>
      <c r="F2134" s="9">
        <f ca="1">IFERROR(__xludf.DUMMYFUNCTION("""COMPUTED_VALUE"""),43173)</f>
        <v>43173</v>
      </c>
      <c r="G2134" s="9" t="str">
        <f ca="1">IFERROR(__xludf.DUMMYFUNCTION("""COMPUTED_VALUE"""),"1 USD = 110.6579 PKR")</f>
        <v>1 USD = 110.6579 PKR</v>
      </c>
      <c r="H2134" s="9" t="str">
        <f ca="1">IFERROR(__xludf.DUMMYFUNCTION("""COMPUTED_VALUE"""),"USD PKR rate for 14/03/2018")</f>
        <v>USD PKR rate for 14/03/2018</v>
      </c>
      <c r="I2134" s="9"/>
    </row>
    <row r="2135" spans="1:9" ht="14.25" customHeight="1" x14ac:dyDescent="0.3">
      <c r="A2135" s="6">
        <v>41852</v>
      </c>
      <c r="B2135" s="7">
        <v>98.742999999999995</v>
      </c>
      <c r="C2135" s="8">
        <f t="shared" si="17"/>
        <v>115.67738808098277</v>
      </c>
      <c r="D2135" s="9">
        <f t="shared" si="16"/>
        <v>67.580664767705841</v>
      </c>
      <c r="E2135" s="9"/>
      <c r="F2135" s="9">
        <f ca="1">IFERROR(__xludf.DUMMYFUNCTION("""COMPUTED_VALUE"""),43172)</f>
        <v>43172</v>
      </c>
      <c r="G2135" s="9" t="str">
        <f ca="1">IFERROR(__xludf.DUMMYFUNCTION("""COMPUTED_VALUE"""),"1 USD = 110.4366 PKR")</f>
        <v>1 USD = 110.4366 PKR</v>
      </c>
      <c r="H2135" s="9" t="str">
        <f ca="1">IFERROR(__xludf.DUMMYFUNCTION("""COMPUTED_VALUE"""),"USD PKR rate for 13/03/2018")</f>
        <v>USD PKR rate for 13/03/2018</v>
      </c>
      <c r="I2135" s="9"/>
    </row>
    <row r="2136" spans="1:9" ht="14.25" customHeight="1" x14ac:dyDescent="0.3">
      <c r="A2136" s="6">
        <v>41853</v>
      </c>
      <c r="B2136" s="7">
        <v>98.749600000000001</v>
      </c>
      <c r="C2136" s="8">
        <f t="shared" si="17"/>
        <v>115.69807695504534</v>
      </c>
      <c r="D2136" s="9">
        <f t="shared" si="16"/>
        <v>67.583402600503106</v>
      </c>
      <c r="E2136" s="9"/>
      <c r="F2136" s="9">
        <f ca="1">IFERROR(__xludf.DUMMYFUNCTION("""COMPUTED_VALUE"""),43171)</f>
        <v>43171</v>
      </c>
      <c r="G2136" s="9" t="str">
        <f ca="1">IFERROR(__xludf.DUMMYFUNCTION("""COMPUTED_VALUE"""),"1 USD = 110.6641 PKR")</f>
        <v>1 USD = 110.6641 PKR</v>
      </c>
      <c r="H2136" s="9" t="str">
        <f ca="1">IFERROR(__xludf.DUMMYFUNCTION("""COMPUTED_VALUE"""),"USD PKR rate for 12/03/2018")</f>
        <v>USD PKR rate for 12/03/2018</v>
      </c>
      <c r="I2136" s="9"/>
    </row>
    <row r="2137" spans="1:9" ht="14.25" customHeight="1" x14ac:dyDescent="0.3">
      <c r="A2137" s="6">
        <v>41854</v>
      </c>
      <c r="B2137" s="7">
        <v>98.762600000000006</v>
      </c>
      <c r="C2137" s="8">
        <f t="shared" si="17"/>
        <v>115.71876952930823</v>
      </c>
      <c r="D2137" s="9">
        <f t="shared" si="16"/>
        <v>67.586140433300372</v>
      </c>
      <c r="E2137" s="9"/>
      <c r="F2137" s="9">
        <f ca="1">IFERROR(__xludf.DUMMYFUNCTION("""COMPUTED_VALUE"""),43170)</f>
        <v>43170</v>
      </c>
      <c r="G2137" s="9" t="str">
        <f ca="1">IFERROR(__xludf.DUMMYFUNCTION("""COMPUTED_VALUE"""),"1 USD = 110.7289 PKR")</f>
        <v>1 USD = 110.7289 PKR</v>
      </c>
      <c r="H2137" s="9" t="str">
        <f ca="1">IFERROR(__xludf.DUMMYFUNCTION("""COMPUTED_VALUE"""),"USD PKR rate for 11/03/2018")</f>
        <v>USD PKR rate for 11/03/2018</v>
      </c>
      <c r="I2137" s="9"/>
    </row>
    <row r="2138" spans="1:9" ht="14.25" customHeight="1" x14ac:dyDescent="0.3">
      <c r="A2138" s="6">
        <v>41855</v>
      </c>
      <c r="B2138" s="7">
        <v>98.799199999999999</v>
      </c>
      <c r="C2138" s="8">
        <f t="shared" si="17"/>
        <v>115.73946580443324</v>
      </c>
      <c r="D2138" s="9">
        <f t="shared" si="16"/>
        <v>67.588878266097637</v>
      </c>
      <c r="E2138" s="9"/>
      <c r="F2138" s="9">
        <f ca="1">IFERROR(__xludf.DUMMYFUNCTION("""COMPUTED_VALUE"""),43169)</f>
        <v>43169</v>
      </c>
      <c r="G2138" s="9" t="str">
        <f ca="1">IFERROR(__xludf.DUMMYFUNCTION("""COMPUTED_VALUE"""),"1 USD = 110.7258 PKR")</f>
        <v>1 USD = 110.7258 PKR</v>
      </c>
      <c r="H2138" s="9" t="str">
        <f ca="1">IFERROR(__xludf.DUMMYFUNCTION("""COMPUTED_VALUE"""),"USD PKR rate for 10/03/2018")</f>
        <v>USD PKR rate for 10/03/2018</v>
      </c>
      <c r="I2138" s="9"/>
    </row>
    <row r="2139" spans="1:9" ht="14.25" customHeight="1" x14ac:dyDescent="0.3">
      <c r="A2139" s="6">
        <v>41856</v>
      </c>
      <c r="B2139" s="7">
        <v>98.835899999999995</v>
      </c>
      <c r="C2139" s="8">
        <f t="shared" si="17"/>
        <v>115.76016578108216</v>
      </c>
      <c r="D2139" s="9">
        <f t="shared" si="16"/>
        <v>67.591616098894903</v>
      </c>
      <c r="E2139" s="9"/>
      <c r="F2139" s="9">
        <f ca="1">IFERROR(__xludf.DUMMYFUNCTION("""COMPUTED_VALUE"""),43168)</f>
        <v>43168</v>
      </c>
      <c r="G2139" s="9" t="str">
        <f ca="1">IFERROR(__xludf.DUMMYFUNCTION("""COMPUTED_VALUE"""),"1 USD = 110.7258 PKR")</f>
        <v>1 USD = 110.7258 PKR</v>
      </c>
      <c r="H2139" s="9" t="str">
        <f ca="1">IFERROR(__xludf.DUMMYFUNCTION("""COMPUTED_VALUE"""),"USD PKR rate for 09/03/2018")</f>
        <v>USD PKR rate for 09/03/2018</v>
      </c>
      <c r="I2139" s="9"/>
    </row>
    <row r="2140" spans="1:9" ht="14.25" customHeight="1" x14ac:dyDescent="0.3">
      <c r="A2140" s="6">
        <v>41857</v>
      </c>
      <c r="B2140" s="7">
        <v>98.824100000000001</v>
      </c>
      <c r="C2140" s="8">
        <f t="shared" si="17"/>
        <v>115.7808694599172</v>
      </c>
      <c r="D2140" s="9">
        <f t="shared" si="16"/>
        <v>67.594353931692169</v>
      </c>
      <c r="E2140" s="9"/>
      <c r="F2140" s="9">
        <f ca="1">IFERROR(__xludf.DUMMYFUNCTION("""COMPUTED_VALUE"""),43167)</f>
        <v>43167</v>
      </c>
      <c r="G2140" s="9" t="str">
        <f ca="1">IFERROR(__xludf.DUMMYFUNCTION("""COMPUTED_VALUE"""),"1 USD = 110.6999 PKR")</f>
        <v>1 USD = 110.6999 PKR</v>
      </c>
      <c r="H2140" s="9" t="str">
        <f ca="1">IFERROR(__xludf.DUMMYFUNCTION("""COMPUTED_VALUE"""),"USD PKR rate for 08/03/2018")</f>
        <v>USD PKR rate for 08/03/2018</v>
      </c>
      <c r="I2140" s="9"/>
    </row>
    <row r="2141" spans="1:9" ht="14.25" customHeight="1" x14ac:dyDescent="0.3">
      <c r="A2141" s="6">
        <v>41858</v>
      </c>
      <c r="B2141" s="7">
        <v>98.863900000000001</v>
      </c>
      <c r="C2141" s="8">
        <f t="shared" si="17"/>
        <v>115.80157684160041</v>
      </c>
      <c r="D2141" s="9">
        <f t="shared" si="16"/>
        <v>67.597091764489434</v>
      </c>
      <c r="E2141" s="9"/>
      <c r="F2141" s="9">
        <f ca="1">IFERROR(__xludf.DUMMYFUNCTION("""COMPUTED_VALUE"""),43166)</f>
        <v>43166</v>
      </c>
      <c r="G2141" s="9" t="str">
        <f ca="1">IFERROR(__xludf.DUMMYFUNCTION("""COMPUTED_VALUE"""),"1 USD = 110.7266 PKR")</f>
        <v>1 USD = 110.7266 PKR</v>
      </c>
      <c r="H2141" s="9" t="str">
        <f ca="1">IFERROR(__xludf.DUMMYFUNCTION("""COMPUTED_VALUE"""),"USD PKR rate for 07/03/2018")</f>
        <v>USD PKR rate for 07/03/2018</v>
      </c>
      <c r="I2141" s="9"/>
    </row>
    <row r="2142" spans="1:9" ht="14.25" customHeight="1" x14ac:dyDescent="0.3">
      <c r="A2142" s="6">
        <v>41859</v>
      </c>
      <c r="B2142" s="7">
        <v>98.803799999999995</v>
      </c>
      <c r="C2142" s="8">
        <f t="shared" si="17"/>
        <v>115.82228792679405</v>
      </c>
      <c r="D2142" s="9">
        <f t="shared" si="16"/>
        <v>67.5998295972867</v>
      </c>
      <c r="E2142" s="9"/>
      <c r="F2142" s="9">
        <f ca="1">IFERROR(__xludf.DUMMYFUNCTION("""COMPUTED_VALUE"""),43165)</f>
        <v>43165</v>
      </c>
      <c r="G2142" s="9" t="str">
        <f ca="1">IFERROR(__xludf.DUMMYFUNCTION("""COMPUTED_VALUE"""),"1 USD = 110.6604 PKR")</f>
        <v>1 USD = 110.6604 PKR</v>
      </c>
      <c r="H2142" s="9" t="str">
        <f ca="1">IFERROR(__xludf.DUMMYFUNCTION("""COMPUTED_VALUE"""),"USD PKR rate for 06/03/2018")</f>
        <v>USD PKR rate for 06/03/2018</v>
      </c>
      <c r="I2142" s="9"/>
    </row>
    <row r="2143" spans="1:9" ht="14.25" customHeight="1" x14ac:dyDescent="0.3">
      <c r="A2143" s="6">
        <v>41860</v>
      </c>
      <c r="B2143" s="7">
        <v>98.848800000000011</v>
      </c>
      <c r="C2143" s="8">
        <f t="shared" si="17"/>
        <v>115.84300271616048</v>
      </c>
      <c r="D2143" s="9">
        <f t="shared" si="16"/>
        <v>67.602567430083965</v>
      </c>
      <c r="E2143" s="9"/>
      <c r="F2143" s="9">
        <f ca="1">IFERROR(__xludf.DUMMYFUNCTION("""COMPUTED_VALUE"""),43164)</f>
        <v>43164</v>
      </c>
      <c r="G2143" s="9" t="str">
        <f ca="1">IFERROR(__xludf.DUMMYFUNCTION("""COMPUTED_VALUE"""),"1 USD = 110.6527 PKR")</f>
        <v>1 USD = 110.6527 PKR</v>
      </c>
      <c r="H2143" s="9" t="str">
        <f ca="1">IFERROR(__xludf.DUMMYFUNCTION("""COMPUTED_VALUE"""),"USD PKR rate for 05/03/2018")</f>
        <v>USD PKR rate for 05/03/2018</v>
      </c>
      <c r="I2143" s="9"/>
    </row>
    <row r="2144" spans="1:9" ht="14.25" customHeight="1" x14ac:dyDescent="0.3">
      <c r="A2144" s="6">
        <v>41861</v>
      </c>
      <c r="B2144" s="7">
        <v>98.820999999999998</v>
      </c>
      <c r="C2144" s="8">
        <f t="shared" si="17"/>
        <v>115.86372121036217</v>
      </c>
      <c r="D2144" s="9">
        <f t="shared" si="16"/>
        <v>67.605305262881231</v>
      </c>
      <c r="E2144" s="9"/>
      <c r="F2144" s="9">
        <f ca="1">IFERROR(__xludf.DUMMYFUNCTION("""COMPUTED_VALUE"""),43163)</f>
        <v>43163</v>
      </c>
      <c r="G2144" s="9" t="str">
        <f ca="1">IFERROR(__xludf.DUMMYFUNCTION("""COMPUTED_VALUE"""),"1 USD = 110.65 PKR")</f>
        <v>1 USD = 110.65 PKR</v>
      </c>
      <c r="H2144" s="9" t="str">
        <f ca="1">IFERROR(__xludf.DUMMYFUNCTION("""COMPUTED_VALUE"""),"USD PKR rate for 04/03/2018")</f>
        <v>USD PKR rate for 04/03/2018</v>
      </c>
      <c r="I2144" s="9"/>
    </row>
    <row r="2145" spans="1:9" ht="14.25" customHeight="1" x14ac:dyDescent="0.3">
      <c r="A2145" s="6">
        <v>41862</v>
      </c>
      <c r="B2145" s="7">
        <v>98.967800000000011</v>
      </c>
      <c r="C2145" s="8">
        <f t="shared" si="17"/>
        <v>115.88444341006176</v>
      </c>
      <c r="D2145" s="9">
        <f t="shared" si="16"/>
        <v>67.608043095678497</v>
      </c>
      <c r="E2145" s="9"/>
      <c r="F2145" s="9">
        <f ca="1">IFERROR(__xludf.DUMMYFUNCTION("""COMPUTED_VALUE"""),43162)</f>
        <v>43162</v>
      </c>
      <c r="G2145" s="9" t="str">
        <f ca="1">IFERROR(__xludf.DUMMYFUNCTION("""COMPUTED_VALUE"""),"1 USD = 110.6477 PKR")</f>
        <v>1 USD = 110.6477 PKR</v>
      </c>
      <c r="H2145" s="9" t="str">
        <f ca="1">IFERROR(__xludf.DUMMYFUNCTION("""COMPUTED_VALUE"""),"USD PKR rate for 03/03/2018")</f>
        <v>USD PKR rate for 03/03/2018</v>
      </c>
      <c r="I2145" s="9"/>
    </row>
    <row r="2146" spans="1:9" ht="14.25" customHeight="1" x14ac:dyDescent="0.3">
      <c r="A2146" s="6">
        <v>41863</v>
      </c>
      <c r="B2146" s="7">
        <v>99.016400000000004</v>
      </c>
      <c r="C2146" s="8">
        <f t="shared" si="17"/>
        <v>115.90516931592197</v>
      </c>
      <c r="D2146" s="9">
        <f t="shared" si="16"/>
        <v>67.610780928475762</v>
      </c>
      <c r="E2146" s="9"/>
      <c r="F2146" s="9">
        <f ca="1">IFERROR(__xludf.DUMMYFUNCTION("""COMPUTED_VALUE"""),43161)</f>
        <v>43161</v>
      </c>
      <c r="G2146" s="9" t="str">
        <f ca="1">IFERROR(__xludf.DUMMYFUNCTION("""COMPUTED_VALUE"""),"1 USD = 110.65 PKR")</f>
        <v>1 USD = 110.65 PKR</v>
      </c>
      <c r="H2146" s="9" t="str">
        <f ca="1">IFERROR(__xludf.DUMMYFUNCTION("""COMPUTED_VALUE"""),"USD PKR rate for 02/03/2018")</f>
        <v>USD PKR rate for 02/03/2018</v>
      </c>
      <c r="I2146" s="9"/>
    </row>
    <row r="2147" spans="1:9" ht="14.25" customHeight="1" x14ac:dyDescent="0.3">
      <c r="A2147" s="6">
        <v>41864</v>
      </c>
      <c r="B2147" s="7">
        <v>99.294200000000004</v>
      </c>
      <c r="C2147" s="8">
        <f t="shared" si="17"/>
        <v>115.92589892860563</v>
      </c>
      <c r="D2147" s="9">
        <f t="shared" si="16"/>
        <v>67.613518761273028</v>
      </c>
      <c r="E2147" s="9"/>
      <c r="F2147" s="9">
        <f ca="1">IFERROR(__xludf.DUMMYFUNCTION("""COMPUTED_VALUE"""),43160)</f>
        <v>43160</v>
      </c>
      <c r="G2147" s="9" t="str">
        <f ca="1">IFERROR(__xludf.DUMMYFUNCTION("""COMPUTED_VALUE"""),"1 USD = 110.6958 PKR")</f>
        <v>1 USD = 110.6958 PKR</v>
      </c>
      <c r="H2147" s="9" t="str">
        <f ca="1">IFERROR(__xludf.DUMMYFUNCTION("""COMPUTED_VALUE"""),"USD PKR rate for 01/03/2018")</f>
        <v>USD PKR rate for 01/03/2018</v>
      </c>
      <c r="I2147" s="9"/>
    </row>
    <row r="2148" spans="1:9" ht="14.25" customHeight="1" x14ac:dyDescent="0.3">
      <c r="A2148" s="6">
        <v>41865</v>
      </c>
      <c r="B2148" s="7">
        <v>99.4422</v>
      </c>
      <c r="C2148" s="8">
        <f t="shared" si="17"/>
        <v>115.94663224877563</v>
      </c>
      <c r="D2148" s="9">
        <f t="shared" si="16"/>
        <v>67.616256594070293</v>
      </c>
      <c r="E2148" s="9"/>
      <c r="F2148" s="9">
        <f ca="1">IFERROR(__xludf.DUMMYFUNCTION("""COMPUTED_VALUE"""),43159)</f>
        <v>43159</v>
      </c>
      <c r="G2148" s="9" t="str">
        <f ca="1">IFERROR(__xludf.DUMMYFUNCTION("""COMPUTED_VALUE"""),"1 USD = 110.6532 PKR")</f>
        <v>1 USD = 110.6532 PKR</v>
      </c>
      <c r="H2148" s="9" t="str">
        <f ca="1">IFERROR(__xludf.DUMMYFUNCTION("""COMPUTED_VALUE"""),"USD PKR rate for 28/02/2018")</f>
        <v>USD PKR rate for 28/02/2018</v>
      </c>
      <c r="I2148" s="9"/>
    </row>
    <row r="2149" spans="1:9" ht="14.25" customHeight="1" x14ac:dyDescent="0.3">
      <c r="A2149" s="6">
        <v>41866</v>
      </c>
      <c r="B2149" s="7">
        <v>99.823600000000013</v>
      </c>
      <c r="C2149" s="8">
        <f t="shared" si="17"/>
        <v>115.96736927709523</v>
      </c>
      <c r="D2149" s="9">
        <f t="shared" si="16"/>
        <v>67.618994426867559</v>
      </c>
      <c r="E2149" s="9"/>
      <c r="F2149" s="9">
        <f ca="1">IFERROR(__xludf.DUMMYFUNCTION("""COMPUTED_VALUE"""),43158)</f>
        <v>43158</v>
      </c>
      <c r="G2149" s="9" t="str">
        <f ca="1">IFERROR(__xludf.DUMMYFUNCTION("""COMPUTED_VALUE"""),"1 USD = 110.7024 PKR")</f>
        <v>1 USD = 110.7024 PKR</v>
      </c>
      <c r="H2149" s="9" t="str">
        <f ca="1">IFERROR(__xludf.DUMMYFUNCTION("""COMPUTED_VALUE"""),"USD PKR rate for 27/02/2018")</f>
        <v>USD PKR rate for 27/02/2018</v>
      </c>
      <c r="I2149" s="9"/>
    </row>
    <row r="2150" spans="1:9" ht="14.25" customHeight="1" x14ac:dyDescent="0.3">
      <c r="A2150" s="6">
        <v>41867</v>
      </c>
      <c r="B2150" s="7">
        <v>99.874799999999993</v>
      </c>
      <c r="C2150" s="8">
        <f t="shared" si="17"/>
        <v>115.98811001422756</v>
      </c>
      <c r="D2150" s="9">
        <f t="shared" si="16"/>
        <v>67.621732259664824</v>
      </c>
      <c r="E2150" s="9"/>
      <c r="F2150" s="9">
        <f ca="1">IFERROR(__xludf.DUMMYFUNCTION("""COMPUTED_VALUE"""),43157)</f>
        <v>43157</v>
      </c>
      <c r="G2150" s="9" t="str">
        <f ca="1">IFERROR(__xludf.DUMMYFUNCTION("""COMPUTED_VALUE"""),"1 USD = 110.5469 PKR")</f>
        <v>1 USD = 110.5469 PKR</v>
      </c>
      <c r="H2150" s="9" t="str">
        <f ca="1">IFERROR(__xludf.DUMMYFUNCTION("""COMPUTED_VALUE"""),"USD PKR rate for 26/02/2018")</f>
        <v>USD PKR rate for 26/02/2018</v>
      </c>
      <c r="I2150" s="9"/>
    </row>
    <row r="2151" spans="1:9" ht="14.25" customHeight="1" x14ac:dyDescent="0.3">
      <c r="A2151" s="6">
        <v>41868</v>
      </c>
      <c r="B2151" s="7">
        <v>99.883100000000013</v>
      </c>
      <c r="C2151" s="8">
        <f t="shared" si="17"/>
        <v>116.00885446083589</v>
      </c>
      <c r="D2151" s="9">
        <f t="shared" si="16"/>
        <v>67.62447009246209</v>
      </c>
      <c r="E2151" s="9"/>
      <c r="F2151" s="9">
        <f ca="1">IFERROR(__xludf.DUMMYFUNCTION("""COMPUTED_VALUE"""),43156)</f>
        <v>43156</v>
      </c>
      <c r="G2151" s="9" t="str">
        <f ca="1">IFERROR(__xludf.DUMMYFUNCTION("""COMPUTED_VALUE"""),"1 USD = 110.7942 PKR")</f>
        <v>1 USD = 110.7942 PKR</v>
      </c>
      <c r="H2151" s="9" t="str">
        <f ca="1">IFERROR(__xludf.DUMMYFUNCTION("""COMPUTED_VALUE"""),"USD PKR rate for 25/02/2018")</f>
        <v>USD PKR rate for 25/02/2018</v>
      </c>
      <c r="I2151" s="9"/>
    </row>
    <row r="2152" spans="1:9" ht="14.25" customHeight="1" x14ac:dyDescent="0.3">
      <c r="A2152" s="6">
        <v>41869</v>
      </c>
      <c r="B2152" s="7">
        <v>99.964800000000011</v>
      </c>
      <c r="C2152" s="8">
        <f t="shared" si="17"/>
        <v>116.02960261758371</v>
      </c>
      <c r="D2152" s="9">
        <f t="shared" si="16"/>
        <v>67.627207925259356</v>
      </c>
      <c r="E2152" s="9"/>
      <c r="F2152" s="9">
        <f ca="1">IFERROR(__xludf.DUMMYFUNCTION("""COMPUTED_VALUE"""),43155)</f>
        <v>43155</v>
      </c>
      <c r="G2152" s="9" t="str">
        <f ca="1">IFERROR(__xludf.DUMMYFUNCTION("""COMPUTED_VALUE"""),"1 USD = 110.8676 PKR")</f>
        <v>1 USD = 110.8676 PKR</v>
      </c>
      <c r="H2152" s="9" t="str">
        <f ca="1">IFERROR(__xludf.DUMMYFUNCTION("""COMPUTED_VALUE"""),"USD PKR rate for 24/02/2018")</f>
        <v>USD PKR rate for 24/02/2018</v>
      </c>
      <c r="I2152" s="9"/>
    </row>
    <row r="2153" spans="1:9" ht="14.25" customHeight="1" x14ac:dyDescent="0.3">
      <c r="A2153" s="6">
        <v>41870</v>
      </c>
      <c r="B2153" s="7">
        <v>100.29819999999999</v>
      </c>
      <c r="C2153" s="8">
        <f t="shared" si="17"/>
        <v>116.05035448513456</v>
      </c>
      <c r="D2153" s="9">
        <f t="shared" si="16"/>
        <v>67.629945758056621</v>
      </c>
      <c r="E2153" s="9"/>
      <c r="F2153" s="9">
        <f ca="1">IFERROR(__xludf.DUMMYFUNCTION("""COMPUTED_VALUE"""),43154)</f>
        <v>43154</v>
      </c>
      <c r="G2153" s="9" t="str">
        <f ca="1">IFERROR(__xludf.DUMMYFUNCTION("""COMPUTED_VALUE"""),"1 USD = 110.6 PKR")</f>
        <v>1 USD = 110.6 PKR</v>
      </c>
      <c r="H2153" s="9" t="str">
        <f ca="1">IFERROR(__xludf.DUMMYFUNCTION("""COMPUTED_VALUE"""),"USD PKR rate for 23/02/2018")</f>
        <v>USD PKR rate for 23/02/2018</v>
      </c>
      <c r="I2153" s="9"/>
    </row>
    <row r="2154" spans="1:9" ht="14.25" customHeight="1" x14ac:dyDescent="0.3">
      <c r="A2154" s="6">
        <v>41871</v>
      </c>
      <c r="B2154" s="7">
        <v>100.8764</v>
      </c>
      <c r="C2154" s="8">
        <f t="shared" si="17"/>
        <v>116.07111006415211</v>
      </c>
      <c r="D2154" s="9">
        <f t="shared" si="16"/>
        <v>67.632683590853887</v>
      </c>
      <c r="E2154" s="9"/>
      <c r="F2154" s="9">
        <f ca="1">IFERROR(__xludf.DUMMYFUNCTION("""COMPUTED_VALUE"""),43153)</f>
        <v>43153</v>
      </c>
      <c r="G2154" s="9" t="str">
        <f ca="1">IFERROR(__xludf.DUMMYFUNCTION("""COMPUTED_VALUE"""),"1 USD = 110.6035 PKR")</f>
        <v>1 USD = 110.6035 PKR</v>
      </c>
      <c r="H2154" s="9" t="str">
        <f ca="1">IFERROR(__xludf.DUMMYFUNCTION("""COMPUTED_VALUE"""),"USD PKR rate for 22/02/2018")</f>
        <v>USD PKR rate for 22/02/2018</v>
      </c>
      <c r="I2154" s="9"/>
    </row>
    <row r="2155" spans="1:9" ht="14.25" customHeight="1" x14ac:dyDescent="0.3">
      <c r="A2155" s="6">
        <v>41872</v>
      </c>
      <c r="B2155" s="7">
        <v>100.9181</v>
      </c>
      <c r="C2155" s="8">
        <f t="shared" si="17"/>
        <v>116.09186935530016</v>
      </c>
      <c r="D2155" s="9">
        <f t="shared" si="16"/>
        <v>67.635421423651152</v>
      </c>
      <c r="E2155" s="9"/>
      <c r="F2155" s="9">
        <f ca="1">IFERROR(__xludf.DUMMYFUNCTION("""COMPUTED_VALUE"""),43152)</f>
        <v>43152</v>
      </c>
      <c r="G2155" s="9" t="str">
        <f ca="1">IFERROR(__xludf.DUMMYFUNCTION("""COMPUTED_VALUE"""),"1 USD = 110.6828 PKR")</f>
        <v>1 USD = 110.6828 PKR</v>
      </c>
      <c r="H2155" s="9" t="str">
        <f ca="1">IFERROR(__xludf.DUMMYFUNCTION("""COMPUTED_VALUE"""),"USD PKR rate for 21/02/2018")</f>
        <v>USD PKR rate for 21/02/2018</v>
      </c>
      <c r="I2155" s="9"/>
    </row>
    <row r="2156" spans="1:9" ht="14.25" customHeight="1" x14ac:dyDescent="0.3">
      <c r="A2156" s="6">
        <v>41873</v>
      </c>
      <c r="B2156" s="7">
        <v>101.2449</v>
      </c>
      <c r="C2156" s="8">
        <f t="shared" si="17"/>
        <v>116.11263235924262</v>
      </c>
      <c r="D2156" s="9">
        <f t="shared" si="16"/>
        <v>67.638159256448418</v>
      </c>
      <c r="E2156" s="9"/>
      <c r="F2156" s="9">
        <f ca="1">IFERROR(__xludf.DUMMYFUNCTION("""COMPUTED_VALUE"""),43151)</f>
        <v>43151</v>
      </c>
      <c r="G2156" s="9" t="str">
        <f ca="1">IFERROR(__xludf.DUMMYFUNCTION("""COMPUTED_VALUE"""),"1 USD = 110.6 PKR")</f>
        <v>1 USD = 110.6 PKR</v>
      </c>
      <c r="H2156" s="9" t="str">
        <f ca="1">IFERROR(__xludf.DUMMYFUNCTION("""COMPUTED_VALUE"""),"USD PKR rate for 20/02/2018")</f>
        <v>USD PKR rate for 20/02/2018</v>
      </c>
      <c r="I2156" s="9"/>
    </row>
    <row r="2157" spans="1:9" ht="14.25" customHeight="1" x14ac:dyDescent="0.3">
      <c r="A2157" s="6">
        <v>41874</v>
      </c>
      <c r="B2157" s="7">
        <v>101.217</v>
      </c>
      <c r="C2157" s="8">
        <f t="shared" si="17"/>
        <v>116.13339907664343</v>
      </c>
      <c r="D2157" s="9">
        <f t="shared" si="16"/>
        <v>67.640897089245684</v>
      </c>
      <c r="E2157" s="9"/>
      <c r="F2157" s="9">
        <f ca="1">IFERROR(__xludf.DUMMYFUNCTION("""COMPUTED_VALUE"""),43150)</f>
        <v>43150</v>
      </c>
      <c r="G2157" s="9" t="str">
        <f ca="1">IFERROR(__xludf.DUMMYFUNCTION("""COMPUTED_VALUE"""),"1 USD = 110.7067 PKR")</f>
        <v>1 USD = 110.7067 PKR</v>
      </c>
      <c r="H2157" s="9" t="str">
        <f ca="1">IFERROR(__xludf.DUMMYFUNCTION("""COMPUTED_VALUE"""),"USD PKR rate for 19/02/2018")</f>
        <v>USD PKR rate for 19/02/2018</v>
      </c>
      <c r="I2157" s="9"/>
    </row>
    <row r="2158" spans="1:9" ht="14.25" customHeight="1" x14ac:dyDescent="0.3">
      <c r="A2158" s="6">
        <v>41875</v>
      </c>
      <c r="B2158" s="7">
        <v>101.3265</v>
      </c>
      <c r="C2158" s="8">
        <f t="shared" si="17"/>
        <v>116.15416950816693</v>
      </c>
      <c r="D2158" s="9">
        <f t="shared" si="16"/>
        <v>67.643634922042949</v>
      </c>
      <c r="E2158" s="9"/>
      <c r="F2158" s="9">
        <f ca="1">IFERROR(__xludf.DUMMYFUNCTION("""COMPUTED_VALUE"""),43149)</f>
        <v>43149</v>
      </c>
      <c r="G2158" s="9" t="str">
        <f ca="1">IFERROR(__xludf.DUMMYFUNCTION("""COMPUTED_VALUE"""),"1 USD = 110.7253 PKR")</f>
        <v>1 USD = 110.7253 PKR</v>
      </c>
      <c r="H2158" s="9" t="str">
        <f ca="1">IFERROR(__xludf.DUMMYFUNCTION("""COMPUTED_VALUE"""),"USD PKR rate for 18/02/2018")</f>
        <v>USD PKR rate for 18/02/2018</v>
      </c>
      <c r="I2158" s="9"/>
    </row>
    <row r="2159" spans="1:9" ht="14.25" customHeight="1" x14ac:dyDescent="0.3">
      <c r="A2159" s="6">
        <v>41876</v>
      </c>
      <c r="B2159" s="7">
        <v>101.1862</v>
      </c>
      <c r="C2159" s="8">
        <f t="shared" si="17"/>
        <v>116.17494365447732</v>
      </c>
      <c r="D2159" s="9">
        <f t="shared" si="16"/>
        <v>67.646372754840215</v>
      </c>
      <c r="E2159" s="9"/>
      <c r="F2159" s="9">
        <f ca="1">IFERROR(__xludf.DUMMYFUNCTION("""COMPUTED_VALUE"""),43148)</f>
        <v>43148</v>
      </c>
      <c r="G2159" s="9" t="str">
        <f ca="1">IFERROR(__xludf.DUMMYFUNCTION("""COMPUTED_VALUE"""),"1 USD = 110.6001 PKR")</f>
        <v>1 USD = 110.6001 PKR</v>
      </c>
      <c r="H2159" s="9" t="str">
        <f ca="1">IFERROR(__xludf.DUMMYFUNCTION("""COMPUTED_VALUE"""),"USD PKR rate for 17/02/2018")</f>
        <v>USD PKR rate for 17/02/2018</v>
      </c>
      <c r="I2159" s="9"/>
    </row>
    <row r="2160" spans="1:9" ht="14.25" customHeight="1" x14ac:dyDescent="0.3">
      <c r="A2160" s="6">
        <v>41877</v>
      </c>
      <c r="B2160" s="7">
        <v>101.7681</v>
      </c>
      <c r="C2160" s="8">
        <f t="shared" si="17"/>
        <v>116.19572151623895</v>
      </c>
      <c r="D2160" s="9">
        <f t="shared" si="16"/>
        <v>67.64911058763748</v>
      </c>
      <c r="E2160" s="9"/>
      <c r="F2160" s="9">
        <f ca="1">IFERROR(__xludf.DUMMYFUNCTION("""COMPUTED_VALUE"""),43147)</f>
        <v>43147</v>
      </c>
      <c r="G2160" s="9" t="str">
        <f ca="1">IFERROR(__xludf.DUMMYFUNCTION("""COMPUTED_VALUE"""),"1 USD = 110.5995 PKR")</f>
        <v>1 USD = 110.5995 PKR</v>
      </c>
      <c r="H2160" s="9" t="str">
        <f ca="1">IFERROR(__xludf.DUMMYFUNCTION("""COMPUTED_VALUE"""),"USD PKR rate for 16/02/2018")</f>
        <v>USD PKR rate for 16/02/2018</v>
      </c>
      <c r="I2160" s="9"/>
    </row>
    <row r="2161" spans="1:9" ht="14.25" customHeight="1" x14ac:dyDescent="0.3">
      <c r="A2161" s="6">
        <v>41878</v>
      </c>
      <c r="B2161" s="7">
        <v>101.3683</v>
      </c>
      <c r="C2161" s="8">
        <f t="shared" si="17"/>
        <v>116.21650309411632</v>
      </c>
      <c r="D2161" s="9">
        <f t="shared" si="16"/>
        <v>67.651848420434746</v>
      </c>
      <c r="E2161" s="9"/>
      <c r="F2161" s="9">
        <f ca="1">IFERROR(__xludf.DUMMYFUNCTION("""COMPUTED_VALUE"""),43146)</f>
        <v>43146</v>
      </c>
      <c r="G2161" s="9" t="str">
        <f ca="1">IFERROR(__xludf.DUMMYFUNCTION("""COMPUTED_VALUE"""),"1 USD = 110.662 PKR")</f>
        <v>1 USD = 110.662 PKR</v>
      </c>
      <c r="H2161" s="9" t="str">
        <f ca="1">IFERROR(__xludf.DUMMYFUNCTION("""COMPUTED_VALUE"""),"USD PKR rate for 15/02/2018")</f>
        <v>USD PKR rate for 15/02/2018</v>
      </c>
      <c r="I2161" s="9"/>
    </row>
    <row r="2162" spans="1:9" ht="14.25" customHeight="1" x14ac:dyDescent="0.3">
      <c r="A2162" s="6">
        <v>41879</v>
      </c>
      <c r="B2162" s="7">
        <v>101.86190000000001</v>
      </c>
      <c r="C2162" s="8">
        <f t="shared" si="17"/>
        <v>116.2372883887741</v>
      </c>
      <c r="D2162" s="9">
        <f t="shared" si="16"/>
        <v>67.654586253232011</v>
      </c>
      <c r="E2162" s="9"/>
      <c r="F2162" s="9">
        <f ca="1">IFERROR(__xludf.DUMMYFUNCTION("""COMPUTED_VALUE"""),43145)</f>
        <v>43145</v>
      </c>
      <c r="G2162" s="9" t="str">
        <f ca="1">IFERROR(__xludf.DUMMYFUNCTION("""COMPUTED_VALUE"""),"1 USD = 110.6984 PKR")</f>
        <v>1 USD = 110.6984 PKR</v>
      </c>
      <c r="H2162" s="9" t="str">
        <f ca="1">IFERROR(__xludf.DUMMYFUNCTION("""COMPUTED_VALUE"""),"USD PKR rate for 14/02/2018")</f>
        <v>USD PKR rate for 14/02/2018</v>
      </c>
      <c r="I2162" s="9"/>
    </row>
    <row r="2163" spans="1:9" ht="14.25" customHeight="1" x14ac:dyDescent="0.3">
      <c r="A2163" s="6">
        <v>41880</v>
      </c>
      <c r="B2163" s="7">
        <v>101.687</v>
      </c>
      <c r="C2163" s="8">
        <f t="shared" si="17"/>
        <v>116.25807740087703</v>
      </c>
      <c r="D2163" s="9">
        <f t="shared" si="16"/>
        <v>67.657324086029277</v>
      </c>
      <c r="E2163" s="9"/>
      <c r="F2163" s="9">
        <f ca="1">IFERROR(__xludf.DUMMYFUNCTION("""COMPUTED_VALUE"""),43144)</f>
        <v>43144</v>
      </c>
      <c r="G2163" s="9" t="str">
        <f ca="1">IFERROR(__xludf.DUMMYFUNCTION("""COMPUTED_VALUE"""),"1 USD = 110.5476 PKR")</f>
        <v>1 USD = 110.5476 PKR</v>
      </c>
      <c r="H2163" s="9" t="str">
        <f ca="1">IFERROR(__xludf.DUMMYFUNCTION("""COMPUTED_VALUE"""),"USD PKR rate for 13/02/2018")</f>
        <v>USD PKR rate for 13/02/2018</v>
      </c>
      <c r="I2163" s="9"/>
    </row>
    <row r="2164" spans="1:9" ht="14.25" customHeight="1" x14ac:dyDescent="0.3">
      <c r="A2164" s="6">
        <v>41881</v>
      </c>
      <c r="B2164" s="7">
        <v>101.77200000000001</v>
      </c>
      <c r="C2164" s="8">
        <f t="shared" si="17"/>
        <v>116.27887013108993</v>
      </c>
      <c r="D2164" s="9">
        <f t="shared" si="16"/>
        <v>67.660061918826543</v>
      </c>
      <c r="E2164" s="9"/>
      <c r="F2164" s="9">
        <f ca="1">IFERROR(__xludf.DUMMYFUNCTION("""COMPUTED_VALUE"""),43143)</f>
        <v>43143</v>
      </c>
      <c r="G2164" s="9" t="str">
        <f ca="1">IFERROR(__xludf.DUMMYFUNCTION("""COMPUTED_VALUE"""),"1 USD = 110.7332 PKR")</f>
        <v>1 USD = 110.7332 PKR</v>
      </c>
      <c r="H2164" s="9" t="str">
        <f ca="1">IFERROR(__xludf.DUMMYFUNCTION("""COMPUTED_VALUE"""),"USD PKR rate for 12/02/2018")</f>
        <v>USD PKR rate for 12/02/2018</v>
      </c>
      <c r="I2164" s="9"/>
    </row>
    <row r="2165" spans="1:9" ht="14.25" customHeight="1" x14ac:dyDescent="0.3">
      <c r="A2165" s="6">
        <v>41882</v>
      </c>
      <c r="B2165" s="7">
        <v>101.8052</v>
      </c>
      <c r="C2165" s="8">
        <f t="shared" si="17"/>
        <v>116.29966658007784</v>
      </c>
      <c r="D2165" s="9">
        <f t="shared" si="16"/>
        <v>67.662799751623808</v>
      </c>
      <c r="E2165" s="9"/>
      <c r="F2165" s="9">
        <f ca="1">IFERROR(__xludf.DUMMYFUNCTION("""COMPUTED_VALUE"""),43142)</f>
        <v>43142</v>
      </c>
      <c r="G2165" s="9" t="str">
        <f ca="1">IFERROR(__xludf.DUMMYFUNCTION("""COMPUTED_VALUE"""),"1 USD = 110.7869 PKR")</f>
        <v>1 USD = 110.7869 PKR</v>
      </c>
      <c r="H2165" s="9" t="str">
        <f ca="1">IFERROR(__xludf.DUMMYFUNCTION("""COMPUTED_VALUE"""),"USD PKR rate for 11/02/2018")</f>
        <v>USD PKR rate for 11/02/2018</v>
      </c>
      <c r="I2165" s="9"/>
    </row>
    <row r="2166" spans="1:9" ht="14.25" customHeight="1" x14ac:dyDescent="0.3">
      <c r="A2166" s="6">
        <v>41883</v>
      </c>
      <c r="B2166" s="7">
        <v>102.20820000000002</v>
      </c>
      <c r="C2166" s="8">
        <f t="shared" si="17"/>
        <v>116.32046674850571</v>
      </c>
      <c r="D2166" s="9">
        <f t="shared" si="16"/>
        <v>67.665537584421074</v>
      </c>
      <c r="E2166" s="9"/>
      <c r="F2166" s="9">
        <f ca="1">IFERROR(__xludf.DUMMYFUNCTION("""COMPUTED_VALUE"""),43141)</f>
        <v>43141</v>
      </c>
      <c r="G2166" s="9" t="str">
        <f ca="1">IFERROR(__xludf.DUMMYFUNCTION("""COMPUTED_VALUE"""),"1 USD = 110.76 PKR")</f>
        <v>1 USD = 110.76 PKR</v>
      </c>
      <c r="H2166" s="9" t="str">
        <f ca="1">IFERROR(__xludf.DUMMYFUNCTION("""COMPUTED_VALUE"""),"USD PKR rate for 10/02/2018")</f>
        <v>USD PKR rate for 10/02/2018</v>
      </c>
      <c r="I2166" s="9"/>
    </row>
    <row r="2167" spans="1:9" ht="14.25" customHeight="1" x14ac:dyDescent="0.3">
      <c r="A2167" s="6">
        <v>41884</v>
      </c>
      <c r="B2167" s="7">
        <v>102.16370000000002</v>
      </c>
      <c r="C2167" s="8">
        <f t="shared" si="17"/>
        <v>116.34127063703899</v>
      </c>
      <c r="D2167" s="9">
        <f t="shared" si="16"/>
        <v>67.668275417218339</v>
      </c>
      <c r="E2167" s="9"/>
      <c r="F2167" s="9">
        <f ca="1">IFERROR(__xludf.DUMMYFUNCTION("""COMPUTED_VALUE"""),43140)</f>
        <v>43140</v>
      </c>
      <c r="G2167" s="9" t="str">
        <f ca="1">IFERROR(__xludf.DUMMYFUNCTION("""COMPUTED_VALUE"""),"1 USD = 110.7596 PKR")</f>
        <v>1 USD = 110.7596 PKR</v>
      </c>
      <c r="H2167" s="9" t="str">
        <f ca="1">IFERROR(__xludf.DUMMYFUNCTION("""COMPUTED_VALUE"""),"USD PKR rate for 09/02/2018")</f>
        <v>USD PKR rate for 09/02/2018</v>
      </c>
      <c r="I2167" s="9"/>
    </row>
    <row r="2168" spans="1:9" ht="14.25" customHeight="1" x14ac:dyDescent="0.3">
      <c r="A2168" s="6">
        <v>41885</v>
      </c>
      <c r="B2168" s="7">
        <v>102.1915</v>
      </c>
      <c r="C2168" s="8">
        <f t="shared" si="17"/>
        <v>116.36207824634293</v>
      </c>
      <c r="D2168" s="9">
        <f t="shared" si="16"/>
        <v>67.671013250015605</v>
      </c>
      <c r="E2168" s="9"/>
      <c r="F2168" s="9">
        <f ca="1">IFERROR(__xludf.DUMMYFUNCTION("""COMPUTED_VALUE"""),43139)</f>
        <v>43139</v>
      </c>
      <c r="G2168" s="9" t="str">
        <f ca="1">IFERROR(__xludf.DUMMYFUNCTION("""COMPUTED_VALUE"""),"1 USD = 110.5976 PKR")</f>
        <v>1 USD = 110.5976 PKR</v>
      </c>
      <c r="H2168" s="9" t="str">
        <f ca="1">IFERROR(__xludf.DUMMYFUNCTION("""COMPUTED_VALUE"""),"USD PKR rate for 08/02/2018")</f>
        <v>USD PKR rate for 08/02/2018</v>
      </c>
      <c r="I2168" s="9"/>
    </row>
    <row r="2169" spans="1:9" ht="14.25" customHeight="1" x14ac:dyDescent="0.3">
      <c r="A2169" s="6">
        <v>41886</v>
      </c>
      <c r="B2169" s="7">
        <v>102.7032</v>
      </c>
      <c r="C2169" s="8">
        <f t="shared" si="17"/>
        <v>116.38288957708296</v>
      </c>
      <c r="D2169" s="9">
        <f t="shared" si="16"/>
        <v>67.673751082812871</v>
      </c>
      <c r="E2169" s="9"/>
      <c r="F2169" s="9">
        <f ca="1">IFERROR(__xludf.DUMMYFUNCTION("""COMPUTED_VALUE"""),43138)</f>
        <v>43138</v>
      </c>
      <c r="G2169" s="9" t="str">
        <f ca="1">IFERROR(__xludf.DUMMYFUNCTION("""COMPUTED_VALUE"""),"1 USD = 110.7658 PKR")</f>
        <v>1 USD = 110.7658 PKR</v>
      </c>
      <c r="H2169" s="9" t="str">
        <f ca="1">IFERROR(__xludf.DUMMYFUNCTION("""COMPUTED_VALUE"""),"USD PKR rate for 07/02/2018")</f>
        <v>USD PKR rate for 07/02/2018</v>
      </c>
      <c r="I2169" s="9"/>
    </row>
    <row r="2170" spans="1:9" ht="14.25" customHeight="1" x14ac:dyDescent="0.3">
      <c r="A2170" s="6">
        <v>41887</v>
      </c>
      <c r="B2170" s="7">
        <v>102.12479999999999</v>
      </c>
      <c r="C2170" s="8">
        <f t="shared" si="17"/>
        <v>116.40370462992468</v>
      </c>
      <c r="D2170" s="9">
        <f t="shared" si="16"/>
        <v>67.676488915610136</v>
      </c>
      <c r="E2170" s="9"/>
      <c r="F2170" s="9">
        <f ca="1">IFERROR(__xludf.DUMMYFUNCTION("""COMPUTED_VALUE"""),43137)</f>
        <v>43137</v>
      </c>
      <c r="G2170" s="9" t="str">
        <f ca="1">IFERROR(__xludf.DUMMYFUNCTION("""COMPUTED_VALUE"""),"1 USD = 110.7195 PKR")</f>
        <v>1 USD = 110.7195 PKR</v>
      </c>
      <c r="H2170" s="9" t="str">
        <f ca="1">IFERROR(__xludf.DUMMYFUNCTION("""COMPUTED_VALUE"""),"USD PKR rate for 06/02/2018")</f>
        <v>USD PKR rate for 06/02/2018</v>
      </c>
      <c r="I2170" s="9"/>
    </row>
    <row r="2171" spans="1:9" ht="14.25" customHeight="1" x14ac:dyDescent="0.3">
      <c r="A2171" s="6">
        <v>41888</v>
      </c>
      <c r="B2171" s="7">
        <v>102.29410000000001</v>
      </c>
      <c r="C2171" s="8">
        <f t="shared" si="17"/>
        <v>116.42452340553376</v>
      </c>
      <c r="D2171" s="9">
        <f t="shared" si="16"/>
        <v>67.679226748407402</v>
      </c>
      <c r="E2171" s="9"/>
      <c r="F2171" s="9">
        <f ca="1">IFERROR(__xludf.DUMMYFUNCTION("""COMPUTED_VALUE"""),43136)</f>
        <v>43136</v>
      </c>
      <c r="G2171" s="9" t="str">
        <f ca="1">IFERROR(__xludf.DUMMYFUNCTION("""COMPUTED_VALUE"""),"1 USD = 110.551 PKR")</f>
        <v>1 USD = 110.551 PKR</v>
      </c>
      <c r="H2171" s="9" t="str">
        <f ca="1">IFERROR(__xludf.DUMMYFUNCTION("""COMPUTED_VALUE"""),"USD PKR rate for 05/02/2018")</f>
        <v>USD PKR rate for 05/02/2018</v>
      </c>
      <c r="I2171" s="9"/>
    </row>
    <row r="2172" spans="1:9" ht="14.25" customHeight="1" x14ac:dyDescent="0.3">
      <c r="A2172" s="6">
        <v>41889</v>
      </c>
      <c r="B2172" s="7">
        <v>102.06880000000001</v>
      </c>
      <c r="C2172" s="8">
        <f t="shared" si="17"/>
        <v>116.44534590457607</v>
      </c>
      <c r="D2172" s="9">
        <f t="shared" si="16"/>
        <v>67.681964581204667</v>
      </c>
      <c r="E2172" s="9"/>
      <c r="F2172" s="9">
        <f ca="1">IFERROR(__xludf.DUMMYFUNCTION("""COMPUTED_VALUE"""),43135)</f>
        <v>43135</v>
      </c>
      <c r="G2172" s="9" t="str">
        <f ca="1">IFERROR(__xludf.DUMMYFUNCTION("""COMPUTED_VALUE"""),"1 USD = 110.6822 PKR")</f>
        <v>1 USD = 110.6822 PKR</v>
      </c>
      <c r="H2172" s="9" t="str">
        <f ca="1">IFERROR(__xludf.DUMMYFUNCTION("""COMPUTED_VALUE"""),"USD PKR rate for 04/02/2018")</f>
        <v>USD PKR rate for 04/02/2018</v>
      </c>
      <c r="I2172" s="9"/>
    </row>
    <row r="2173" spans="1:9" ht="14.25" customHeight="1" x14ac:dyDescent="0.3">
      <c r="A2173" s="6">
        <v>41890</v>
      </c>
      <c r="B2173" s="7">
        <v>102.0744</v>
      </c>
      <c r="C2173" s="8">
        <f t="shared" si="17"/>
        <v>116.46617212771748</v>
      </c>
      <c r="D2173" s="9">
        <f t="shared" si="16"/>
        <v>67.684702414001933</v>
      </c>
      <c r="E2173" s="9"/>
      <c r="F2173" s="9">
        <f ca="1">IFERROR(__xludf.DUMMYFUNCTION("""COMPUTED_VALUE"""),43134)</f>
        <v>43134</v>
      </c>
      <c r="G2173" s="9" t="str">
        <f ca="1">IFERROR(__xludf.DUMMYFUNCTION("""COMPUTED_VALUE"""),"1 USD = 110.55 PKR")</f>
        <v>1 USD = 110.55 PKR</v>
      </c>
      <c r="H2173" s="9" t="str">
        <f ca="1">IFERROR(__xludf.DUMMYFUNCTION("""COMPUTED_VALUE"""),"USD PKR rate for 03/02/2018")</f>
        <v>USD PKR rate for 03/02/2018</v>
      </c>
      <c r="I2173" s="9"/>
    </row>
    <row r="2174" spans="1:9" ht="14.25" customHeight="1" x14ac:dyDescent="0.3">
      <c r="A2174" s="6">
        <v>41891</v>
      </c>
      <c r="B2174" s="7">
        <v>101.8635</v>
      </c>
      <c r="C2174" s="8">
        <f t="shared" si="17"/>
        <v>116.48700207562409</v>
      </c>
      <c r="D2174" s="9">
        <f t="shared" si="16"/>
        <v>67.687440246799198</v>
      </c>
      <c r="E2174" s="9"/>
      <c r="F2174" s="9">
        <f ca="1">IFERROR(__xludf.DUMMYFUNCTION("""COMPUTED_VALUE"""),43133)</f>
        <v>43133</v>
      </c>
      <c r="G2174" s="9" t="str">
        <f ca="1">IFERROR(__xludf.DUMMYFUNCTION("""COMPUTED_VALUE"""),"1 USD = 110.5493 PKR")</f>
        <v>1 USD = 110.5493 PKR</v>
      </c>
      <c r="H2174" s="9" t="str">
        <f ca="1">IFERROR(__xludf.DUMMYFUNCTION("""COMPUTED_VALUE"""),"USD PKR rate for 02/02/2018")</f>
        <v>USD PKR rate for 02/02/2018</v>
      </c>
      <c r="I2174" s="9"/>
    </row>
    <row r="2175" spans="1:9" ht="14.25" customHeight="1" x14ac:dyDescent="0.3">
      <c r="A2175" s="6">
        <v>41892</v>
      </c>
      <c r="B2175" s="7">
        <v>102.1093</v>
      </c>
      <c r="C2175" s="8">
        <f t="shared" si="17"/>
        <v>116.50783574896195</v>
      </c>
      <c r="D2175" s="9">
        <f t="shared" si="16"/>
        <v>67.690178079596464</v>
      </c>
      <c r="E2175" s="9"/>
      <c r="F2175" s="9">
        <f ca="1">IFERROR(__xludf.DUMMYFUNCTION("""COMPUTED_VALUE"""),43132)</f>
        <v>43132</v>
      </c>
      <c r="G2175" s="9" t="str">
        <f ca="1">IFERROR(__xludf.DUMMYFUNCTION("""COMPUTED_VALUE"""),"1 USD = 110.6441 PKR")</f>
        <v>1 USD = 110.6441 PKR</v>
      </c>
      <c r="H2175" s="9" t="str">
        <f ca="1">IFERROR(__xludf.DUMMYFUNCTION("""COMPUTED_VALUE"""),"USD PKR rate for 01/02/2018")</f>
        <v>USD PKR rate for 01/02/2018</v>
      </c>
      <c r="I2175" s="9"/>
    </row>
    <row r="2176" spans="1:9" ht="14.25" customHeight="1" x14ac:dyDescent="0.3">
      <c r="A2176" s="6">
        <v>41893</v>
      </c>
      <c r="B2176" s="7">
        <v>102.2055</v>
      </c>
      <c r="C2176" s="8">
        <f t="shared" si="17"/>
        <v>116.52867314839757</v>
      </c>
      <c r="D2176" s="9">
        <f t="shared" si="16"/>
        <v>67.69291591239373</v>
      </c>
      <c r="E2176" s="9"/>
      <c r="F2176" s="9">
        <f ca="1">IFERROR(__xludf.DUMMYFUNCTION("""COMPUTED_VALUE"""),43131)</f>
        <v>43131</v>
      </c>
      <c r="G2176" s="9" t="str">
        <f ca="1">IFERROR(__xludf.DUMMYFUNCTION("""COMPUTED_VALUE"""),"1 USD = 110.5746 PKR")</f>
        <v>1 USD = 110.5746 PKR</v>
      </c>
      <c r="H2176" s="9" t="str">
        <f ca="1">IFERROR(__xludf.DUMMYFUNCTION("""COMPUTED_VALUE"""),"USD PKR rate for 31/01/2018")</f>
        <v>USD PKR rate for 31/01/2018</v>
      </c>
      <c r="I2176" s="9"/>
    </row>
    <row r="2177" spans="1:9" ht="14.25" customHeight="1" x14ac:dyDescent="0.3">
      <c r="A2177" s="6">
        <v>41894</v>
      </c>
      <c r="B2177" s="7">
        <v>102.27130000000001</v>
      </c>
      <c r="C2177" s="8">
        <f t="shared" si="17"/>
        <v>116.54951427459724</v>
      </c>
      <c r="D2177" s="9">
        <f t="shared" si="16"/>
        <v>67.695653745190995</v>
      </c>
      <c r="E2177" s="9"/>
      <c r="F2177" s="9">
        <f ca="1">IFERROR(__xludf.DUMMYFUNCTION("""COMPUTED_VALUE"""),43130)</f>
        <v>43130</v>
      </c>
      <c r="G2177" s="9" t="str">
        <f ca="1">IFERROR(__xludf.DUMMYFUNCTION("""COMPUTED_VALUE"""),"1 USD = 110.7492 PKR")</f>
        <v>1 USD = 110.7492 PKR</v>
      </c>
      <c r="H2177" s="9" t="str">
        <f ca="1">IFERROR(__xludf.DUMMYFUNCTION("""COMPUTED_VALUE"""),"USD PKR rate for 30/01/2018")</f>
        <v>USD PKR rate for 30/01/2018</v>
      </c>
      <c r="I2177" s="9"/>
    </row>
    <row r="2178" spans="1:9" ht="14.25" customHeight="1" x14ac:dyDescent="0.3">
      <c r="A2178" s="6">
        <v>41895</v>
      </c>
      <c r="B2178" s="7">
        <v>102.28210000000001</v>
      </c>
      <c r="C2178" s="8">
        <f t="shared" si="17"/>
        <v>116.57035912822751</v>
      </c>
      <c r="D2178" s="9">
        <f t="shared" si="16"/>
        <v>67.698391577988261</v>
      </c>
      <c r="E2178" s="9"/>
      <c r="F2178" s="9">
        <f ca="1">IFERROR(__xludf.DUMMYFUNCTION("""COMPUTED_VALUE"""),43129)</f>
        <v>43129</v>
      </c>
      <c r="G2178" s="9" t="str">
        <f ca="1">IFERROR(__xludf.DUMMYFUNCTION("""COMPUTED_VALUE"""),"1 USD = 110.5516 PKR")</f>
        <v>1 USD = 110.5516 PKR</v>
      </c>
      <c r="H2178" s="9" t="str">
        <f ca="1">IFERROR(__xludf.DUMMYFUNCTION("""COMPUTED_VALUE"""),"USD PKR rate for 29/01/2018")</f>
        <v>USD PKR rate for 29/01/2018</v>
      </c>
      <c r="I2178" s="9"/>
    </row>
    <row r="2179" spans="1:9" ht="14.25" customHeight="1" x14ac:dyDescent="0.3">
      <c r="A2179" s="6">
        <v>41896</v>
      </c>
      <c r="B2179" s="7">
        <v>102.31659999999999</v>
      </c>
      <c r="C2179" s="8">
        <f t="shared" si="17"/>
        <v>116.59120770995503</v>
      </c>
      <c r="D2179" s="9">
        <f t="shared" si="16"/>
        <v>67.701129410785526</v>
      </c>
      <c r="E2179" s="9"/>
      <c r="F2179" s="9">
        <f ca="1">IFERROR(__xludf.DUMMYFUNCTION("""COMPUTED_VALUE"""),43128)</f>
        <v>43128</v>
      </c>
      <c r="G2179" s="9" t="str">
        <f ca="1">IFERROR(__xludf.DUMMYFUNCTION("""COMPUTED_VALUE"""),"1 USD = 110.5503 PKR")</f>
        <v>1 USD = 110.5503 PKR</v>
      </c>
      <c r="H2179" s="9" t="str">
        <f ca="1">IFERROR(__xludf.DUMMYFUNCTION("""COMPUTED_VALUE"""),"USD PKR rate for 28/01/2018")</f>
        <v>USD PKR rate for 28/01/2018</v>
      </c>
      <c r="I2179" s="9"/>
    </row>
    <row r="2180" spans="1:9" ht="14.25" customHeight="1" x14ac:dyDescent="0.3">
      <c r="A2180" s="6">
        <v>41897</v>
      </c>
      <c r="B2180" s="7">
        <v>102.78930000000001</v>
      </c>
      <c r="C2180" s="8">
        <f t="shared" si="17"/>
        <v>116.61206002044655</v>
      </c>
      <c r="D2180" s="9">
        <f t="shared" si="16"/>
        <v>67.703867243582792</v>
      </c>
      <c r="E2180" s="9"/>
      <c r="F2180" s="9">
        <f ca="1">IFERROR(__xludf.DUMMYFUNCTION("""COMPUTED_VALUE"""),43127)</f>
        <v>43127</v>
      </c>
      <c r="G2180" s="9" t="str">
        <f ca="1">IFERROR(__xludf.DUMMYFUNCTION("""COMPUTED_VALUE"""),"1 USD = 110.5469 PKR")</f>
        <v>1 USD = 110.5469 PKR</v>
      </c>
      <c r="H2180" s="9" t="str">
        <f ca="1">IFERROR(__xludf.DUMMYFUNCTION("""COMPUTED_VALUE"""),"USD PKR rate for 27/01/2018")</f>
        <v>USD PKR rate for 27/01/2018</v>
      </c>
      <c r="I2180" s="9"/>
    </row>
    <row r="2181" spans="1:9" ht="14.25" customHeight="1" x14ac:dyDescent="0.3">
      <c r="A2181" s="6">
        <v>41898</v>
      </c>
      <c r="B2181" s="7">
        <v>102.735</v>
      </c>
      <c r="C2181" s="8">
        <f t="shared" si="17"/>
        <v>116.63291606036898</v>
      </c>
      <c r="D2181" s="9">
        <f t="shared" si="16"/>
        <v>67.706605076380058</v>
      </c>
      <c r="E2181" s="9"/>
      <c r="F2181" s="9">
        <f ca="1">IFERROR(__xludf.DUMMYFUNCTION("""COMPUTED_VALUE"""),43126)</f>
        <v>43126</v>
      </c>
      <c r="G2181" s="9" t="str">
        <f ca="1">IFERROR(__xludf.DUMMYFUNCTION("""COMPUTED_VALUE"""),"1 USD = 110.5469 PKR")</f>
        <v>1 USD = 110.5469 PKR</v>
      </c>
      <c r="H2181" s="9" t="str">
        <f ca="1">IFERROR(__xludf.DUMMYFUNCTION("""COMPUTED_VALUE"""),"USD PKR rate for 26/01/2018")</f>
        <v>USD PKR rate for 26/01/2018</v>
      </c>
      <c r="I2181" s="9"/>
    </row>
    <row r="2182" spans="1:9" ht="14.25" customHeight="1" x14ac:dyDescent="0.3">
      <c r="A2182" s="6">
        <v>41899</v>
      </c>
      <c r="B2182" s="7">
        <v>103.1247</v>
      </c>
      <c r="C2182" s="8">
        <f t="shared" si="17"/>
        <v>116.65377583038932</v>
      </c>
      <c r="D2182" s="9">
        <f t="shared" si="16"/>
        <v>67.709342909177323</v>
      </c>
      <c r="E2182" s="9"/>
      <c r="F2182" s="9">
        <f ca="1">IFERROR(__xludf.DUMMYFUNCTION("""COMPUTED_VALUE"""),43125)</f>
        <v>43125</v>
      </c>
      <c r="G2182" s="9" t="str">
        <f ca="1">IFERROR(__xludf.DUMMYFUNCTION("""COMPUTED_VALUE"""),"1 USD = 110.6473 PKR")</f>
        <v>1 USD = 110.6473 PKR</v>
      </c>
      <c r="H2182" s="9" t="str">
        <f ca="1">IFERROR(__xludf.DUMMYFUNCTION("""COMPUTED_VALUE"""),"USD PKR rate for 25/01/2018")</f>
        <v>USD PKR rate for 25/01/2018</v>
      </c>
      <c r="I2182" s="9"/>
    </row>
    <row r="2183" spans="1:9" ht="14.25" customHeight="1" x14ac:dyDescent="0.3">
      <c r="A2183" s="6">
        <v>41900</v>
      </c>
      <c r="B2183" s="7">
        <v>102.57680000000001</v>
      </c>
      <c r="C2183" s="8">
        <f t="shared" si="17"/>
        <v>116.67463933117469</v>
      </c>
      <c r="D2183" s="9">
        <f t="shared" si="16"/>
        <v>67.712080741974589</v>
      </c>
      <c r="E2183" s="9"/>
      <c r="F2183" s="9">
        <f ca="1">IFERROR(__xludf.DUMMYFUNCTION("""COMPUTED_VALUE"""),43124)</f>
        <v>43124</v>
      </c>
      <c r="G2183" s="9" t="str">
        <f ca="1">IFERROR(__xludf.DUMMYFUNCTION("""COMPUTED_VALUE"""),"1 USD = 110.5476 PKR")</f>
        <v>1 USD = 110.5476 PKR</v>
      </c>
      <c r="H2183" s="9" t="str">
        <f ca="1">IFERROR(__xludf.DUMMYFUNCTION("""COMPUTED_VALUE"""),"USD PKR rate for 24/01/2018")</f>
        <v>USD PKR rate for 24/01/2018</v>
      </c>
      <c r="I2183" s="9"/>
    </row>
    <row r="2184" spans="1:9" ht="14.25" customHeight="1" x14ac:dyDescent="0.3">
      <c r="A2184" s="6">
        <v>41901</v>
      </c>
      <c r="B2184" s="7">
        <v>102.7409</v>
      </c>
      <c r="C2184" s="8">
        <f t="shared" si="17"/>
        <v>116.69550656339224</v>
      </c>
      <c r="D2184" s="9">
        <f t="shared" si="16"/>
        <v>67.714818574771854</v>
      </c>
      <c r="E2184" s="9"/>
      <c r="F2184" s="9">
        <f ca="1">IFERROR(__xludf.DUMMYFUNCTION("""COMPUTED_VALUE"""),43123)</f>
        <v>43123</v>
      </c>
      <c r="G2184" s="9" t="str">
        <f ca="1">IFERROR(__xludf.DUMMYFUNCTION("""COMPUTED_VALUE"""),"1 USD = 110.7546 PKR")</f>
        <v>1 USD = 110.7546 PKR</v>
      </c>
      <c r="H2184" s="9" t="str">
        <f ca="1">IFERROR(__xludf.DUMMYFUNCTION("""COMPUTED_VALUE"""),"USD PKR rate for 23/01/2018")</f>
        <v>USD PKR rate for 23/01/2018</v>
      </c>
      <c r="I2184" s="9"/>
    </row>
    <row r="2185" spans="1:9" ht="14.25" customHeight="1" x14ac:dyDescent="0.3">
      <c r="A2185" s="6">
        <v>41902</v>
      </c>
      <c r="B2185" s="7">
        <v>102.6095</v>
      </c>
      <c r="C2185" s="8">
        <f t="shared" si="17"/>
        <v>116.71637752770953</v>
      </c>
      <c r="D2185" s="9">
        <f t="shared" si="16"/>
        <v>67.71755640756912</v>
      </c>
      <c r="E2185" s="9"/>
      <c r="F2185" s="9">
        <f ca="1">IFERROR(__xludf.DUMMYFUNCTION("""COMPUTED_VALUE"""),43122)</f>
        <v>43122</v>
      </c>
      <c r="G2185" s="9" t="str">
        <f ca="1">IFERROR(__xludf.DUMMYFUNCTION("""COMPUTED_VALUE"""),"1 USD = 110.7465 PKR")</f>
        <v>1 USD = 110.7465 PKR</v>
      </c>
      <c r="H2185" s="9" t="str">
        <f ca="1">IFERROR(__xludf.DUMMYFUNCTION("""COMPUTED_VALUE"""),"USD PKR rate for 22/01/2018")</f>
        <v>USD PKR rate for 22/01/2018</v>
      </c>
      <c r="I2185" s="9"/>
    </row>
    <row r="2186" spans="1:9" ht="14.25" customHeight="1" x14ac:dyDescent="0.3">
      <c r="A2186" s="6">
        <v>41903</v>
      </c>
      <c r="B2186" s="7">
        <v>102.78690000000002</v>
      </c>
      <c r="C2186" s="8">
        <f t="shared" si="17"/>
        <v>116.73725222479396</v>
      </c>
      <c r="D2186" s="9">
        <f t="shared" si="16"/>
        <v>67.720294240366385</v>
      </c>
      <c r="E2186" s="9"/>
      <c r="F2186" s="9">
        <f ca="1">IFERROR(__xludf.DUMMYFUNCTION("""COMPUTED_VALUE"""),43121)</f>
        <v>43121</v>
      </c>
      <c r="G2186" s="9" t="str">
        <f ca="1">IFERROR(__xludf.DUMMYFUNCTION("""COMPUTED_VALUE"""),"1 USD = 111.0652 PKR")</f>
        <v>1 USD = 111.0652 PKR</v>
      </c>
      <c r="H2186" s="9" t="str">
        <f ca="1">IFERROR(__xludf.DUMMYFUNCTION("""COMPUTED_VALUE"""),"USD PKR rate for 21/01/2018")</f>
        <v>USD PKR rate for 21/01/2018</v>
      </c>
      <c r="I2186" s="9"/>
    </row>
    <row r="2187" spans="1:9" ht="14.25" customHeight="1" x14ac:dyDescent="0.3">
      <c r="A2187" s="6">
        <v>41904</v>
      </c>
      <c r="B2187" s="7">
        <v>102.76139999999999</v>
      </c>
      <c r="C2187" s="8">
        <f t="shared" si="17"/>
        <v>116.75813065531315</v>
      </c>
      <c r="D2187" s="9">
        <f t="shared" si="16"/>
        <v>67.723032073163651</v>
      </c>
      <c r="E2187" s="9"/>
      <c r="F2187" s="9">
        <f ca="1">IFERROR(__xludf.DUMMYFUNCTION("""COMPUTED_VALUE"""),43120)</f>
        <v>43120</v>
      </c>
      <c r="G2187" s="9" t="str">
        <f ca="1">IFERROR(__xludf.DUMMYFUNCTION("""COMPUTED_VALUE"""),"1 USD = 110.5501 PKR")</f>
        <v>1 USD = 110.5501 PKR</v>
      </c>
      <c r="H2187" s="9" t="str">
        <f ca="1">IFERROR(__xludf.DUMMYFUNCTION("""COMPUTED_VALUE"""),"USD PKR rate for 20/01/2018")</f>
        <v>USD PKR rate for 20/01/2018</v>
      </c>
      <c r="I2187" s="9"/>
    </row>
    <row r="2188" spans="1:9" ht="14.25" customHeight="1" x14ac:dyDescent="0.3">
      <c r="A2188" s="6">
        <v>41905</v>
      </c>
      <c r="B2188" s="7">
        <v>102.801</v>
      </c>
      <c r="C2188" s="8">
        <f t="shared" si="17"/>
        <v>116.77901281993479</v>
      </c>
      <c r="D2188" s="9">
        <f t="shared" si="16"/>
        <v>67.725769905960917</v>
      </c>
      <c r="E2188" s="9"/>
      <c r="F2188" s="9">
        <f ca="1">IFERROR(__xludf.DUMMYFUNCTION("""COMPUTED_VALUE"""),43119)</f>
        <v>43119</v>
      </c>
      <c r="G2188" s="9" t="str">
        <f ca="1">IFERROR(__xludf.DUMMYFUNCTION("""COMPUTED_VALUE"""),"1 USD = 110.5501 PKR")</f>
        <v>1 USD = 110.5501 PKR</v>
      </c>
      <c r="H2188" s="9" t="str">
        <f ca="1">IFERROR(__xludf.DUMMYFUNCTION("""COMPUTED_VALUE"""),"USD PKR rate for 19/01/2018")</f>
        <v>USD PKR rate for 19/01/2018</v>
      </c>
      <c r="I2188" s="9"/>
    </row>
    <row r="2189" spans="1:9" ht="14.25" customHeight="1" x14ac:dyDescent="0.3">
      <c r="A2189" s="6">
        <v>41906</v>
      </c>
      <c r="B2189" s="7">
        <v>102.953</v>
      </c>
      <c r="C2189" s="8">
        <f t="shared" si="17"/>
        <v>116.79989871932673</v>
      </c>
      <c r="D2189" s="9">
        <f t="shared" si="16"/>
        <v>67.728507738758182</v>
      </c>
      <c r="E2189" s="9"/>
      <c r="F2189" s="9">
        <f ca="1">IFERROR(__xludf.DUMMYFUNCTION("""COMPUTED_VALUE"""),43118)</f>
        <v>43118</v>
      </c>
      <c r="G2189" s="9" t="str">
        <f ca="1">IFERROR(__xludf.DUMMYFUNCTION("""COMPUTED_VALUE"""),"1 USD = 110.7156 PKR")</f>
        <v>1 USD = 110.7156 PKR</v>
      </c>
      <c r="H2189" s="9" t="str">
        <f ca="1">IFERROR(__xludf.DUMMYFUNCTION("""COMPUTED_VALUE"""),"USD PKR rate for 18/01/2018")</f>
        <v>USD PKR rate for 18/01/2018</v>
      </c>
      <c r="I2189" s="9"/>
    </row>
    <row r="2190" spans="1:9" ht="14.25" customHeight="1" x14ac:dyDescent="0.3">
      <c r="A2190" s="6">
        <v>41907</v>
      </c>
      <c r="B2190" s="7">
        <v>102.62950000000001</v>
      </c>
      <c r="C2190" s="8">
        <f t="shared" si="17"/>
        <v>116.82078835415693</v>
      </c>
      <c r="D2190" s="9">
        <f t="shared" si="16"/>
        <v>67.731245571555448</v>
      </c>
      <c r="E2190" s="9"/>
      <c r="F2190" s="9">
        <f ca="1">IFERROR(__xludf.DUMMYFUNCTION("""COMPUTED_VALUE"""),43117)</f>
        <v>43117</v>
      </c>
      <c r="G2190" s="9" t="str">
        <f ca="1">IFERROR(__xludf.DUMMYFUNCTION("""COMPUTED_VALUE"""),"1 USD = 110.9433 PKR")</f>
        <v>1 USD = 110.9433 PKR</v>
      </c>
      <c r="H2190" s="9" t="str">
        <f ca="1">IFERROR(__xludf.DUMMYFUNCTION("""COMPUTED_VALUE"""),"USD PKR rate for 17/01/2018")</f>
        <v>USD PKR rate for 17/01/2018</v>
      </c>
      <c r="I2190" s="9"/>
    </row>
    <row r="2191" spans="1:9" ht="14.25" customHeight="1" x14ac:dyDescent="0.3">
      <c r="A2191" s="6">
        <v>41908</v>
      </c>
      <c r="B2191" s="7">
        <v>102.9002</v>
      </c>
      <c r="C2191" s="8">
        <f t="shared" si="17"/>
        <v>116.84168172509351</v>
      </c>
      <c r="D2191" s="9">
        <f t="shared" si="16"/>
        <v>67.733983404352713</v>
      </c>
      <c r="E2191" s="9"/>
      <c r="F2191" s="9">
        <f ca="1">IFERROR(__xludf.DUMMYFUNCTION("""COMPUTED_VALUE"""),43116)</f>
        <v>43116</v>
      </c>
      <c r="G2191" s="9" t="str">
        <f ca="1">IFERROR(__xludf.DUMMYFUNCTION("""COMPUTED_VALUE"""),"1 USD = 110.3322 PKR")</f>
        <v>1 USD = 110.3322 PKR</v>
      </c>
      <c r="H2191" s="9" t="str">
        <f ca="1">IFERROR(__xludf.DUMMYFUNCTION("""COMPUTED_VALUE"""),"USD PKR rate for 16/01/2018")</f>
        <v>USD PKR rate for 16/01/2018</v>
      </c>
      <c r="I2191" s="9"/>
    </row>
    <row r="2192" spans="1:9" ht="14.25" customHeight="1" x14ac:dyDescent="0.3">
      <c r="A2192" s="6">
        <v>41909</v>
      </c>
      <c r="B2192" s="7">
        <v>102.80970000000002</v>
      </c>
      <c r="C2192" s="8">
        <f t="shared" si="17"/>
        <v>116.8625788328046</v>
      </c>
      <c r="D2192" s="9">
        <f t="shared" si="16"/>
        <v>67.736721237149979</v>
      </c>
      <c r="E2192" s="9"/>
      <c r="F2192" s="9">
        <f ca="1">IFERROR(__xludf.DUMMYFUNCTION("""COMPUTED_VALUE"""),43115)</f>
        <v>43115</v>
      </c>
      <c r="G2192" s="9" t="str">
        <f ca="1">IFERROR(__xludf.DUMMYFUNCTION("""COMPUTED_VALUE"""),"1 USD = 110.6781 PKR")</f>
        <v>1 USD = 110.6781 PKR</v>
      </c>
      <c r="H2192" s="9" t="str">
        <f ca="1">IFERROR(__xludf.DUMMYFUNCTION("""COMPUTED_VALUE"""),"USD PKR rate for 15/01/2018")</f>
        <v>USD PKR rate for 15/01/2018</v>
      </c>
      <c r="I2192" s="9"/>
    </row>
    <row r="2193" spans="1:9" ht="14.25" customHeight="1" x14ac:dyDescent="0.3">
      <c r="A2193" s="6">
        <v>41910</v>
      </c>
      <c r="B2193" s="7">
        <v>103.1035</v>
      </c>
      <c r="C2193" s="8">
        <f t="shared" si="17"/>
        <v>116.8834796779585</v>
      </c>
      <c r="D2193" s="9">
        <f t="shared" si="16"/>
        <v>67.739459069947245</v>
      </c>
      <c r="E2193" s="9"/>
      <c r="F2193" s="9">
        <f ca="1">IFERROR(__xludf.DUMMYFUNCTION("""COMPUTED_VALUE"""),43114)</f>
        <v>43114</v>
      </c>
      <c r="G2193" s="9" t="str">
        <f ca="1">IFERROR(__xludf.DUMMYFUNCTION("""COMPUTED_VALUE"""),"1 USD = 110.1326 PKR")</f>
        <v>1 USD = 110.1326 PKR</v>
      </c>
      <c r="H2193" s="9" t="str">
        <f ca="1">IFERROR(__xludf.DUMMYFUNCTION("""COMPUTED_VALUE"""),"USD PKR rate for 14/01/2018")</f>
        <v>USD PKR rate for 14/01/2018</v>
      </c>
      <c r="I2193" s="9"/>
    </row>
    <row r="2194" spans="1:9" ht="14.25" customHeight="1" x14ac:dyDescent="0.3">
      <c r="A2194" s="6">
        <v>41911</v>
      </c>
      <c r="B2194" s="7">
        <v>102.78830000000001</v>
      </c>
      <c r="C2194" s="8">
        <f t="shared" si="17"/>
        <v>116.9043842612238</v>
      </c>
      <c r="D2194" s="9">
        <f t="shared" si="16"/>
        <v>67.74219690274451</v>
      </c>
      <c r="E2194" s="9"/>
      <c r="F2194" s="9">
        <f ca="1">IFERROR(__xludf.DUMMYFUNCTION("""COMPUTED_VALUE"""),43113)</f>
        <v>43113</v>
      </c>
      <c r="G2194" s="9" t="str">
        <f ca="1">IFERROR(__xludf.DUMMYFUNCTION("""COMPUTED_VALUE"""),"1 USD = 110.5457 PKR")</f>
        <v>1 USD = 110.5457 PKR</v>
      </c>
      <c r="H2194" s="9" t="str">
        <f ca="1">IFERROR(__xludf.DUMMYFUNCTION("""COMPUTED_VALUE"""),"USD PKR rate for 13/01/2018")</f>
        <v>USD PKR rate for 13/01/2018</v>
      </c>
      <c r="I2194" s="9"/>
    </row>
    <row r="2195" spans="1:9" ht="14.25" customHeight="1" x14ac:dyDescent="0.3">
      <c r="A2195" s="6">
        <v>41912</v>
      </c>
      <c r="B2195" s="7">
        <v>102.55410000000001</v>
      </c>
      <c r="C2195" s="8">
        <f t="shared" si="17"/>
        <v>116.92529258326898</v>
      </c>
      <c r="D2195" s="9">
        <f t="shared" si="16"/>
        <v>67.744934735541776</v>
      </c>
      <c r="E2195" s="9"/>
      <c r="F2195" s="9">
        <f ca="1">IFERROR(__xludf.DUMMYFUNCTION("""COMPUTED_VALUE"""),43112)</f>
        <v>43112</v>
      </c>
      <c r="G2195" s="9" t="str">
        <f ca="1">IFERROR(__xludf.DUMMYFUNCTION("""COMPUTED_VALUE"""),"1 USD = 110.5481 PKR")</f>
        <v>1 USD = 110.5481 PKR</v>
      </c>
      <c r="H2195" s="9" t="str">
        <f ca="1">IFERROR(__xludf.DUMMYFUNCTION("""COMPUTED_VALUE"""),"USD PKR rate for 12/01/2018")</f>
        <v>USD PKR rate for 12/01/2018</v>
      </c>
      <c r="I2195" s="9"/>
    </row>
    <row r="2196" spans="1:9" ht="14.25" customHeight="1" x14ac:dyDescent="0.3">
      <c r="A2196" s="6">
        <v>41913</v>
      </c>
      <c r="B2196" s="7">
        <v>102.4969</v>
      </c>
      <c r="C2196" s="8">
        <f t="shared" si="17"/>
        <v>116.94620464476269</v>
      </c>
      <c r="D2196" s="9">
        <f t="shared" si="16"/>
        <v>67.747672568339041</v>
      </c>
      <c r="E2196" s="9"/>
      <c r="F2196" s="9">
        <f ca="1">IFERROR(__xludf.DUMMYFUNCTION("""COMPUTED_VALUE"""),43111)</f>
        <v>43111</v>
      </c>
      <c r="G2196" s="9" t="str">
        <f ca="1">IFERROR(__xludf.DUMMYFUNCTION("""COMPUTED_VALUE"""),"1 USD = 110.729 PKR")</f>
        <v>1 USD = 110.729 PKR</v>
      </c>
      <c r="H2196" s="9" t="str">
        <f ca="1">IFERROR(__xludf.DUMMYFUNCTION("""COMPUTED_VALUE"""),"USD PKR rate for 11/01/2018")</f>
        <v>USD PKR rate for 11/01/2018</v>
      </c>
      <c r="I2196" s="9"/>
    </row>
    <row r="2197" spans="1:9" ht="14.25" customHeight="1" x14ac:dyDescent="0.3">
      <c r="A2197" s="6">
        <v>41914</v>
      </c>
      <c r="B2197" s="7">
        <v>102.57940000000001</v>
      </c>
      <c r="C2197" s="8">
        <f t="shared" si="17"/>
        <v>116.96712044637377</v>
      </c>
      <c r="D2197" s="9">
        <f t="shared" si="16"/>
        <v>67.750410401136307</v>
      </c>
      <c r="E2197" s="9"/>
      <c r="F2197" s="9">
        <f ca="1">IFERROR(__xludf.DUMMYFUNCTION("""COMPUTED_VALUE"""),43110)</f>
        <v>43110</v>
      </c>
      <c r="G2197" s="9" t="str">
        <f ca="1">IFERROR(__xludf.DUMMYFUNCTION("""COMPUTED_VALUE"""),"1 USD = 110.6466 PKR")</f>
        <v>1 USD = 110.6466 PKR</v>
      </c>
      <c r="H2197" s="9" t="str">
        <f ca="1">IFERROR(__xludf.DUMMYFUNCTION("""COMPUTED_VALUE"""),"USD PKR rate for 10/01/2018")</f>
        <v>USD PKR rate for 10/01/2018</v>
      </c>
      <c r="I2197" s="9"/>
    </row>
    <row r="2198" spans="1:9" ht="14.25" customHeight="1" x14ac:dyDescent="0.3">
      <c r="A2198" s="6">
        <v>41915</v>
      </c>
      <c r="B2198" s="7">
        <v>102.4838</v>
      </c>
      <c r="C2198" s="8">
        <f t="shared" si="17"/>
        <v>116.98803998877113</v>
      </c>
      <c r="D2198" s="9">
        <f t="shared" si="16"/>
        <v>67.753148233933572</v>
      </c>
      <c r="E2198" s="9"/>
      <c r="F2198" s="9">
        <f ca="1">IFERROR(__xludf.DUMMYFUNCTION("""COMPUTED_VALUE"""),43109)</f>
        <v>43109</v>
      </c>
      <c r="G2198" s="9" t="str">
        <f ca="1">IFERROR(__xludf.DUMMYFUNCTION("""COMPUTED_VALUE"""),"1 USD = 110.6535 PKR")</f>
        <v>1 USD = 110.6535 PKR</v>
      </c>
      <c r="H2198" s="9" t="str">
        <f ca="1">IFERROR(__xludf.DUMMYFUNCTION("""COMPUTED_VALUE"""),"USD PKR rate for 09/01/2018")</f>
        <v>USD PKR rate for 09/01/2018</v>
      </c>
      <c r="I2198" s="9"/>
    </row>
    <row r="2199" spans="1:9" ht="14.25" customHeight="1" x14ac:dyDescent="0.3">
      <c r="A2199" s="6">
        <v>41916</v>
      </c>
      <c r="B2199" s="7">
        <v>102.503</v>
      </c>
      <c r="C2199" s="8">
        <f t="shared" si="17"/>
        <v>117.0089632726238</v>
      </c>
      <c r="D2199" s="9">
        <f t="shared" si="16"/>
        <v>67.755886066730838</v>
      </c>
      <c r="E2199" s="9"/>
      <c r="F2199" s="9">
        <f ca="1">IFERROR(__xludf.DUMMYFUNCTION("""COMPUTED_VALUE"""),43108)</f>
        <v>43108</v>
      </c>
      <c r="G2199" s="9" t="str">
        <f ca="1">IFERROR(__xludf.DUMMYFUNCTION("""COMPUTED_VALUE"""),"1 USD = 110.8801 PKR")</f>
        <v>1 USD = 110.8801 PKR</v>
      </c>
      <c r="H2199" s="9" t="str">
        <f ca="1">IFERROR(__xludf.DUMMYFUNCTION("""COMPUTED_VALUE"""),"USD PKR rate for 08/01/2018")</f>
        <v>USD PKR rate for 08/01/2018</v>
      </c>
      <c r="I2199" s="9"/>
    </row>
    <row r="2200" spans="1:9" ht="14.25" customHeight="1" x14ac:dyDescent="0.3">
      <c r="A2200" s="6">
        <v>41917</v>
      </c>
      <c r="B2200" s="7">
        <v>103.0484</v>
      </c>
      <c r="C2200" s="8">
        <f t="shared" si="17"/>
        <v>117.02989029860095</v>
      </c>
      <c r="D2200" s="9">
        <f t="shared" si="16"/>
        <v>67.758623899528104</v>
      </c>
      <c r="E2200" s="9"/>
      <c r="F2200" s="9">
        <f ca="1">IFERROR(__xludf.DUMMYFUNCTION("""COMPUTED_VALUE"""),43107)</f>
        <v>43107</v>
      </c>
      <c r="G2200" s="9" t="str">
        <f ca="1">IFERROR(__xludf.DUMMYFUNCTION("""COMPUTED_VALUE"""),"1 USD = 110.8734 PKR")</f>
        <v>1 USD = 110.8734 PKR</v>
      </c>
      <c r="H2200" s="9" t="str">
        <f ca="1">IFERROR(__xludf.DUMMYFUNCTION("""COMPUTED_VALUE"""),"USD PKR rate for 07/01/2018")</f>
        <v>USD PKR rate for 07/01/2018</v>
      </c>
      <c r="I2200" s="9"/>
    </row>
    <row r="2201" spans="1:9" ht="14.25" customHeight="1" x14ac:dyDescent="0.3">
      <c r="A2201" s="6">
        <v>41918</v>
      </c>
      <c r="B2201" s="7">
        <v>102.3018</v>
      </c>
      <c r="C2201" s="8">
        <f t="shared" si="17"/>
        <v>117.05082106737183</v>
      </c>
      <c r="D2201" s="9">
        <f t="shared" si="16"/>
        <v>67.761361732325369</v>
      </c>
      <c r="E2201" s="9"/>
      <c r="F2201" s="9">
        <f ca="1">IFERROR(__xludf.DUMMYFUNCTION("""COMPUTED_VALUE"""),43106)</f>
        <v>43106</v>
      </c>
      <c r="G2201" s="9" t="str">
        <f ca="1">IFERROR(__xludf.DUMMYFUNCTION("""COMPUTED_VALUE"""),"1 USD = 110.9503 PKR")</f>
        <v>1 USD = 110.9503 PKR</v>
      </c>
      <c r="H2201" s="9" t="str">
        <f ca="1">IFERROR(__xludf.DUMMYFUNCTION("""COMPUTED_VALUE"""),"USD PKR rate for 06/01/2018")</f>
        <v>USD PKR rate for 06/01/2018</v>
      </c>
      <c r="I2201" s="9"/>
    </row>
    <row r="2202" spans="1:9" ht="14.25" customHeight="1" x14ac:dyDescent="0.3">
      <c r="A2202" s="6">
        <v>41919</v>
      </c>
      <c r="B2202" s="7">
        <v>102.35600000000001</v>
      </c>
      <c r="C2202" s="8">
        <f t="shared" si="17"/>
        <v>117.07175557960586</v>
      </c>
      <c r="D2202" s="9">
        <f t="shared" si="16"/>
        <v>67.764099565122635</v>
      </c>
      <c r="E2202" s="9"/>
      <c r="F2202" s="9">
        <f ca="1">IFERROR(__xludf.DUMMYFUNCTION("""COMPUTED_VALUE"""),43105)</f>
        <v>43105</v>
      </c>
      <c r="G2202" s="9" t="str">
        <f ca="1">IFERROR(__xludf.DUMMYFUNCTION("""COMPUTED_VALUE"""),"1 USD = 110.9503 PKR")</f>
        <v>1 USD = 110.9503 PKR</v>
      </c>
      <c r="H2202" s="9" t="str">
        <f ca="1">IFERROR(__xludf.DUMMYFUNCTION("""COMPUTED_VALUE"""),"USD PKR rate for 05/01/2018")</f>
        <v>USD PKR rate for 05/01/2018</v>
      </c>
      <c r="I2202" s="9"/>
    </row>
    <row r="2203" spans="1:9" ht="14.25" customHeight="1" x14ac:dyDescent="0.3">
      <c r="A2203" s="6">
        <v>41920</v>
      </c>
      <c r="B2203" s="7">
        <v>102.3207</v>
      </c>
      <c r="C2203" s="8">
        <f t="shared" si="17"/>
        <v>117.09269383597247</v>
      </c>
      <c r="D2203" s="9">
        <f t="shared" si="16"/>
        <v>67.7668373979199</v>
      </c>
      <c r="E2203" s="9"/>
      <c r="F2203" s="9">
        <f ca="1">IFERROR(__xludf.DUMMYFUNCTION("""COMPUTED_VALUE"""),43104)</f>
        <v>43104</v>
      </c>
      <c r="G2203" s="9" t="str">
        <f ca="1">IFERROR(__xludf.DUMMYFUNCTION("""COMPUTED_VALUE"""),"1 USD = 110.6448 PKR")</f>
        <v>1 USD = 110.6448 PKR</v>
      </c>
      <c r="H2203" s="9" t="str">
        <f ca="1">IFERROR(__xludf.DUMMYFUNCTION("""COMPUTED_VALUE"""),"USD PKR rate for 04/01/2018")</f>
        <v>USD PKR rate for 04/01/2018</v>
      </c>
      <c r="I2203" s="9"/>
    </row>
    <row r="2204" spans="1:9" ht="14.25" customHeight="1" x14ac:dyDescent="0.3">
      <c r="A2204" s="6">
        <v>41921</v>
      </c>
      <c r="B2204" s="7">
        <v>102.77970000000002</v>
      </c>
      <c r="C2204" s="8">
        <f t="shared" si="17"/>
        <v>117.11363583714146</v>
      </c>
      <c r="D2204" s="9">
        <f t="shared" si="16"/>
        <v>67.769575230717166</v>
      </c>
      <c r="E2204" s="9"/>
      <c r="F2204" s="9">
        <f ca="1">IFERROR(__xludf.DUMMYFUNCTION("""COMPUTED_VALUE"""),43103)</f>
        <v>43103</v>
      </c>
      <c r="G2204" s="9" t="str">
        <f ca="1">IFERROR(__xludf.DUMMYFUNCTION("""COMPUTED_VALUE"""),"1 USD = 110.7481 PKR")</f>
        <v>1 USD = 110.7481 PKR</v>
      </c>
      <c r="H2204" s="9" t="str">
        <f ca="1">IFERROR(__xludf.DUMMYFUNCTION("""COMPUTED_VALUE"""),"USD PKR rate for 03/01/2018")</f>
        <v>USD PKR rate for 03/01/2018</v>
      </c>
      <c r="I2204" s="9"/>
    </row>
    <row r="2205" spans="1:9" ht="14.25" customHeight="1" x14ac:dyDescent="0.3">
      <c r="A2205" s="6">
        <v>41922</v>
      </c>
      <c r="B2205" s="7">
        <v>102.7739</v>
      </c>
      <c r="C2205" s="8">
        <f t="shared" si="17"/>
        <v>117.13458158378251</v>
      </c>
      <c r="D2205" s="9">
        <f t="shared" si="16"/>
        <v>67.772313063514432</v>
      </c>
      <c r="E2205" s="9"/>
      <c r="F2205" s="9">
        <f ca="1">IFERROR(__xludf.DUMMYFUNCTION("""COMPUTED_VALUE"""),43102)</f>
        <v>43102</v>
      </c>
      <c r="G2205" s="9" t="str">
        <f ca="1">IFERROR(__xludf.DUMMYFUNCTION("""COMPUTED_VALUE"""),"1 USD = 110.7458 PKR")</f>
        <v>1 USD = 110.7458 PKR</v>
      </c>
      <c r="H2205" s="9" t="str">
        <f ca="1">IFERROR(__xludf.DUMMYFUNCTION("""COMPUTED_VALUE"""),"USD PKR rate for 02/01/2018")</f>
        <v>USD PKR rate for 02/01/2018</v>
      </c>
      <c r="I2205" s="9"/>
    </row>
    <row r="2206" spans="1:9" ht="14.25" customHeight="1" x14ac:dyDescent="0.3">
      <c r="A2206" s="6">
        <v>41923</v>
      </c>
      <c r="B2206" s="7">
        <v>102.90710000000001</v>
      </c>
      <c r="C2206" s="8">
        <f t="shared" si="17"/>
        <v>117.15553107656551</v>
      </c>
      <c r="D2206" s="9">
        <f t="shared" si="16"/>
        <v>67.775050896311697</v>
      </c>
      <c r="E2206" s="9"/>
      <c r="F2206" s="9">
        <f ca="1">IFERROR(__xludf.DUMMYFUNCTION("""COMPUTED_VALUE"""),43101)</f>
        <v>43101</v>
      </c>
      <c r="G2206" s="9" t="str">
        <f ca="1">IFERROR(__xludf.DUMMYFUNCTION("""COMPUTED_VALUE"""),"1 USD = 110.4126 PKR")</f>
        <v>1 USD = 110.4126 PKR</v>
      </c>
      <c r="H2206" s="9" t="str">
        <f ca="1">IFERROR(__xludf.DUMMYFUNCTION("""COMPUTED_VALUE"""),"USD PKR rate for 01/01/2018")</f>
        <v>USD PKR rate for 01/01/2018</v>
      </c>
      <c r="I2206" s="9"/>
    </row>
    <row r="2207" spans="1:9" ht="14.25" customHeight="1" x14ac:dyDescent="0.3">
      <c r="A2207" s="6">
        <v>41924</v>
      </c>
      <c r="B2207" s="7">
        <v>102.96429999999999</v>
      </c>
      <c r="C2207" s="8">
        <f t="shared" si="17"/>
        <v>117.17648431616044</v>
      </c>
      <c r="D2207" s="9">
        <f t="shared" si="16"/>
        <v>67.777788729108963</v>
      </c>
      <c r="E2207" s="9"/>
      <c r="F2207" s="9">
        <f ca="1">IFERROR(__xludf.DUMMYFUNCTION("""COMPUTED_VALUE"""),43100)</f>
        <v>43100</v>
      </c>
      <c r="G2207" s="9" t="str">
        <f ca="1">IFERROR(__xludf.DUMMYFUNCTION("""COMPUTED_VALUE"""),"1 USD = 110.5561 PKR")</f>
        <v>1 USD = 110.5561 PKR</v>
      </c>
      <c r="H2207" s="9" t="str">
        <f ca="1">IFERROR(__xludf.DUMMYFUNCTION("""COMPUTED_VALUE"""),"USD PKR rate for 31/12/2017")</f>
        <v>USD PKR rate for 31/12/2017</v>
      </c>
      <c r="I2207" s="9"/>
    </row>
    <row r="2208" spans="1:9" ht="14.25" customHeight="1" x14ac:dyDescent="0.3">
      <c r="A2208" s="6">
        <v>41925</v>
      </c>
      <c r="B2208" s="7">
        <v>102.6927</v>
      </c>
      <c r="C2208" s="8">
        <f t="shared" si="17"/>
        <v>117.1974413032374</v>
      </c>
      <c r="D2208" s="9">
        <f t="shared" si="16"/>
        <v>67.780526561906228</v>
      </c>
      <c r="E2208" s="9"/>
      <c r="F2208" s="9">
        <f ca="1">IFERROR(__xludf.DUMMYFUNCTION("""COMPUTED_VALUE"""),43099)</f>
        <v>43099</v>
      </c>
      <c r="G2208" s="9" t="str">
        <f ca="1">IFERROR(__xludf.DUMMYFUNCTION("""COMPUTED_VALUE"""),"1 USD = 110.5228 PKR")</f>
        <v>1 USD = 110.5228 PKR</v>
      </c>
      <c r="H2208" s="9" t="str">
        <f ca="1">IFERROR(__xludf.DUMMYFUNCTION("""COMPUTED_VALUE"""),"USD PKR rate for 30/12/2017")</f>
        <v>USD PKR rate for 30/12/2017</v>
      </c>
      <c r="I2208" s="9"/>
    </row>
    <row r="2209" spans="1:9" ht="14.25" customHeight="1" x14ac:dyDescent="0.3">
      <c r="A2209" s="6">
        <v>41926</v>
      </c>
      <c r="B2209" s="7">
        <v>102.902</v>
      </c>
      <c r="C2209" s="8">
        <f t="shared" si="17"/>
        <v>117.21840203846665</v>
      </c>
      <c r="D2209" s="9">
        <f t="shared" si="16"/>
        <v>67.783264394703494</v>
      </c>
      <c r="E2209" s="9"/>
      <c r="F2209" s="9">
        <f ca="1">IFERROR(__xludf.DUMMYFUNCTION("""COMPUTED_VALUE"""),43098)</f>
        <v>43098</v>
      </c>
      <c r="G2209" s="9" t="str">
        <f ca="1">IFERROR(__xludf.DUMMYFUNCTION("""COMPUTED_VALUE"""),"1 USD = 110.5228 PKR")</f>
        <v>1 USD = 110.5228 PKR</v>
      </c>
      <c r="H2209" s="9" t="str">
        <f ca="1">IFERROR(__xludf.DUMMYFUNCTION("""COMPUTED_VALUE"""),"USD PKR rate for 29/12/2017")</f>
        <v>USD PKR rate for 29/12/2017</v>
      </c>
      <c r="I2209" s="9"/>
    </row>
    <row r="2210" spans="1:9" ht="14.25" customHeight="1" x14ac:dyDescent="0.3">
      <c r="A2210" s="6">
        <v>41927</v>
      </c>
      <c r="B2210" s="7">
        <v>102.2847</v>
      </c>
      <c r="C2210" s="8">
        <f t="shared" si="17"/>
        <v>117.23936652251857</v>
      </c>
      <c r="D2210" s="9">
        <f t="shared" si="16"/>
        <v>67.786002227500759</v>
      </c>
      <c r="E2210" s="9"/>
      <c r="F2210" s="9">
        <f ca="1">IFERROR(__xludf.DUMMYFUNCTION("""COMPUTED_VALUE"""),43097)</f>
        <v>43097</v>
      </c>
      <c r="G2210" s="9" t="str">
        <f ca="1">IFERROR(__xludf.DUMMYFUNCTION("""COMPUTED_VALUE"""),"1 USD = 110.6559 PKR")</f>
        <v>1 USD = 110.6559 PKR</v>
      </c>
      <c r="H2210" s="9" t="str">
        <f ca="1">IFERROR(__xludf.DUMMYFUNCTION("""COMPUTED_VALUE"""),"USD PKR rate for 28/12/2017")</f>
        <v>USD PKR rate for 28/12/2017</v>
      </c>
      <c r="I2210" s="9"/>
    </row>
    <row r="2211" spans="1:9" ht="14.25" customHeight="1" x14ac:dyDescent="0.3">
      <c r="A2211" s="6">
        <v>41928</v>
      </c>
      <c r="B2211" s="7">
        <v>102.61669999999999</v>
      </c>
      <c r="C2211" s="8">
        <f t="shared" si="17"/>
        <v>117.26033475606357</v>
      </c>
      <c r="D2211" s="9">
        <f t="shared" si="16"/>
        <v>67.788740060298025</v>
      </c>
      <c r="E2211" s="9"/>
      <c r="F2211" s="9">
        <f ca="1">IFERROR(__xludf.DUMMYFUNCTION("""COMPUTED_VALUE"""),43096)</f>
        <v>43096</v>
      </c>
      <c r="G2211" s="9" t="str">
        <f ca="1">IFERROR(__xludf.DUMMYFUNCTION("""COMPUTED_VALUE"""),"1 USD = 110.6505 PKR")</f>
        <v>1 USD = 110.6505 PKR</v>
      </c>
      <c r="H2211" s="9" t="str">
        <f ca="1">IFERROR(__xludf.DUMMYFUNCTION("""COMPUTED_VALUE"""),"USD PKR rate for 27/12/2017")</f>
        <v>USD PKR rate for 27/12/2017</v>
      </c>
      <c r="I2211" s="9"/>
    </row>
    <row r="2212" spans="1:9" ht="14.25" customHeight="1" x14ac:dyDescent="0.3">
      <c r="A2212" s="6">
        <v>41929</v>
      </c>
      <c r="B2212" s="7">
        <v>102.6891</v>
      </c>
      <c r="C2212" s="8">
        <f t="shared" si="17"/>
        <v>117.28130673977218</v>
      </c>
      <c r="D2212" s="9">
        <f t="shared" si="16"/>
        <v>67.791477893095291</v>
      </c>
      <c r="E2212" s="9"/>
      <c r="F2212" s="9">
        <f ca="1">IFERROR(__xludf.DUMMYFUNCTION("""COMPUTED_VALUE"""),43095)</f>
        <v>43095</v>
      </c>
      <c r="G2212" s="9" t="str">
        <f ca="1">IFERROR(__xludf.DUMMYFUNCTION("""COMPUTED_VALUE"""),"1 USD = 110.64 PKR")</f>
        <v>1 USD = 110.64 PKR</v>
      </c>
      <c r="H2212" s="9" t="str">
        <f ca="1">IFERROR(__xludf.DUMMYFUNCTION("""COMPUTED_VALUE"""),"USD PKR rate for 26/12/2017")</f>
        <v>USD PKR rate for 26/12/2017</v>
      </c>
      <c r="I2212" s="9"/>
    </row>
    <row r="2213" spans="1:9" ht="14.25" customHeight="1" x14ac:dyDescent="0.3">
      <c r="A2213" s="6">
        <v>41930</v>
      </c>
      <c r="B2213" s="7">
        <v>102.79950000000001</v>
      </c>
      <c r="C2213" s="8">
        <f t="shared" si="17"/>
        <v>117.30228247431535</v>
      </c>
      <c r="D2213" s="9">
        <f t="shared" si="16"/>
        <v>67.794215725892556</v>
      </c>
      <c r="E2213" s="9"/>
      <c r="F2213" s="9">
        <f ca="1">IFERROR(__xludf.DUMMYFUNCTION("""COMPUTED_VALUE"""),43094)</f>
        <v>43094</v>
      </c>
      <c r="G2213" s="9" t="str">
        <f ca="1">IFERROR(__xludf.DUMMYFUNCTION("""COMPUTED_VALUE"""),"1 USD = 110.5092 PKR")</f>
        <v>1 USD = 110.5092 PKR</v>
      </c>
      <c r="H2213" s="9" t="str">
        <f ca="1">IFERROR(__xludf.DUMMYFUNCTION("""COMPUTED_VALUE"""),"USD PKR rate for 25/12/2017")</f>
        <v>USD PKR rate for 25/12/2017</v>
      </c>
      <c r="I2213" s="9"/>
    </row>
    <row r="2214" spans="1:9" ht="14.25" customHeight="1" x14ac:dyDescent="0.3">
      <c r="A2214" s="6">
        <v>41931</v>
      </c>
      <c r="B2214" s="7">
        <v>102.8732</v>
      </c>
      <c r="C2214" s="8">
        <f t="shared" si="17"/>
        <v>117.32326196036377</v>
      </c>
      <c r="D2214" s="9">
        <f t="shared" si="16"/>
        <v>67.796953558689822</v>
      </c>
      <c r="E2214" s="9"/>
      <c r="F2214" s="9">
        <f ca="1">IFERROR(__xludf.DUMMYFUNCTION("""COMPUTED_VALUE"""),43093)</f>
        <v>43093</v>
      </c>
      <c r="G2214" s="9" t="str">
        <f ca="1">IFERROR(__xludf.DUMMYFUNCTION("""COMPUTED_VALUE"""),"1 USD = 110.5945 PKR")</f>
        <v>1 USD = 110.5945 PKR</v>
      </c>
      <c r="H2214" s="9" t="str">
        <f ca="1">IFERROR(__xludf.DUMMYFUNCTION("""COMPUTED_VALUE"""),"USD PKR rate for 24/12/2017")</f>
        <v>USD PKR rate for 24/12/2017</v>
      </c>
      <c r="I2214" s="9"/>
    </row>
    <row r="2215" spans="1:9" ht="14.25" customHeight="1" x14ac:dyDescent="0.3">
      <c r="A2215" s="6">
        <v>41932</v>
      </c>
      <c r="B2215" s="7">
        <v>102.877</v>
      </c>
      <c r="C2215" s="8">
        <f t="shared" si="17"/>
        <v>117.34424519858838</v>
      </c>
      <c r="D2215" s="9">
        <f t="shared" si="16"/>
        <v>67.799691391487087</v>
      </c>
      <c r="E2215" s="9"/>
      <c r="F2215" s="9">
        <f ca="1">IFERROR(__xludf.DUMMYFUNCTION("""COMPUTED_VALUE"""),43092)</f>
        <v>43092</v>
      </c>
      <c r="G2215" s="9" t="str">
        <f ca="1">IFERROR(__xludf.DUMMYFUNCTION("""COMPUTED_VALUE"""),"1 USD = 110.6 PKR")</f>
        <v>1 USD = 110.6 PKR</v>
      </c>
      <c r="H2215" s="9" t="str">
        <f ca="1">IFERROR(__xludf.DUMMYFUNCTION("""COMPUTED_VALUE"""),"USD PKR rate for 23/12/2017")</f>
        <v>USD PKR rate for 23/12/2017</v>
      </c>
      <c r="I2215" s="9"/>
    </row>
    <row r="2216" spans="1:9" ht="14.25" customHeight="1" x14ac:dyDescent="0.3">
      <c r="A2216" s="6">
        <v>41933</v>
      </c>
      <c r="B2216" s="7">
        <v>103.07559999999999</v>
      </c>
      <c r="C2216" s="8">
        <f t="shared" si="17"/>
        <v>117.36523218966032</v>
      </c>
      <c r="D2216" s="9">
        <f t="shared" si="16"/>
        <v>67.802429224284353</v>
      </c>
      <c r="E2216" s="9"/>
      <c r="F2216" s="9">
        <f ca="1">IFERROR(__xludf.DUMMYFUNCTION("""COMPUTED_VALUE"""),43091)</f>
        <v>43091</v>
      </c>
      <c r="G2216" s="9" t="str">
        <f ca="1">IFERROR(__xludf.DUMMYFUNCTION("""COMPUTED_VALUE"""),"1 USD = 110.5999 PKR")</f>
        <v>1 USD = 110.5999 PKR</v>
      </c>
      <c r="H2216" s="9" t="str">
        <f ca="1">IFERROR(__xludf.DUMMYFUNCTION("""COMPUTED_VALUE"""),"USD PKR rate for 22/12/2017")</f>
        <v>USD PKR rate for 22/12/2017</v>
      </c>
      <c r="I2216" s="9"/>
    </row>
    <row r="2217" spans="1:9" ht="14.25" customHeight="1" x14ac:dyDescent="0.3">
      <c r="A2217" s="6">
        <v>41934</v>
      </c>
      <c r="B2217" s="7">
        <v>102.8922</v>
      </c>
      <c r="C2217" s="8">
        <f t="shared" si="17"/>
        <v>117.38622293425075</v>
      </c>
      <c r="D2217" s="9">
        <f t="shared" si="16"/>
        <v>67.805167057081619</v>
      </c>
      <c r="E2217" s="9"/>
      <c r="F2217" s="9">
        <f ca="1">IFERROR(__xludf.DUMMYFUNCTION("""COMPUTED_VALUE"""),43090)</f>
        <v>43090</v>
      </c>
      <c r="G2217" s="9" t="str">
        <f ca="1">IFERROR(__xludf.DUMMYFUNCTION("""COMPUTED_VALUE"""),"1 USD = 110.6631 PKR")</f>
        <v>1 USD = 110.6631 PKR</v>
      </c>
      <c r="H2217" s="9" t="str">
        <f ca="1">IFERROR(__xludf.DUMMYFUNCTION("""COMPUTED_VALUE"""),"USD PKR rate for 21/12/2017")</f>
        <v>USD PKR rate for 21/12/2017</v>
      </c>
      <c r="I2217" s="9"/>
    </row>
    <row r="2218" spans="1:9" ht="14.25" customHeight="1" x14ac:dyDescent="0.3">
      <c r="A2218" s="6">
        <v>41935</v>
      </c>
      <c r="B2218" s="7">
        <v>102.98700000000001</v>
      </c>
      <c r="C2218" s="8">
        <f t="shared" si="17"/>
        <v>117.40721743303099</v>
      </c>
      <c r="D2218" s="9">
        <f t="shared" si="16"/>
        <v>67.807904889878884</v>
      </c>
      <c r="E2218" s="9"/>
      <c r="F2218" s="9">
        <f ca="1">IFERROR(__xludf.DUMMYFUNCTION("""COMPUTED_VALUE"""),43089)</f>
        <v>43089</v>
      </c>
      <c r="G2218" s="9" t="str">
        <f ca="1">IFERROR(__xludf.DUMMYFUNCTION("""COMPUTED_VALUE"""),"1 USD = 110.5498 PKR")</f>
        <v>1 USD = 110.5498 PKR</v>
      </c>
      <c r="H2218" s="9" t="str">
        <f ca="1">IFERROR(__xludf.DUMMYFUNCTION("""COMPUTED_VALUE"""),"USD PKR rate for 20/12/2017")</f>
        <v>USD PKR rate for 20/12/2017</v>
      </c>
      <c r="I2218" s="9"/>
    </row>
    <row r="2219" spans="1:9" ht="14.25" customHeight="1" x14ac:dyDescent="0.3">
      <c r="A2219" s="6">
        <v>41936</v>
      </c>
      <c r="B2219" s="7">
        <v>103.0184</v>
      </c>
      <c r="C2219" s="8">
        <f t="shared" si="17"/>
        <v>117.42821568667246</v>
      </c>
      <c r="D2219" s="9">
        <f t="shared" si="16"/>
        <v>67.81064272267615</v>
      </c>
      <c r="E2219" s="9"/>
      <c r="F2219" s="9">
        <f ca="1">IFERROR(__xludf.DUMMYFUNCTION("""COMPUTED_VALUE"""),43088)</f>
        <v>43088</v>
      </c>
      <c r="G2219" s="9" t="str">
        <f ca="1">IFERROR(__xludf.DUMMYFUNCTION("""COMPUTED_VALUE"""),"1 USD = 110.3239 PKR")</f>
        <v>1 USD = 110.3239 PKR</v>
      </c>
      <c r="H2219" s="9" t="str">
        <f ca="1">IFERROR(__xludf.DUMMYFUNCTION("""COMPUTED_VALUE"""),"USD PKR rate for 19/12/2017")</f>
        <v>USD PKR rate for 19/12/2017</v>
      </c>
      <c r="I2219" s="9"/>
    </row>
    <row r="2220" spans="1:9" ht="14.25" customHeight="1" x14ac:dyDescent="0.3">
      <c r="A2220" s="6">
        <v>41937</v>
      </c>
      <c r="B2220" s="7">
        <v>102.9932</v>
      </c>
      <c r="C2220" s="8">
        <f t="shared" si="17"/>
        <v>117.44921769584674</v>
      </c>
      <c r="D2220" s="9">
        <f t="shared" si="16"/>
        <v>67.813380555473415</v>
      </c>
      <c r="E2220" s="9"/>
      <c r="F2220" s="9">
        <f ca="1">IFERROR(__xludf.DUMMYFUNCTION("""COMPUTED_VALUE"""),43087)</f>
        <v>43087</v>
      </c>
      <c r="G2220" s="9" t="str">
        <f ca="1">IFERROR(__xludf.DUMMYFUNCTION("""COMPUTED_VALUE"""),"1 USD = 109.9691 PKR")</f>
        <v>1 USD = 109.9691 PKR</v>
      </c>
      <c r="H2220" s="9" t="str">
        <f ca="1">IFERROR(__xludf.DUMMYFUNCTION("""COMPUTED_VALUE"""),"USD PKR rate for 18/12/2017")</f>
        <v>USD PKR rate for 18/12/2017</v>
      </c>
      <c r="I2220" s="9"/>
    </row>
    <row r="2221" spans="1:9" ht="14.25" customHeight="1" x14ac:dyDescent="0.3">
      <c r="A2221" s="6">
        <v>41938</v>
      </c>
      <c r="B2221" s="7">
        <v>102.8647</v>
      </c>
      <c r="C2221" s="8">
        <f t="shared" si="17"/>
        <v>117.47022346122539</v>
      </c>
      <c r="D2221" s="9">
        <f t="shared" si="16"/>
        <v>67.816118388270681</v>
      </c>
      <c r="E2221" s="9"/>
      <c r="F2221" s="9">
        <f ca="1">IFERROR(__xludf.DUMMYFUNCTION("""COMPUTED_VALUE"""),43086)</f>
        <v>43086</v>
      </c>
      <c r="G2221" s="9" t="str">
        <f ca="1">IFERROR(__xludf.DUMMYFUNCTION("""COMPUTED_VALUE"""),"1 USD = 110.2406 PKR")</f>
        <v>1 USD = 110.2406 PKR</v>
      </c>
      <c r="H2221" s="9" t="str">
        <f ca="1">IFERROR(__xludf.DUMMYFUNCTION("""COMPUTED_VALUE"""),"USD PKR rate for 17/12/2017")</f>
        <v>USD PKR rate for 17/12/2017</v>
      </c>
      <c r="I2221" s="9"/>
    </row>
    <row r="2222" spans="1:9" ht="14.25" customHeight="1" x14ac:dyDescent="0.3">
      <c r="A2222" s="6">
        <v>41939</v>
      </c>
      <c r="B2222" s="7">
        <v>102.8124</v>
      </c>
      <c r="C2222" s="8">
        <f t="shared" si="17"/>
        <v>117.4912329834804</v>
      </c>
      <c r="D2222" s="9">
        <f t="shared" si="16"/>
        <v>67.818856221067946</v>
      </c>
      <c r="E2222" s="9"/>
      <c r="F2222" s="9">
        <f ca="1">IFERROR(__xludf.DUMMYFUNCTION("""COMPUTED_VALUE"""),43085)</f>
        <v>43085</v>
      </c>
      <c r="G2222" s="9" t="str">
        <f ca="1">IFERROR(__xludf.DUMMYFUNCTION("""COMPUTED_VALUE"""),"1 USD = 110.3325 PKR")</f>
        <v>1 USD = 110.3325 PKR</v>
      </c>
      <c r="H2222" s="9" t="str">
        <f ca="1">IFERROR(__xludf.DUMMYFUNCTION("""COMPUTED_VALUE"""),"USD PKR rate for 16/12/2017")</f>
        <v>USD PKR rate for 16/12/2017</v>
      </c>
      <c r="I2222" s="9"/>
    </row>
    <row r="2223" spans="1:9" ht="14.25" customHeight="1" x14ac:dyDescent="0.3">
      <c r="A2223" s="6">
        <v>41940</v>
      </c>
      <c r="B2223" s="7">
        <v>102.85000000000001</v>
      </c>
      <c r="C2223" s="8">
        <f t="shared" si="17"/>
        <v>117.51224626328361</v>
      </c>
      <c r="D2223" s="9">
        <f t="shared" si="16"/>
        <v>67.821594053865212</v>
      </c>
      <c r="E2223" s="9"/>
      <c r="F2223" s="9">
        <f ca="1">IFERROR(__xludf.DUMMYFUNCTION("""COMPUTED_VALUE"""),43084)</f>
        <v>43084</v>
      </c>
      <c r="G2223" s="9" t="str">
        <f ca="1">IFERROR(__xludf.DUMMYFUNCTION("""COMPUTED_VALUE"""),"1 USD = 110.3325 PKR")</f>
        <v>1 USD = 110.3325 PKR</v>
      </c>
      <c r="H2223" s="9" t="str">
        <f ca="1">IFERROR(__xludf.DUMMYFUNCTION("""COMPUTED_VALUE"""),"USD PKR rate for 15/12/2017")</f>
        <v>USD PKR rate for 15/12/2017</v>
      </c>
      <c r="I2223" s="9"/>
    </row>
    <row r="2224" spans="1:9" ht="14.25" customHeight="1" x14ac:dyDescent="0.3">
      <c r="A2224" s="6">
        <v>41941</v>
      </c>
      <c r="B2224" s="7">
        <v>103.37869999999999</v>
      </c>
      <c r="C2224" s="8">
        <f t="shared" si="17"/>
        <v>117.53326330130704</v>
      </c>
      <c r="D2224" s="9">
        <f t="shared" si="16"/>
        <v>67.824331886662478</v>
      </c>
      <c r="E2224" s="9"/>
      <c r="F2224" s="9">
        <f ca="1">IFERROR(__xludf.DUMMYFUNCTION("""COMPUTED_VALUE"""),43083)</f>
        <v>43083</v>
      </c>
      <c r="G2224" s="9" t="str">
        <f ca="1">IFERROR(__xludf.DUMMYFUNCTION("""COMPUTED_VALUE"""),"1 USD = 110.2761 PKR")</f>
        <v>1 USD = 110.2761 PKR</v>
      </c>
      <c r="H2224" s="9" t="str">
        <f ca="1">IFERROR(__xludf.DUMMYFUNCTION("""COMPUTED_VALUE"""),"USD PKR rate for 14/12/2017")</f>
        <v>USD PKR rate for 14/12/2017</v>
      </c>
      <c r="I2224" s="9"/>
    </row>
    <row r="2225" spans="1:9" ht="14.25" customHeight="1" x14ac:dyDescent="0.3">
      <c r="A2225" s="6">
        <v>41942</v>
      </c>
      <c r="B2225" s="7">
        <v>102.94020000000002</v>
      </c>
      <c r="C2225" s="8">
        <f t="shared" si="17"/>
        <v>117.55428409822288</v>
      </c>
      <c r="D2225" s="9">
        <f t="shared" si="16"/>
        <v>67.827069719459743</v>
      </c>
      <c r="E2225" s="9"/>
      <c r="F2225" s="9">
        <f ca="1">IFERROR(__xludf.DUMMYFUNCTION("""COMPUTED_VALUE"""),43082)</f>
        <v>43082</v>
      </c>
      <c r="G2225" s="9" t="str">
        <f ca="1">IFERROR(__xludf.DUMMYFUNCTION("""COMPUTED_VALUE"""),"1 USD = 108.6725 PKR")</f>
        <v>1 USD = 108.6725 PKR</v>
      </c>
      <c r="H2225" s="9" t="str">
        <f ca="1">IFERROR(__xludf.DUMMYFUNCTION("""COMPUTED_VALUE"""),"USD PKR rate for 13/12/2017")</f>
        <v>USD PKR rate for 13/12/2017</v>
      </c>
      <c r="I2225" s="9"/>
    </row>
    <row r="2226" spans="1:9" ht="14.25" customHeight="1" x14ac:dyDescent="0.3">
      <c r="A2226" s="6">
        <v>41943</v>
      </c>
      <c r="B2226" s="7">
        <v>103.10429999999999</v>
      </c>
      <c r="C2226" s="8">
        <f t="shared" si="17"/>
        <v>117.57530865470335</v>
      </c>
      <c r="D2226" s="9">
        <f t="shared" si="16"/>
        <v>67.829807552257009</v>
      </c>
      <c r="E2226" s="9"/>
      <c r="F2226" s="9">
        <f ca="1">IFERROR(__xludf.DUMMYFUNCTION("""COMPUTED_VALUE"""),43081)</f>
        <v>43081</v>
      </c>
      <c r="G2226" s="9" t="str">
        <f ca="1">IFERROR(__xludf.DUMMYFUNCTION("""COMPUTED_VALUE"""),"1 USD = 108.9554 PKR")</f>
        <v>1 USD = 108.9554 PKR</v>
      </c>
      <c r="H2226" s="9" t="str">
        <f ca="1">IFERROR(__xludf.DUMMYFUNCTION("""COMPUTED_VALUE"""),"USD PKR rate for 12/12/2017")</f>
        <v>USD PKR rate for 12/12/2017</v>
      </c>
      <c r="I2226" s="9"/>
    </row>
    <row r="2227" spans="1:9" ht="14.25" customHeight="1" x14ac:dyDescent="0.3">
      <c r="A2227" s="6">
        <v>41944</v>
      </c>
      <c r="B2227" s="7">
        <v>102.8907</v>
      </c>
      <c r="C2227" s="8">
        <f t="shared" si="17"/>
        <v>117.59633697142088</v>
      </c>
      <c r="D2227" s="9">
        <f t="shared" si="16"/>
        <v>67.832545385054274</v>
      </c>
      <c r="E2227" s="9"/>
      <c r="F2227" s="9">
        <f ca="1">IFERROR(__xludf.DUMMYFUNCTION("""COMPUTED_VALUE"""),43080)</f>
        <v>43080</v>
      </c>
      <c r="G2227" s="9" t="str">
        <f ca="1">IFERROR(__xludf.DUMMYFUNCTION("""COMPUTED_VALUE"""),"1 USD = 107.6122 PKR")</f>
        <v>1 USD = 107.6122 PKR</v>
      </c>
      <c r="H2227" s="9" t="str">
        <f ca="1">IFERROR(__xludf.DUMMYFUNCTION("""COMPUTED_VALUE"""),"USD PKR rate for 11/12/2017")</f>
        <v>USD PKR rate for 11/12/2017</v>
      </c>
      <c r="I2227" s="9"/>
    </row>
    <row r="2228" spans="1:9" ht="14.25" customHeight="1" x14ac:dyDescent="0.3">
      <c r="A2228" s="6">
        <v>41945</v>
      </c>
      <c r="B2228" s="7">
        <v>103.03400000000001</v>
      </c>
      <c r="C2228" s="8">
        <f t="shared" si="17"/>
        <v>117.61736904904799</v>
      </c>
      <c r="D2228" s="9">
        <f t="shared" si="16"/>
        <v>67.83528321785154</v>
      </c>
      <c r="E2228" s="9"/>
      <c r="F2228" s="9">
        <f ca="1">IFERROR(__xludf.DUMMYFUNCTION("""COMPUTED_VALUE"""),43079)</f>
        <v>43079</v>
      </c>
      <c r="G2228" s="9" t="str">
        <f ca="1">IFERROR(__xludf.DUMMYFUNCTION("""COMPUTED_VALUE"""),"1 USD = 105.768 PKR")</f>
        <v>1 USD = 105.768 PKR</v>
      </c>
      <c r="H2228" s="9" t="str">
        <f ca="1">IFERROR(__xludf.DUMMYFUNCTION("""COMPUTED_VALUE"""),"USD PKR rate for 10/12/2017")</f>
        <v>USD PKR rate for 10/12/2017</v>
      </c>
      <c r="I2228" s="9"/>
    </row>
    <row r="2229" spans="1:9" ht="14.25" customHeight="1" x14ac:dyDescent="0.3">
      <c r="A2229" s="6">
        <v>41946</v>
      </c>
      <c r="B2229" s="7">
        <v>103.05540000000001</v>
      </c>
      <c r="C2229" s="8">
        <f t="shared" si="17"/>
        <v>117.63840488825731</v>
      </c>
      <c r="D2229" s="9">
        <f t="shared" si="16"/>
        <v>67.838021050648805</v>
      </c>
      <c r="E2229" s="9"/>
      <c r="F2229" s="9">
        <f ca="1">IFERROR(__xludf.DUMMYFUNCTION("""COMPUTED_VALUE"""),43078)</f>
        <v>43078</v>
      </c>
      <c r="G2229" s="9" t="str">
        <f ca="1">IFERROR(__xludf.DUMMYFUNCTION("""COMPUTED_VALUE"""),"1 USD = 105.7273 PKR")</f>
        <v>1 USD = 105.7273 PKR</v>
      </c>
      <c r="H2229" s="9" t="str">
        <f ca="1">IFERROR(__xludf.DUMMYFUNCTION("""COMPUTED_VALUE"""),"USD PKR rate for 09/12/2017")</f>
        <v>USD PKR rate for 09/12/2017</v>
      </c>
      <c r="I2229" s="9"/>
    </row>
    <row r="2230" spans="1:9" ht="14.25" customHeight="1" x14ac:dyDescent="0.3">
      <c r="A2230" s="6">
        <v>41947</v>
      </c>
      <c r="B2230" s="7">
        <v>102.7366</v>
      </c>
      <c r="C2230" s="8">
        <f t="shared" si="17"/>
        <v>117.65944448972149</v>
      </c>
      <c r="D2230" s="9">
        <f t="shared" si="16"/>
        <v>67.840758883446071</v>
      </c>
      <c r="E2230" s="9"/>
      <c r="F2230" s="9">
        <f ca="1">IFERROR(__xludf.DUMMYFUNCTION("""COMPUTED_VALUE"""),43077)</f>
        <v>43077</v>
      </c>
      <c r="G2230" s="9" t="str">
        <f ca="1">IFERROR(__xludf.DUMMYFUNCTION("""COMPUTED_VALUE"""),"1 USD = 105.9 PKR")</f>
        <v>1 USD = 105.9 PKR</v>
      </c>
      <c r="H2230" s="9" t="str">
        <f ca="1">IFERROR(__xludf.DUMMYFUNCTION("""COMPUTED_VALUE"""),"USD PKR rate for 08/12/2017")</f>
        <v>USD PKR rate for 08/12/2017</v>
      </c>
      <c r="I2230" s="9"/>
    </row>
    <row r="2231" spans="1:9" ht="14.25" customHeight="1" x14ac:dyDescent="0.3">
      <c r="A2231" s="6">
        <v>41948</v>
      </c>
      <c r="B2231" s="7">
        <v>102.7273</v>
      </c>
      <c r="C2231" s="8">
        <f t="shared" si="17"/>
        <v>117.68048785411364</v>
      </c>
      <c r="D2231" s="9">
        <f t="shared" si="16"/>
        <v>67.843496716243337</v>
      </c>
      <c r="E2231" s="9"/>
      <c r="F2231" s="9">
        <f ca="1">IFERROR(__xludf.DUMMYFUNCTION("""COMPUTED_VALUE"""),43076)</f>
        <v>43076</v>
      </c>
      <c r="G2231" s="9" t="str">
        <f ca="1">IFERROR(__xludf.DUMMYFUNCTION("""COMPUTED_VALUE"""),"1 USD = 105.4295 PKR")</f>
        <v>1 USD = 105.4295 PKR</v>
      </c>
      <c r="H2231" s="9" t="str">
        <f ca="1">IFERROR(__xludf.DUMMYFUNCTION("""COMPUTED_VALUE"""),"USD PKR rate for 07/12/2017")</f>
        <v>USD PKR rate for 07/12/2017</v>
      </c>
      <c r="I2231" s="9"/>
    </row>
    <row r="2232" spans="1:9" ht="14.25" customHeight="1" x14ac:dyDescent="0.3">
      <c r="A2232" s="6">
        <v>41949</v>
      </c>
      <c r="B2232" s="7">
        <v>102.9139</v>
      </c>
      <c r="C2232" s="8">
        <f t="shared" si="17"/>
        <v>117.70153498210662</v>
      </c>
      <c r="D2232" s="9">
        <f t="shared" si="16"/>
        <v>67.846234549040602</v>
      </c>
      <c r="E2232" s="9"/>
      <c r="F2232" s="9">
        <f ca="1">IFERROR(__xludf.DUMMYFUNCTION("""COMPUTED_VALUE"""),43075)</f>
        <v>43075</v>
      </c>
      <c r="G2232" s="9" t="str">
        <f ca="1">IFERROR(__xludf.DUMMYFUNCTION("""COMPUTED_VALUE"""),"1 USD = 105.5594 PKR")</f>
        <v>1 USD = 105.5594 PKR</v>
      </c>
      <c r="H2232" s="9" t="str">
        <f ca="1">IFERROR(__xludf.DUMMYFUNCTION("""COMPUTED_VALUE"""),"USD PKR rate for 06/12/2017")</f>
        <v>USD PKR rate for 06/12/2017</v>
      </c>
      <c r="I2232" s="9"/>
    </row>
    <row r="2233" spans="1:9" ht="14.25" customHeight="1" x14ac:dyDescent="0.3">
      <c r="A2233" s="6">
        <v>41950</v>
      </c>
      <c r="B2233" s="7">
        <v>102.31619999999999</v>
      </c>
      <c r="C2233" s="8">
        <f t="shared" si="17"/>
        <v>117.72258587437356</v>
      </c>
      <c r="D2233" s="9">
        <f t="shared" si="16"/>
        <v>67.848972381837868</v>
      </c>
      <c r="E2233" s="9"/>
      <c r="F2233" s="9">
        <f ca="1">IFERROR(__xludf.DUMMYFUNCTION("""COMPUTED_VALUE"""),43074)</f>
        <v>43074</v>
      </c>
      <c r="G2233" s="9" t="str">
        <f ca="1">IFERROR(__xludf.DUMMYFUNCTION("""COMPUTED_VALUE"""),"1 USD = 105.7354 PKR")</f>
        <v>1 USD = 105.7354 PKR</v>
      </c>
      <c r="H2233" s="9" t="str">
        <f ca="1">IFERROR(__xludf.DUMMYFUNCTION("""COMPUTED_VALUE"""),"USD PKR rate for 05/12/2017")</f>
        <v>USD PKR rate for 05/12/2017</v>
      </c>
      <c r="I2233" s="9"/>
    </row>
    <row r="2234" spans="1:9" ht="14.25" customHeight="1" x14ac:dyDescent="0.3">
      <c r="A2234" s="6">
        <v>41951</v>
      </c>
      <c r="B2234" s="7">
        <v>102.352</v>
      </c>
      <c r="C2234" s="8">
        <f t="shared" si="17"/>
        <v>117.74364053158774</v>
      </c>
      <c r="D2234" s="9">
        <f t="shared" si="16"/>
        <v>67.851710214635133</v>
      </c>
      <c r="E2234" s="9"/>
      <c r="F2234" s="9">
        <f ca="1">IFERROR(__xludf.DUMMYFUNCTION("""COMPUTED_VALUE"""),43073)</f>
        <v>43073</v>
      </c>
      <c r="G2234" s="9" t="str">
        <f ca="1">IFERROR(__xludf.DUMMYFUNCTION("""COMPUTED_VALUE"""),"1 USD = 105.4 PKR")</f>
        <v>1 USD = 105.4 PKR</v>
      </c>
      <c r="H2234" s="9" t="str">
        <f ca="1">IFERROR(__xludf.DUMMYFUNCTION("""COMPUTED_VALUE"""),"USD PKR rate for 04/12/2017")</f>
        <v>USD PKR rate for 04/12/2017</v>
      </c>
      <c r="I2234" s="9"/>
    </row>
    <row r="2235" spans="1:9" ht="14.25" customHeight="1" x14ac:dyDescent="0.3">
      <c r="A2235" s="6">
        <v>41952</v>
      </c>
      <c r="B2235" s="7">
        <v>101.7538</v>
      </c>
      <c r="C2235" s="8">
        <f t="shared" si="17"/>
        <v>117.76469895442246</v>
      </c>
      <c r="D2235" s="9">
        <f t="shared" si="16"/>
        <v>67.854448047432399</v>
      </c>
      <c r="E2235" s="9"/>
      <c r="F2235" s="9">
        <f ca="1">IFERROR(__xludf.DUMMYFUNCTION("""COMPUTED_VALUE"""),43072)</f>
        <v>43072</v>
      </c>
      <c r="G2235" s="9" t="str">
        <f ca="1">IFERROR(__xludf.DUMMYFUNCTION("""COMPUTED_VALUE"""),"1 USD = 105.3919 PKR")</f>
        <v>1 USD = 105.3919 PKR</v>
      </c>
      <c r="H2235" s="9" t="str">
        <f ca="1">IFERROR(__xludf.DUMMYFUNCTION("""COMPUTED_VALUE"""),"USD PKR rate for 03/12/2017")</f>
        <v>USD PKR rate for 03/12/2017</v>
      </c>
      <c r="I2235" s="9"/>
    </row>
    <row r="2236" spans="1:9" ht="14.25" customHeight="1" x14ac:dyDescent="0.3">
      <c r="A2236" s="6">
        <v>41953</v>
      </c>
      <c r="B2236" s="7">
        <v>101.6606</v>
      </c>
      <c r="C2236" s="8">
        <f t="shared" si="17"/>
        <v>117.78576114355123</v>
      </c>
      <c r="D2236" s="9">
        <f t="shared" si="16"/>
        <v>67.857185880229665</v>
      </c>
      <c r="E2236" s="9"/>
      <c r="F2236" s="9">
        <f ca="1">IFERROR(__xludf.DUMMYFUNCTION("""COMPUTED_VALUE"""),43071)</f>
        <v>43071</v>
      </c>
      <c r="G2236" s="9" t="str">
        <f ca="1">IFERROR(__xludf.DUMMYFUNCTION("""COMPUTED_VALUE"""),"1 USD = 105.4022 PKR")</f>
        <v>1 USD = 105.4022 PKR</v>
      </c>
      <c r="H2236" s="9" t="str">
        <f ca="1">IFERROR(__xludf.DUMMYFUNCTION("""COMPUTED_VALUE"""),"USD PKR rate for 02/12/2017")</f>
        <v>USD PKR rate for 02/12/2017</v>
      </c>
      <c r="I2236" s="9"/>
    </row>
    <row r="2237" spans="1:9" ht="14.25" customHeight="1" x14ac:dyDescent="0.3">
      <c r="A2237" s="6">
        <v>41954</v>
      </c>
      <c r="B2237" s="7">
        <v>101.48909999999999</v>
      </c>
      <c r="C2237" s="8">
        <f t="shared" si="17"/>
        <v>117.80682709964763</v>
      </c>
      <c r="D2237" s="9">
        <f t="shared" si="16"/>
        <v>67.85992371302693</v>
      </c>
      <c r="E2237" s="9"/>
      <c r="F2237" s="9">
        <f ca="1">IFERROR(__xludf.DUMMYFUNCTION("""COMPUTED_VALUE"""),43070)</f>
        <v>43070</v>
      </c>
      <c r="G2237" s="9" t="str">
        <f ca="1">IFERROR(__xludf.DUMMYFUNCTION("""COMPUTED_VALUE"""),"1 USD = 105.4022 PKR")</f>
        <v>1 USD = 105.4022 PKR</v>
      </c>
      <c r="H2237" s="9" t="str">
        <f ca="1">IFERROR(__xludf.DUMMYFUNCTION("""COMPUTED_VALUE"""),"USD PKR rate for 01/12/2017")</f>
        <v>USD PKR rate for 01/12/2017</v>
      </c>
      <c r="I2237" s="9"/>
    </row>
    <row r="2238" spans="1:9" ht="14.25" customHeight="1" x14ac:dyDescent="0.3">
      <c r="A2238" s="6">
        <v>41955</v>
      </c>
      <c r="B2238" s="7">
        <v>101.80500000000001</v>
      </c>
      <c r="C2238" s="8">
        <f t="shared" si="17"/>
        <v>117.82789682338543</v>
      </c>
      <c r="D2238" s="9">
        <f t="shared" si="16"/>
        <v>67.862661545824196</v>
      </c>
      <c r="E2238" s="9"/>
      <c r="F2238" s="9">
        <f ca="1">IFERROR(__xludf.DUMMYFUNCTION("""COMPUTED_VALUE"""),43069)</f>
        <v>43069</v>
      </c>
      <c r="G2238" s="9" t="str">
        <f ca="1">IFERROR(__xludf.DUMMYFUNCTION("""COMPUTED_VALUE"""),"1 USD = 105.326 PKR")</f>
        <v>1 USD = 105.326 PKR</v>
      </c>
      <c r="H2238" s="9" t="str">
        <f ca="1">IFERROR(__xludf.DUMMYFUNCTION("""COMPUTED_VALUE"""),"USD PKR rate for 30/11/2017")</f>
        <v>USD PKR rate for 30/11/2017</v>
      </c>
      <c r="I2238" s="9"/>
    </row>
    <row r="2239" spans="1:9" ht="14.25" customHeight="1" x14ac:dyDescent="0.3">
      <c r="A2239" s="6">
        <v>41956</v>
      </c>
      <c r="B2239" s="7">
        <v>101.60250000000001</v>
      </c>
      <c r="C2239" s="8">
        <f t="shared" si="17"/>
        <v>117.84897031543832</v>
      </c>
      <c r="D2239" s="9">
        <f t="shared" si="16"/>
        <v>67.865399378621461</v>
      </c>
      <c r="E2239" s="9"/>
      <c r="F2239" s="9">
        <f ca="1">IFERROR(__xludf.DUMMYFUNCTION("""COMPUTED_VALUE"""),43068)</f>
        <v>43068</v>
      </c>
      <c r="G2239" s="9" t="str">
        <f ca="1">IFERROR(__xludf.DUMMYFUNCTION("""COMPUTED_VALUE"""),"1 USD = 105.3904 PKR")</f>
        <v>1 USD = 105.3904 PKR</v>
      </c>
      <c r="H2239" s="9" t="str">
        <f ca="1">IFERROR(__xludf.DUMMYFUNCTION("""COMPUTED_VALUE"""),"USD PKR rate for 29/11/2017")</f>
        <v>USD PKR rate for 29/11/2017</v>
      </c>
      <c r="I2239" s="9"/>
    </row>
    <row r="2240" spans="1:9" ht="14.25" customHeight="1" x14ac:dyDescent="0.3">
      <c r="A2240" s="6">
        <v>41957</v>
      </c>
      <c r="B2240" s="7">
        <v>101.697</v>
      </c>
      <c r="C2240" s="8">
        <f t="shared" si="17"/>
        <v>117.87004757648047</v>
      </c>
      <c r="D2240" s="9">
        <f t="shared" si="16"/>
        <v>67.868137211418727</v>
      </c>
      <c r="E2240" s="9"/>
      <c r="F2240" s="9">
        <f ca="1">IFERROR(__xludf.DUMMYFUNCTION("""COMPUTED_VALUE"""),43067)</f>
        <v>43067</v>
      </c>
      <c r="G2240" s="9" t="str">
        <f ca="1">IFERROR(__xludf.DUMMYFUNCTION("""COMPUTED_VALUE"""),"1 USD = 105.7771 PKR")</f>
        <v>1 USD = 105.7771 PKR</v>
      </c>
      <c r="H2240" s="9" t="str">
        <f ca="1">IFERROR(__xludf.DUMMYFUNCTION("""COMPUTED_VALUE"""),"USD PKR rate for 28/11/2017")</f>
        <v>USD PKR rate for 28/11/2017</v>
      </c>
      <c r="I2240" s="9"/>
    </row>
    <row r="2241" spans="1:9" ht="14.25" customHeight="1" x14ac:dyDescent="0.3">
      <c r="A2241" s="6">
        <v>41958</v>
      </c>
      <c r="B2241" s="7">
        <v>101.66</v>
      </c>
      <c r="C2241" s="8">
        <f t="shared" si="17"/>
        <v>117.89112860718589</v>
      </c>
      <c r="D2241" s="9">
        <f t="shared" si="16"/>
        <v>67.870875044215992</v>
      </c>
      <c r="E2241" s="9"/>
      <c r="F2241" s="9">
        <f ca="1">IFERROR(__xludf.DUMMYFUNCTION("""COMPUTED_VALUE"""),43066)</f>
        <v>43066</v>
      </c>
      <c r="G2241" s="9" t="str">
        <f ca="1">IFERROR(__xludf.DUMMYFUNCTION("""COMPUTED_VALUE"""),"1 USD = 105.8245 PKR")</f>
        <v>1 USD = 105.8245 PKR</v>
      </c>
      <c r="H2241" s="9" t="str">
        <f ca="1">IFERROR(__xludf.DUMMYFUNCTION("""COMPUTED_VALUE"""),"USD PKR rate for 27/11/2017")</f>
        <v>USD PKR rate for 27/11/2017</v>
      </c>
      <c r="I2241" s="9"/>
    </row>
    <row r="2242" spans="1:9" ht="14.25" customHeight="1" x14ac:dyDescent="0.3">
      <c r="A2242" s="6">
        <v>41959</v>
      </c>
      <c r="B2242" s="7">
        <v>101.41289999999999</v>
      </c>
      <c r="C2242" s="8">
        <f t="shared" si="17"/>
        <v>117.91221340822877</v>
      </c>
      <c r="D2242" s="9">
        <f t="shared" si="16"/>
        <v>67.873612877013258</v>
      </c>
      <c r="E2242" s="9"/>
      <c r="F2242" s="9">
        <f ca="1">IFERROR(__xludf.DUMMYFUNCTION("""COMPUTED_VALUE"""),43065)</f>
        <v>43065</v>
      </c>
      <c r="G2242" s="9" t="str">
        <f ca="1">IFERROR(__xludf.DUMMYFUNCTION("""COMPUTED_VALUE"""),"1 USD = 104.746 PKR")</f>
        <v>1 USD = 104.746 PKR</v>
      </c>
      <c r="H2242" s="9" t="str">
        <f ca="1">IFERROR(__xludf.DUMMYFUNCTION("""COMPUTED_VALUE"""),"USD PKR rate for 26/11/2017")</f>
        <v>USD PKR rate for 26/11/2017</v>
      </c>
      <c r="I2242" s="9"/>
    </row>
    <row r="2243" spans="1:9" ht="14.25" customHeight="1" x14ac:dyDescent="0.3">
      <c r="A2243" s="6">
        <v>41960</v>
      </c>
      <c r="B2243" s="7">
        <v>101.92910000000001</v>
      </c>
      <c r="C2243" s="8">
        <f t="shared" si="17"/>
        <v>117.93330198028345</v>
      </c>
      <c r="D2243" s="9">
        <f t="shared" si="16"/>
        <v>67.876350709810524</v>
      </c>
      <c r="E2243" s="9"/>
      <c r="F2243" s="9">
        <f ca="1">IFERROR(__xludf.DUMMYFUNCTION("""COMPUTED_VALUE"""),43064)</f>
        <v>43064</v>
      </c>
      <c r="G2243" s="9" t="str">
        <f ca="1">IFERROR(__xludf.DUMMYFUNCTION("""COMPUTED_VALUE"""),"1 USD = 105.2303 PKR")</f>
        <v>1 USD = 105.2303 PKR</v>
      </c>
      <c r="H2243" s="9" t="str">
        <f ca="1">IFERROR(__xludf.DUMMYFUNCTION("""COMPUTED_VALUE"""),"USD PKR rate for 25/11/2017")</f>
        <v>USD PKR rate for 25/11/2017</v>
      </c>
      <c r="I2243" s="9"/>
    </row>
    <row r="2244" spans="1:9" ht="14.25" customHeight="1" x14ac:dyDescent="0.3">
      <c r="A2244" s="6">
        <v>41961</v>
      </c>
      <c r="B2244" s="7">
        <v>101.6164</v>
      </c>
      <c r="C2244" s="8">
        <f t="shared" si="17"/>
        <v>117.95439432402434</v>
      </c>
      <c r="D2244" s="9">
        <f t="shared" si="16"/>
        <v>67.879088542607789</v>
      </c>
      <c r="E2244" s="9"/>
      <c r="F2244" s="9">
        <f ca="1">IFERROR(__xludf.DUMMYFUNCTION("""COMPUTED_VALUE"""),43063)</f>
        <v>43063</v>
      </c>
      <c r="G2244" s="9" t="str">
        <f ca="1">IFERROR(__xludf.DUMMYFUNCTION("""COMPUTED_VALUE"""),"1 USD = 105.2321 PKR")</f>
        <v>1 USD = 105.2321 PKR</v>
      </c>
      <c r="H2244" s="9" t="str">
        <f ca="1">IFERROR(__xludf.DUMMYFUNCTION("""COMPUTED_VALUE"""),"USD PKR rate for 24/11/2017")</f>
        <v>USD PKR rate for 24/11/2017</v>
      </c>
      <c r="I2244" s="9"/>
    </row>
    <row r="2245" spans="1:9" ht="14.25" customHeight="1" x14ac:dyDescent="0.3">
      <c r="A2245" s="6">
        <v>41962</v>
      </c>
      <c r="B2245" s="7">
        <v>101.7362</v>
      </c>
      <c r="C2245" s="8">
        <f t="shared" si="17"/>
        <v>117.97549044012602</v>
      </c>
      <c r="D2245" s="9">
        <f t="shared" si="16"/>
        <v>67.881826375405055</v>
      </c>
      <c r="E2245" s="9"/>
      <c r="F2245" s="9">
        <f ca="1">IFERROR(__xludf.DUMMYFUNCTION("""COMPUTED_VALUE"""),43062)</f>
        <v>43062</v>
      </c>
      <c r="G2245" s="9" t="str">
        <f ca="1">IFERROR(__xludf.DUMMYFUNCTION("""COMPUTED_VALUE"""),"1 USD = 105.2781 PKR")</f>
        <v>1 USD = 105.2781 PKR</v>
      </c>
      <c r="H2245" s="9" t="str">
        <f ca="1">IFERROR(__xludf.DUMMYFUNCTION("""COMPUTED_VALUE"""),"USD PKR rate for 23/11/2017")</f>
        <v>USD PKR rate for 23/11/2017</v>
      </c>
      <c r="I2245" s="9"/>
    </row>
    <row r="2246" spans="1:9" ht="14.25" customHeight="1" x14ac:dyDescent="0.3">
      <c r="A2246" s="6">
        <v>41963</v>
      </c>
      <c r="B2246" s="7">
        <v>101.5334</v>
      </c>
      <c r="C2246" s="8">
        <f t="shared" si="17"/>
        <v>117.99659032926316</v>
      </c>
      <c r="D2246" s="9">
        <f t="shared" si="16"/>
        <v>67.88456420820232</v>
      </c>
      <c r="E2246" s="9"/>
      <c r="F2246" s="9">
        <f ca="1">IFERROR(__xludf.DUMMYFUNCTION("""COMPUTED_VALUE"""),43061)</f>
        <v>43061</v>
      </c>
      <c r="G2246" s="9" t="str">
        <f ca="1">IFERROR(__xludf.DUMMYFUNCTION("""COMPUTED_VALUE"""),"1 USD = 104.7756 PKR")</f>
        <v>1 USD = 104.7756 PKR</v>
      </c>
      <c r="H2246" s="9" t="str">
        <f ca="1">IFERROR(__xludf.DUMMYFUNCTION("""COMPUTED_VALUE"""),"USD PKR rate for 22/11/2017")</f>
        <v>USD PKR rate for 22/11/2017</v>
      </c>
      <c r="I2246" s="9"/>
    </row>
    <row r="2247" spans="1:9" ht="14.25" customHeight="1" x14ac:dyDescent="0.3">
      <c r="A2247" s="6">
        <v>41964</v>
      </c>
      <c r="B2247" s="7">
        <v>101.6309</v>
      </c>
      <c r="C2247" s="8">
        <f t="shared" si="17"/>
        <v>118.01769399211061</v>
      </c>
      <c r="D2247" s="9">
        <f t="shared" si="16"/>
        <v>67.887302040999586</v>
      </c>
      <c r="E2247" s="9"/>
      <c r="F2247" s="9">
        <f ca="1">IFERROR(__xludf.DUMMYFUNCTION("""COMPUTED_VALUE"""),43060)</f>
        <v>43060</v>
      </c>
      <c r="G2247" s="9" t="str">
        <f ca="1">IFERROR(__xludf.DUMMYFUNCTION("""COMPUTED_VALUE"""),"1 USD = 105.2162 PKR")</f>
        <v>1 USD = 105.2162 PKR</v>
      </c>
      <c r="H2247" s="9" t="str">
        <f ca="1">IFERROR(__xludf.DUMMYFUNCTION("""COMPUTED_VALUE"""),"USD PKR rate for 21/11/2017")</f>
        <v>USD PKR rate for 21/11/2017</v>
      </c>
      <c r="I2247" s="9"/>
    </row>
    <row r="2248" spans="1:9" ht="14.25" customHeight="1" x14ac:dyDescent="0.3">
      <c r="A2248" s="6">
        <v>41965</v>
      </c>
      <c r="B2248" s="7">
        <v>101.60720000000002</v>
      </c>
      <c r="C2248" s="8">
        <f t="shared" si="17"/>
        <v>118.03880142934315</v>
      </c>
      <c r="D2248" s="9">
        <f t="shared" si="16"/>
        <v>67.890039873796852</v>
      </c>
      <c r="E2248" s="9"/>
      <c r="F2248" s="9">
        <f ca="1">IFERROR(__xludf.DUMMYFUNCTION("""COMPUTED_VALUE"""),43059)</f>
        <v>43059</v>
      </c>
      <c r="G2248" s="9" t="str">
        <f ca="1">IFERROR(__xludf.DUMMYFUNCTION("""COMPUTED_VALUE"""),"1 USD = 105.6814 PKR")</f>
        <v>1 USD = 105.6814 PKR</v>
      </c>
      <c r="H2248" s="9" t="str">
        <f ca="1">IFERROR(__xludf.DUMMYFUNCTION("""COMPUTED_VALUE"""),"USD PKR rate for 20/11/2017")</f>
        <v>USD PKR rate for 20/11/2017</v>
      </c>
      <c r="I2248" s="9"/>
    </row>
    <row r="2249" spans="1:9" ht="14.25" customHeight="1" x14ac:dyDescent="0.3">
      <c r="A2249" s="6">
        <v>41966</v>
      </c>
      <c r="B2249" s="7">
        <v>101.63890000000001</v>
      </c>
      <c r="C2249" s="8">
        <f t="shared" si="17"/>
        <v>118.05991264163607</v>
      </c>
      <c r="D2249" s="9">
        <f t="shared" si="16"/>
        <v>67.892777706594117</v>
      </c>
      <c r="E2249" s="9"/>
      <c r="F2249" s="9">
        <f ca="1">IFERROR(__xludf.DUMMYFUNCTION("""COMPUTED_VALUE"""),43058)</f>
        <v>43058</v>
      </c>
      <c r="G2249" s="9" t="str">
        <f ca="1">IFERROR(__xludf.DUMMYFUNCTION("""COMPUTED_VALUE"""),"1 USD = 105.4374 PKR")</f>
        <v>1 USD = 105.4374 PKR</v>
      </c>
      <c r="H2249" s="9" t="str">
        <f ca="1">IFERROR(__xludf.DUMMYFUNCTION("""COMPUTED_VALUE"""),"USD PKR rate for 19/11/2017")</f>
        <v>USD PKR rate for 19/11/2017</v>
      </c>
      <c r="I2249" s="9"/>
    </row>
    <row r="2250" spans="1:9" ht="14.25" customHeight="1" x14ac:dyDescent="0.3">
      <c r="A2250" s="6">
        <v>41967</v>
      </c>
      <c r="B2250" s="7">
        <v>101.54040000000001</v>
      </c>
      <c r="C2250" s="8">
        <f t="shared" si="17"/>
        <v>118.08102762966442</v>
      </c>
      <c r="D2250" s="9">
        <f t="shared" si="16"/>
        <v>67.895515539391383</v>
      </c>
      <c r="E2250" s="9"/>
      <c r="F2250" s="9">
        <f ca="1">IFERROR(__xludf.DUMMYFUNCTION("""COMPUTED_VALUE"""),43057)</f>
        <v>43057</v>
      </c>
      <c r="G2250" s="9" t="str">
        <f ca="1">IFERROR(__xludf.DUMMYFUNCTION("""COMPUTED_VALUE"""),"1 USD = 105.4391 PKR")</f>
        <v>1 USD = 105.4391 PKR</v>
      </c>
      <c r="H2250" s="9" t="str">
        <f ca="1">IFERROR(__xludf.DUMMYFUNCTION("""COMPUTED_VALUE"""),"USD PKR rate for 18/11/2017")</f>
        <v>USD PKR rate for 18/11/2017</v>
      </c>
      <c r="I2250" s="9"/>
    </row>
    <row r="2251" spans="1:9" ht="14.25" customHeight="1" x14ac:dyDescent="0.3">
      <c r="A2251" s="6">
        <v>41968</v>
      </c>
      <c r="B2251" s="7">
        <v>101.6275</v>
      </c>
      <c r="C2251" s="8">
        <f t="shared" si="17"/>
        <v>118.10214639410347</v>
      </c>
      <c r="D2251" s="9">
        <f t="shared" si="16"/>
        <v>67.898253372188648</v>
      </c>
      <c r="E2251" s="9"/>
      <c r="F2251" s="9">
        <f ca="1">IFERROR(__xludf.DUMMYFUNCTION("""COMPUTED_VALUE"""),43056)</f>
        <v>43056</v>
      </c>
      <c r="G2251" s="9" t="str">
        <f ca="1">IFERROR(__xludf.DUMMYFUNCTION("""COMPUTED_VALUE"""),"1 USD = 105.4391 PKR")</f>
        <v>1 USD = 105.4391 PKR</v>
      </c>
      <c r="H2251" s="9" t="str">
        <f ca="1">IFERROR(__xludf.DUMMYFUNCTION("""COMPUTED_VALUE"""),"USD PKR rate for 17/11/2017")</f>
        <v>USD PKR rate for 17/11/2017</v>
      </c>
      <c r="I2251" s="9"/>
    </row>
    <row r="2252" spans="1:9" ht="14.25" customHeight="1" x14ac:dyDescent="0.3">
      <c r="A2252" s="6">
        <v>41969</v>
      </c>
      <c r="B2252" s="7">
        <v>101.5667</v>
      </c>
      <c r="C2252" s="8">
        <f t="shared" si="17"/>
        <v>118.12326893562869</v>
      </c>
      <c r="D2252" s="9">
        <f t="shared" si="16"/>
        <v>67.900991204985914</v>
      </c>
      <c r="E2252" s="9"/>
      <c r="F2252" s="9">
        <f ca="1">IFERROR(__xludf.DUMMYFUNCTION("""COMPUTED_VALUE"""),43055)</f>
        <v>43055</v>
      </c>
      <c r="G2252" s="9" t="str">
        <f ca="1">IFERROR(__xludf.DUMMYFUNCTION("""COMPUTED_VALUE"""),"1 USD = 105.2371 PKR")</f>
        <v>1 USD = 105.2371 PKR</v>
      </c>
      <c r="H2252" s="9" t="str">
        <f ca="1">IFERROR(__xludf.DUMMYFUNCTION("""COMPUTED_VALUE"""),"USD PKR rate for 16/11/2017")</f>
        <v>USD PKR rate for 16/11/2017</v>
      </c>
      <c r="I2252" s="9"/>
    </row>
    <row r="2253" spans="1:9" ht="14.25" customHeight="1" x14ac:dyDescent="0.3">
      <c r="A2253" s="6">
        <v>41970</v>
      </c>
      <c r="B2253" s="7">
        <v>101.6973</v>
      </c>
      <c r="C2253" s="8">
        <f t="shared" si="17"/>
        <v>118.14439525491551</v>
      </c>
      <c r="D2253" s="9">
        <f t="shared" si="16"/>
        <v>67.903729037783179</v>
      </c>
      <c r="E2253" s="9"/>
      <c r="F2253" s="9">
        <f ca="1">IFERROR(__xludf.DUMMYFUNCTION("""COMPUTED_VALUE"""),43054)</f>
        <v>43054</v>
      </c>
      <c r="G2253" s="9" t="str">
        <f ca="1">IFERROR(__xludf.DUMMYFUNCTION("""COMPUTED_VALUE"""),"1 USD = 105.4222 PKR")</f>
        <v>1 USD = 105.4222 PKR</v>
      </c>
      <c r="H2253" s="9" t="str">
        <f ca="1">IFERROR(__xludf.DUMMYFUNCTION("""COMPUTED_VALUE"""),"USD PKR rate for 15/11/2017")</f>
        <v>USD PKR rate for 15/11/2017</v>
      </c>
      <c r="I2253" s="9"/>
    </row>
    <row r="2254" spans="1:9" ht="14.25" customHeight="1" x14ac:dyDescent="0.3">
      <c r="A2254" s="6">
        <v>41971</v>
      </c>
      <c r="B2254" s="7">
        <v>101.7624</v>
      </c>
      <c r="C2254" s="8">
        <f t="shared" si="17"/>
        <v>118.16552535263969</v>
      </c>
      <c r="D2254" s="9">
        <f t="shared" si="16"/>
        <v>67.906466870580445</v>
      </c>
      <c r="E2254" s="9"/>
      <c r="F2254" s="9">
        <f ca="1">IFERROR(__xludf.DUMMYFUNCTION("""COMPUTED_VALUE"""),43053)</f>
        <v>43053</v>
      </c>
      <c r="G2254" s="9" t="str">
        <f ca="1">IFERROR(__xludf.DUMMYFUNCTION("""COMPUTED_VALUE"""),"1 USD = 104.6161 PKR")</f>
        <v>1 USD = 104.6161 PKR</v>
      </c>
      <c r="H2254" s="9" t="str">
        <f ca="1">IFERROR(__xludf.DUMMYFUNCTION("""COMPUTED_VALUE"""),"USD PKR rate for 14/11/2017")</f>
        <v>USD PKR rate for 14/11/2017</v>
      </c>
      <c r="I2254" s="9"/>
    </row>
    <row r="2255" spans="1:9" ht="14.25" customHeight="1" x14ac:dyDescent="0.3">
      <c r="A2255" s="6">
        <v>41972</v>
      </c>
      <c r="B2255" s="7">
        <v>101.82470000000001</v>
      </c>
      <c r="C2255" s="8">
        <f t="shared" si="17"/>
        <v>118.18665922947693</v>
      </c>
      <c r="D2255" s="9">
        <f t="shared" si="16"/>
        <v>67.909204703377711</v>
      </c>
      <c r="E2255" s="9"/>
      <c r="F2255" s="9">
        <f ca="1">IFERROR(__xludf.DUMMYFUNCTION("""COMPUTED_VALUE"""),43052)</f>
        <v>43052</v>
      </c>
      <c r="G2255" s="9" t="str">
        <f ca="1">IFERROR(__xludf.DUMMYFUNCTION("""COMPUTED_VALUE"""),"1 USD = 105.35 PKR")</f>
        <v>1 USD = 105.35 PKR</v>
      </c>
      <c r="H2255" s="9" t="str">
        <f ca="1">IFERROR(__xludf.DUMMYFUNCTION("""COMPUTED_VALUE"""),"USD PKR rate for 13/11/2017")</f>
        <v>USD PKR rate for 13/11/2017</v>
      </c>
      <c r="I2255" s="9"/>
    </row>
    <row r="2256" spans="1:9" ht="14.25" customHeight="1" x14ac:dyDescent="0.3">
      <c r="A2256" s="6">
        <v>41973</v>
      </c>
      <c r="B2256" s="7">
        <v>102.02500000000001</v>
      </c>
      <c r="C2256" s="8">
        <f t="shared" si="17"/>
        <v>118.20779688610314</v>
      </c>
      <c r="D2256" s="9">
        <f t="shared" si="16"/>
        <v>67.911942536174976</v>
      </c>
      <c r="E2256" s="9"/>
      <c r="F2256" s="9">
        <f ca="1">IFERROR(__xludf.DUMMYFUNCTION("""COMPUTED_VALUE"""),43051)</f>
        <v>43051</v>
      </c>
      <c r="G2256" s="9" t="str">
        <f ca="1">IFERROR(__xludf.DUMMYFUNCTION("""COMPUTED_VALUE"""),"1 USD = 104.2361 PKR")</f>
        <v>1 USD = 104.2361 PKR</v>
      </c>
      <c r="H2256" s="9" t="str">
        <f ca="1">IFERROR(__xludf.DUMMYFUNCTION("""COMPUTED_VALUE"""),"USD PKR rate for 12/11/2017")</f>
        <v>USD PKR rate for 12/11/2017</v>
      </c>
      <c r="I2256" s="9"/>
    </row>
    <row r="2257" spans="1:9" ht="14.25" customHeight="1" x14ac:dyDescent="0.3">
      <c r="A2257" s="6">
        <v>41974</v>
      </c>
      <c r="B2257" s="7">
        <v>101.91840000000001</v>
      </c>
      <c r="C2257" s="8">
        <f t="shared" si="17"/>
        <v>118.22893832319426</v>
      </c>
      <c r="D2257" s="9">
        <f t="shared" si="16"/>
        <v>67.914680368972242</v>
      </c>
      <c r="E2257" s="9"/>
      <c r="F2257" s="9">
        <f ca="1">IFERROR(__xludf.DUMMYFUNCTION("""COMPUTED_VALUE"""),43050)</f>
        <v>43050</v>
      </c>
      <c r="G2257" s="9" t="str">
        <f ca="1">IFERROR(__xludf.DUMMYFUNCTION("""COMPUTED_VALUE"""),"1 USD = 104.7392 PKR")</f>
        <v>1 USD = 104.7392 PKR</v>
      </c>
      <c r="H2257" s="9" t="str">
        <f ca="1">IFERROR(__xludf.DUMMYFUNCTION("""COMPUTED_VALUE"""),"USD PKR rate for 11/11/2017")</f>
        <v>USD PKR rate for 11/11/2017</v>
      </c>
      <c r="I2257" s="9"/>
    </row>
    <row r="2258" spans="1:9" ht="14.25" customHeight="1" x14ac:dyDescent="0.3">
      <c r="A2258" s="6">
        <v>41975</v>
      </c>
      <c r="B2258" s="7">
        <v>101.77200000000001</v>
      </c>
      <c r="C2258" s="8">
        <f t="shared" si="17"/>
        <v>118.25008354142659</v>
      </c>
      <c r="D2258" s="9">
        <f t="shared" si="16"/>
        <v>67.917418201769507</v>
      </c>
      <c r="E2258" s="9"/>
      <c r="F2258" s="9">
        <f ca="1">IFERROR(__xludf.DUMMYFUNCTION("""COMPUTED_VALUE"""),43049)</f>
        <v>43049</v>
      </c>
      <c r="G2258" s="9" t="str">
        <f ca="1">IFERROR(__xludf.DUMMYFUNCTION("""COMPUTED_VALUE"""),"1 USD = 104.8691 PKR")</f>
        <v>1 USD = 104.8691 PKR</v>
      </c>
      <c r="H2258" s="9" t="str">
        <f ca="1">IFERROR(__xludf.DUMMYFUNCTION("""COMPUTED_VALUE"""),"USD PKR rate for 10/11/2017")</f>
        <v>USD PKR rate for 10/11/2017</v>
      </c>
      <c r="I2258" s="9"/>
    </row>
    <row r="2259" spans="1:9" ht="14.25" customHeight="1" x14ac:dyDescent="0.3">
      <c r="A2259" s="6">
        <v>41976</v>
      </c>
      <c r="B2259" s="7">
        <v>101.60129999999999</v>
      </c>
      <c r="C2259" s="8">
        <f t="shared" si="17"/>
        <v>118.27123254147631</v>
      </c>
      <c r="D2259" s="9">
        <f t="shared" si="16"/>
        <v>67.920156034566773</v>
      </c>
      <c r="E2259" s="9"/>
      <c r="F2259" s="9">
        <f ca="1">IFERROR(__xludf.DUMMYFUNCTION("""COMPUTED_VALUE"""),43048)</f>
        <v>43048</v>
      </c>
      <c r="G2259" s="9" t="str">
        <f ca="1">IFERROR(__xludf.DUMMYFUNCTION("""COMPUTED_VALUE"""),"1 USD = 105.1217 PKR")</f>
        <v>1 USD = 105.1217 PKR</v>
      </c>
      <c r="H2259" s="9" t="str">
        <f ca="1">IFERROR(__xludf.DUMMYFUNCTION("""COMPUTED_VALUE"""),"USD PKR rate for 09/11/2017")</f>
        <v>USD PKR rate for 09/11/2017</v>
      </c>
      <c r="I2259" s="9"/>
    </row>
    <row r="2260" spans="1:9" ht="14.25" customHeight="1" x14ac:dyDescent="0.3">
      <c r="A2260" s="6">
        <v>41977</v>
      </c>
      <c r="B2260" s="7">
        <v>101.52679999999999</v>
      </c>
      <c r="C2260" s="8">
        <f t="shared" si="17"/>
        <v>118.29238532401979</v>
      </c>
      <c r="D2260" s="9">
        <f t="shared" si="16"/>
        <v>67.922893867364039</v>
      </c>
      <c r="E2260" s="9"/>
      <c r="F2260" s="9">
        <f ca="1">IFERROR(__xludf.DUMMYFUNCTION("""COMPUTED_VALUE"""),43047)</f>
        <v>43047</v>
      </c>
      <c r="G2260" s="9" t="str">
        <f ca="1">IFERROR(__xludf.DUMMYFUNCTION("""COMPUTED_VALUE"""),"1 USD = 105.1625 PKR")</f>
        <v>1 USD = 105.1625 PKR</v>
      </c>
      <c r="H2260" s="9" t="str">
        <f ca="1">IFERROR(__xludf.DUMMYFUNCTION("""COMPUTED_VALUE"""),"USD PKR rate for 08/11/2017")</f>
        <v>USD PKR rate for 08/11/2017</v>
      </c>
      <c r="I2260" s="9"/>
    </row>
    <row r="2261" spans="1:9" ht="14.25" customHeight="1" x14ac:dyDescent="0.3">
      <c r="A2261" s="6">
        <v>41978</v>
      </c>
      <c r="B2261" s="7">
        <v>101.58369999999999</v>
      </c>
      <c r="C2261" s="8">
        <f t="shared" si="17"/>
        <v>118.31354188973351</v>
      </c>
      <c r="D2261" s="9">
        <f t="shared" si="16"/>
        <v>67.925631700161304</v>
      </c>
      <c r="E2261" s="9"/>
      <c r="F2261" s="9">
        <f ca="1">IFERROR(__xludf.DUMMYFUNCTION("""COMPUTED_VALUE"""),43046)</f>
        <v>43046</v>
      </c>
      <c r="G2261" s="9" t="str">
        <f ca="1">IFERROR(__xludf.DUMMYFUNCTION("""COMPUTED_VALUE"""),"1 USD = 105.1261 PKR")</f>
        <v>1 USD = 105.1261 PKR</v>
      </c>
      <c r="H2261" s="9" t="str">
        <f ca="1">IFERROR(__xludf.DUMMYFUNCTION("""COMPUTED_VALUE"""),"USD PKR rate for 07/11/2017")</f>
        <v>USD PKR rate for 07/11/2017</v>
      </c>
      <c r="I2261" s="9"/>
    </row>
    <row r="2262" spans="1:9" ht="14.25" customHeight="1" x14ac:dyDescent="0.3">
      <c r="A2262" s="6">
        <v>41979</v>
      </c>
      <c r="B2262" s="7">
        <v>101.48040000000002</v>
      </c>
      <c r="C2262" s="8">
        <f t="shared" si="17"/>
        <v>118.33470223929413</v>
      </c>
      <c r="D2262" s="9">
        <f t="shared" si="16"/>
        <v>67.92836953295857</v>
      </c>
      <c r="E2262" s="9"/>
      <c r="F2262" s="9">
        <f ca="1">IFERROR(__xludf.DUMMYFUNCTION("""COMPUTED_VALUE"""),43045)</f>
        <v>43045</v>
      </c>
      <c r="G2262" s="9" t="str">
        <f ca="1">IFERROR(__xludf.DUMMYFUNCTION("""COMPUTED_VALUE"""),"1 USD = 105.2119 PKR")</f>
        <v>1 USD = 105.2119 PKR</v>
      </c>
      <c r="H2262" s="9" t="str">
        <f ca="1">IFERROR(__xludf.DUMMYFUNCTION("""COMPUTED_VALUE"""),"USD PKR rate for 06/11/2017")</f>
        <v>USD PKR rate for 06/11/2017</v>
      </c>
      <c r="I2262" s="9"/>
    </row>
    <row r="2263" spans="1:9" ht="14.25" customHeight="1" x14ac:dyDescent="0.3">
      <c r="A2263" s="6">
        <v>41980</v>
      </c>
      <c r="B2263" s="7">
        <v>101.62779999999999</v>
      </c>
      <c r="C2263" s="8">
        <f t="shared" si="17"/>
        <v>118.35586637337836</v>
      </c>
      <c r="D2263" s="9">
        <f t="shared" si="16"/>
        <v>67.931107365755835</v>
      </c>
      <c r="E2263" s="9"/>
      <c r="F2263" s="9">
        <f ca="1">IFERROR(__xludf.DUMMYFUNCTION("""COMPUTED_VALUE"""),43044)</f>
        <v>43044</v>
      </c>
      <c r="G2263" s="9" t="str">
        <f ca="1">IFERROR(__xludf.DUMMYFUNCTION("""COMPUTED_VALUE"""),"1 USD = 105.5045 PKR")</f>
        <v>1 USD = 105.5045 PKR</v>
      </c>
      <c r="H2263" s="9" t="str">
        <f ca="1">IFERROR(__xludf.DUMMYFUNCTION("""COMPUTED_VALUE"""),"USD PKR rate for 05/11/2017")</f>
        <v>USD PKR rate for 05/11/2017</v>
      </c>
      <c r="I2263" s="9"/>
    </row>
    <row r="2264" spans="1:9" ht="14.25" customHeight="1" x14ac:dyDescent="0.3">
      <c r="A2264" s="6">
        <v>41981</v>
      </c>
      <c r="B2264" s="7">
        <v>101.3156</v>
      </c>
      <c r="C2264" s="8">
        <f t="shared" si="17"/>
        <v>118.37703429266308</v>
      </c>
      <c r="D2264" s="9">
        <f t="shared" si="16"/>
        <v>67.933845198553101</v>
      </c>
      <c r="E2264" s="9"/>
      <c r="F2264" s="9">
        <f ca="1">IFERROR(__xludf.DUMMYFUNCTION("""COMPUTED_VALUE"""),43043)</f>
        <v>43043</v>
      </c>
      <c r="G2264" s="9" t="str">
        <f ca="1">IFERROR(__xludf.DUMMYFUNCTION("""COMPUTED_VALUE"""),"1 USD = 105.6209 PKR")</f>
        <v>1 USD = 105.6209 PKR</v>
      </c>
      <c r="H2264" s="9" t="str">
        <f ca="1">IFERROR(__xludf.DUMMYFUNCTION("""COMPUTED_VALUE"""),"USD PKR rate for 04/11/2017")</f>
        <v>USD PKR rate for 04/11/2017</v>
      </c>
      <c r="I2264" s="9"/>
    </row>
    <row r="2265" spans="1:9" ht="14.25" customHeight="1" x14ac:dyDescent="0.3">
      <c r="A2265" s="6">
        <v>41982</v>
      </c>
      <c r="B2265" s="7">
        <v>101.11360000000001</v>
      </c>
      <c r="C2265" s="8">
        <f t="shared" si="17"/>
        <v>118.39820599782524</v>
      </c>
      <c r="D2265" s="9">
        <f t="shared" si="16"/>
        <v>67.936583031350366</v>
      </c>
      <c r="E2265" s="9"/>
      <c r="F2265" s="9">
        <f ca="1">IFERROR(__xludf.DUMMYFUNCTION("""COMPUTED_VALUE"""),43042)</f>
        <v>43042</v>
      </c>
      <c r="G2265" s="9" t="str">
        <f ca="1">IFERROR(__xludf.DUMMYFUNCTION("""COMPUTED_VALUE"""),"1 USD = 105.6209 PKR")</f>
        <v>1 USD = 105.6209 PKR</v>
      </c>
      <c r="H2265" s="9" t="str">
        <f ca="1">IFERROR(__xludf.DUMMYFUNCTION("""COMPUTED_VALUE"""),"USD PKR rate for 03/11/2017")</f>
        <v>USD PKR rate for 03/11/2017</v>
      </c>
      <c r="I2265" s="9"/>
    </row>
    <row r="2266" spans="1:9" ht="14.25" customHeight="1" x14ac:dyDescent="0.3">
      <c r="A2266" s="6">
        <v>41983</v>
      </c>
      <c r="B2266" s="7">
        <v>100.5455</v>
      </c>
      <c r="C2266" s="8">
        <f t="shared" si="17"/>
        <v>118.41938148954186</v>
      </c>
      <c r="D2266" s="9">
        <f t="shared" si="16"/>
        <v>67.939320864147632</v>
      </c>
      <c r="E2266" s="9"/>
      <c r="F2266" s="9">
        <f ca="1">IFERROR(__xludf.DUMMYFUNCTION("""COMPUTED_VALUE"""),43041)</f>
        <v>43041</v>
      </c>
      <c r="G2266" s="9" t="str">
        <f ca="1">IFERROR(__xludf.DUMMYFUNCTION("""COMPUTED_VALUE"""),"1 USD = 105.1255 PKR")</f>
        <v>1 USD = 105.1255 PKR</v>
      </c>
      <c r="H2266" s="9" t="str">
        <f ca="1">IFERROR(__xludf.DUMMYFUNCTION("""COMPUTED_VALUE"""),"USD PKR rate for 02/11/2017")</f>
        <v>USD PKR rate for 02/11/2017</v>
      </c>
      <c r="I2266" s="9"/>
    </row>
    <row r="2267" spans="1:9" ht="14.25" customHeight="1" x14ac:dyDescent="0.3">
      <c r="A2267" s="6">
        <v>41984</v>
      </c>
      <c r="B2267" s="7">
        <v>100.79170000000002</v>
      </c>
      <c r="C2267" s="8">
        <f t="shared" si="17"/>
        <v>118.44056076849039</v>
      </c>
      <c r="D2267" s="9">
        <f t="shared" si="16"/>
        <v>67.942058696944898</v>
      </c>
      <c r="E2267" s="9"/>
      <c r="F2267" s="9">
        <f ca="1">IFERROR(__xludf.DUMMYFUNCTION("""COMPUTED_VALUE"""),43040)</f>
        <v>43040</v>
      </c>
      <c r="G2267" s="9" t="str">
        <f ca="1">IFERROR(__xludf.DUMMYFUNCTION("""COMPUTED_VALUE"""),"1 USD = 105.4839 PKR")</f>
        <v>1 USD = 105.4839 PKR</v>
      </c>
      <c r="H2267" s="9" t="str">
        <f ca="1">IFERROR(__xludf.DUMMYFUNCTION("""COMPUTED_VALUE"""),"USD PKR rate for 01/11/2017")</f>
        <v>USD PKR rate for 01/11/2017</v>
      </c>
      <c r="I2267" s="9"/>
    </row>
    <row r="2268" spans="1:9" ht="14.25" customHeight="1" x14ac:dyDescent="0.3">
      <c r="A2268" s="6">
        <v>41985</v>
      </c>
      <c r="B2268" s="7">
        <v>100.46850000000001</v>
      </c>
      <c r="C2268" s="8">
        <f t="shared" si="17"/>
        <v>118.46174383534806</v>
      </c>
      <c r="D2268" s="9">
        <f t="shared" si="16"/>
        <v>67.944796529742163</v>
      </c>
      <c r="E2268" s="9"/>
      <c r="F2268" s="9">
        <f ca="1">IFERROR(__xludf.DUMMYFUNCTION("""COMPUTED_VALUE"""),43039)</f>
        <v>43039</v>
      </c>
      <c r="G2268" s="9" t="str">
        <f ca="1">IFERROR(__xludf.DUMMYFUNCTION("""COMPUTED_VALUE"""),"1 USD = 105.2236 PKR")</f>
        <v>1 USD = 105.2236 PKR</v>
      </c>
      <c r="H2268" s="9" t="str">
        <f ca="1">IFERROR(__xludf.DUMMYFUNCTION("""COMPUTED_VALUE"""),"USD PKR rate for 31/10/2017")</f>
        <v>USD PKR rate for 31/10/2017</v>
      </c>
      <c r="I2268" s="9"/>
    </row>
    <row r="2269" spans="1:9" ht="14.25" customHeight="1" x14ac:dyDescent="0.3">
      <c r="A2269" s="6">
        <v>41986</v>
      </c>
      <c r="B2269" s="7">
        <v>100.59180000000001</v>
      </c>
      <c r="C2269" s="8">
        <f t="shared" si="17"/>
        <v>118.48293069079232</v>
      </c>
      <c r="D2269" s="9">
        <f t="shared" si="16"/>
        <v>67.947534362539429</v>
      </c>
      <c r="E2269" s="9"/>
      <c r="F2269" s="9">
        <f ca="1">IFERROR(__xludf.DUMMYFUNCTION("""COMPUTED_VALUE"""),43038)</f>
        <v>43038</v>
      </c>
      <c r="G2269" s="9" t="str">
        <f ca="1">IFERROR(__xludf.DUMMYFUNCTION("""COMPUTED_VALUE"""),"1 USD = 105.2599 PKR")</f>
        <v>1 USD = 105.2599 PKR</v>
      </c>
      <c r="H2269" s="9" t="str">
        <f ca="1">IFERROR(__xludf.DUMMYFUNCTION("""COMPUTED_VALUE"""),"USD PKR rate for 30/10/2017")</f>
        <v>USD PKR rate for 30/10/2017</v>
      </c>
      <c r="I2269" s="9"/>
    </row>
    <row r="2270" spans="1:9" ht="14.25" customHeight="1" x14ac:dyDescent="0.3">
      <c r="A2270" s="6">
        <v>41987</v>
      </c>
      <c r="B2270" s="7">
        <v>100.6088</v>
      </c>
      <c r="C2270" s="8">
        <f t="shared" si="17"/>
        <v>118.50412133550077</v>
      </c>
      <c r="D2270" s="9">
        <f t="shared" si="16"/>
        <v>67.950272195336694</v>
      </c>
      <c r="E2270" s="9"/>
      <c r="F2270" s="9">
        <f ca="1">IFERROR(__xludf.DUMMYFUNCTION("""COMPUTED_VALUE"""),43037)</f>
        <v>43037</v>
      </c>
      <c r="G2270" s="9" t="str">
        <f ca="1">IFERROR(__xludf.DUMMYFUNCTION("""COMPUTED_VALUE"""),"1 USD = 105.5132 PKR")</f>
        <v>1 USD = 105.5132 PKR</v>
      </c>
      <c r="H2270" s="9" t="str">
        <f ca="1">IFERROR(__xludf.DUMMYFUNCTION("""COMPUTED_VALUE"""),"USD PKR rate for 29/10/2017")</f>
        <v>USD PKR rate for 29/10/2017</v>
      </c>
      <c r="I2270" s="9"/>
    </row>
    <row r="2271" spans="1:9" ht="14.25" customHeight="1" x14ac:dyDescent="0.3">
      <c r="A2271" s="6">
        <v>41988</v>
      </c>
      <c r="B2271" s="7">
        <v>100.3818</v>
      </c>
      <c r="C2271" s="8">
        <f t="shared" si="17"/>
        <v>118.5253157701511</v>
      </c>
      <c r="D2271" s="9">
        <f t="shared" si="16"/>
        <v>67.95301002813396</v>
      </c>
      <c r="E2271" s="9"/>
      <c r="F2271" s="9">
        <f ca="1">IFERROR(__xludf.DUMMYFUNCTION("""COMPUTED_VALUE"""),43036)</f>
        <v>43036</v>
      </c>
      <c r="G2271" s="9" t="str">
        <f ca="1">IFERROR(__xludf.DUMMYFUNCTION("""COMPUTED_VALUE"""),"1 USD = 105.5439 PKR")</f>
        <v>1 USD = 105.5439 PKR</v>
      </c>
      <c r="H2271" s="9" t="str">
        <f ca="1">IFERROR(__xludf.DUMMYFUNCTION("""COMPUTED_VALUE"""),"USD PKR rate for 28/10/2017")</f>
        <v>USD PKR rate for 28/10/2017</v>
      </c>
      <c r="I2271" s="9"/>
    </row>
    <row r="2272" spans="1:9" ht="14.25" customHeight="1" x14ac:dyDescent="0.3">
      <c r="A2272" s="6">
        <v>41989</v>
      </c>
      <c r="B2272" s="7">
        <v>100.47669999999999</v>
      </c>
      <c r="C2272" s="8">
        <f t="shared" si="17"/>
        <v>118.54651399542118</v>
      </c>
      <c r="D2272" s="9">
        <f t="shared" si="16"/>
        <v>67.955747860931226</v>
      </c>
      <c r="E2272" s="9"/>
      <c r="F2272" s="9">
        <f ca="1">IFERROR(__xludf.DUMMYFUNCTION("""COMPUTED_VALUE"""),43035)</f>
        <v>43035</v>
      </c>
      <c r="G2272" s="9" t="str">
        <f ca="1">IFERROR(__xludf.DUMMYFUNCTION("""COMPUTED_VALUE"""),"1 USD = 105.5439 PKR")</f>
        <v>1 USD = 105.5439 PKR</v>
      </c>
      <c r="H2272" s="9" t="str">
        <f ca="1">IFERROR(__xludf.DUMMYFUNCTION("""COMPUTED_VALUE"""),"USD PKR rate for 27/10/2017")</f>
        <v>USD PKR rate for 27/10/2017</v>
      </c>
      <c r="I2272" s="9"/>
    </row>
    <row r="2273" spans="1:9" ht="14.25" customHeight="1" x14ac:dyDescent="0.3">
      <c r="A2273" s="6">
        <v>41990</v>
      </c>
      <c r="B2273" s="7">
        <v>100.69020000000002</v>
      </c>
      <c r="C2273" s="8">
        <f t="shared" si="17"/>
        <v>118.56771601198892</v>
      </c>
      <c r="D2273" s="9">
        <f t="shared" si="16"/>
        <v>67.958485693728491</v>
      </c>
      <c r="E2273" s="9"/>
      <c r="F2273" s="9">
        <f ca="1">IFERROR(__xludf.DUMMYFUNCTION("""COMPUTED_VALUE"""),43034)</f>
        <v>43034</v>
      </c>
      <c r="G2273" s="9" t="str">
        <f ca="1">IFERROR(__xludf.DUMMYFUNCTION("""COMPUTED_VALUE"""),"1 USD = 105.4015 PKR")</f>
        <v>1 USD = 105.4015 PKR</v>
      </c>
      <c r="H2273" s="9" t="str">
        <f ca="1">IFERROR(__xludf.DUMMYFUNCTION("""COMPUTED_VALUE"""),"USD PKR rate for 26/10/2017")</f>
        <v>USD PKR rate for 26/10/2017</v>
      </c>
      <c r="I2273" s="9"/>
    </row>
    <row r="2274" spans="1:9" ht="14.25" customHeight="1" x14ac:dyDescent="0.3">
      <c r="A2274" s="6">
        <v>41991</v>
      </c>
      <c r="B2274" s="7">
        <v>100.489</v>
      </c>
      <c r="C2274" s="8">
        <f t="shared" si="17"/>
        <v>118.58892182053242</v>
      </c>
      <c r="D2274" s="9">
        <f t="shared" si="16"/>
        <v>67.961223526525757</v>
      </c>
      <c r="E2274" s="9"/>
      <c r="F2274" s="9">
        <f ca="1">IFERROR(__xludf.DUMMYFUNCTION("""COMPUTED_VALUE"""),43033)</f>
        <v>43033</v>
      </c>
      <c r="G2274" s="9" t="str">
        <f ca="1">IFERROR(__xludf.DUMMYFUNCTION("""COMPUTED_VALUE"""),"1 USD = 105.0076 PKR")</f>
        <v>1 USD = 105.0076 PKR</v>
      </c>
      <c r="H2274" s="9" t="str">
        <f ca="1">IFERROR(__xludf.DUMMYFUNCTION("""COMPUTED_VALUE"""),"USD PKR rate for 25/10/2017")</f>
        <v>USD PKR rate for 25/10/2017</v>
      </c>
      <c r="I2274" s="9"/>
    </row>
    <row r="2275" spans="1:9" ht="14.25" customHeight="1" x14ac:dyDescent="0.3">
      <c r="A2275" s="6">
        <v>41992</v>
      </c>
      <c r="B2275" s="7">
        <v>100.44240000000001</v>
      </c>
      <c r="C2275" s="8">
        <f t="shared" si="17"/>
        <v>118.61013142172978</v>
      </c>
      <c r="D2275" s="9">
        <f t="shared" si="16"/>
        <v>67.963961359323022</v>
      </c>
      <c r="E2275" s="9"/>
      <c r="F2275" s="9">
        <f ca="1">IFERROR(__xludf.DUMMYFUNCTION("""COMPUTED_VALUE"""),43032)</f>
        <v>43032</v>
      </c>
      <c r="G2275" s="9" t="str">
        <f ca="1">IFERROR(__xludf.DUMMYFUNCTION("""COMPUTED_VALUE"""),"1 USD = 105.3098 PKR")</f>
        <v>1 USD = 105.3098 PKR</v>
      </c>
      <c r="H2275" s="9" t="str">
        <f ca="1">IFERROR(__xludf.DUMMYFUNCTION("""COMPUTED_VALUE"""),"USD PKR rate for 24/10/2017")</f>
        <v>USD PKR rate for 24/10/2017</v>
      </c>
      <c r="I2275" s="9"/>
    </row>
    <row r="2276" spans="1:9" ht="14.25" customHeight="1" x14ac:dyDescent="0.3">
      <c r="A2276" s="6">
        <v>41993</v>
      </c>
      <c r="B2276" s="7">
        <v>100.3186</v>
      </c>
      <c r="C2276" s="8">
        <f t="shared" si="17"/>
        <v>118.63134481625949</v>
      </c>
      <c r="D2276" s="9">
        <f t="shared" si="16"/>
        <v>67.966699192120288</v>
      </c>
      <c r="E2276" s="9"/>
      <c r="F2276" s="9">
        <f ca="1">IFERROR(__xludf.DUMMYFUNCTION("""COMPUTED_VALUE"""),43031)</f>
        <v>43031</v>
      </c>
      <c r="G2276" s="9" t="str">
        <f ca="1">IFERROR(__xludf.DUMMYFUNCTION("""COMPUTED_VALUE"""),"1 USD = 105.3433 PKR")</f>
        <v>1 USD = 105.3433 PKR</v>
      </c>
      <c r="H2276" s="9" t="str">
        <f ca="1">IFERROR(__xludf.DUMMYFUNCTION("""COMPUTED_VALUE"""),"USD PKR rate for 23/10/2017")</f>
        <v>USD PKR rate for 23/10/2017</v>
      </c>
      <c r="I2276" s="9"/>
    </row>
    <row r="2277" spans="1:9" ht="14.25" customHeight="1" x14ac:dyDescent="0.3">
      <c r="A2277" s="6">
        <v>41994</v>
      </c>
      <c r="B2277" s="7">
        <v>99.899199999999993</v>
      </c>
      <c r="C2277" s="8">
        <f t="shared" si="17"/>
        <v>118.65256200479989</v>
      </c>
      <c r="D2277" s="9">
        <f t="shared" si="16"/>
        <v>67.969437024917553</v>
      </c>
      <c r="E2277" s="9"/>
      <c r="F2277" s="9">
        <f ca="1">IFERROR(__xludf.DUMMYFUNCTION("""COMPUTED_VALUE"""),43030)</f>
        <v>43030</v>
      </c>
      <c r="G2277" s="9" t="str">
        <f ca="1">IFERROR(__xludf.DUMMYFUNCTION("""COMPUTED_VALUE"""),"1 USD = 105.3766 PKR")</f>
        <v>1 USD = 105.3766 PKR</v>
      </c>
      <c r="H2277" s="9" t="str">
        <f ca="1">IFERROR(__xludf.DUMMYFUNCTION("""COMPUTED_VALUE"""),"USD PKR rate for 22/10/2017")</f>
        <v>USD PKR rate for 22/10/2017</v>
      </c>
      <c r="I2277" s="9"/>
    </row>
    <row r="2278" spans="1:9" ht="14.25" customHeight="1" x14ac:dyDescent="0.3">
      <c r="A2278" s="6">
        <v>41995</v>
      </c>
      <c r="B2278" s="7">
        <v>100.3317</v>
      </c>
      <c r="C2278" s="8">
        <f t="shared" si="17"/>
        <v>118.67378298802954</v>
      </c>
      <c r="D2278" s="9">
        <f t="shared" si="16"/>
        <v>67.972174857714819</v>
      </c>
      <c r="E2278" s="9"/>
      <c r="F2278" s="9">
        <f ca="1">IFERROR(__xludf.DUMMYFUNCTION("""COMPUTED_VALUE"""),43029)</f>
        <v>43029</v>
      </c>
      <c r="G2278" s="9" t="str">
        <f ca="1">IFERROR(__xludf.DUMMYFUNCTION("""COMPUTED_VALUE"""),"1 USD = 105.3624 PKR")</f>
        <v>1 USD = 105.3624 PKR</v>
      </c>
      <c r="H2278" s="9" t="str">
        <f ca="1">IFERROR(__xludf.DUMMYFUNCTION("""COMPUTED_VALUE"""),"USD PKR rate for 21/10/2017")</f>
        <v>USD PKR rate for 21/10/2017</v>
      </c>
      <c r="I2278" s="9"/>
    </row>
    <row r="2279" spans="1:9" ht="14.25" customHeight="1" x14ac:dyDescent="0.3">
      <c r="A2279" s="6">
        <v>41996</v>
      </c>
      <c r="B2279" s="7">
        <v>100.65050000000001</v>
      </c>
      <c r="C2279" s="8">
        <f t="shared" si="17"/>
        <v>118.69500776662714</v>
      </c>
      <c r="D2279" s="9">
        <f t="shared" si="16"/>
        <v>67.974912690512085</v>
      </c>
      <c r="E2279" s="9"/>
      <c r="F2279" s="9">
        <f ca="1">IFERROR(__xludf.DUMMYFUNCTION("""COMPUTED_VALUE"""),43028)</f>
        <v>43028</v>
      </c>
      <c r="G2279" s="9" t="str">
        <f ca="1">IFERROR(__xludf.DUMMYFUNCTION("""COMPUTED_VALUE"""),"1 USD = 105.4104 PKR")</f>
        <v>1 USD = 105.4104 PKR</v>
      </c>
      <c r="H2279" s="9" t="str">
        <f ca="1">IFERROR(__xludf.DUMMYFUNCTION("""COMPUTED_VALUE"""),"USD PKR rate for 20/10/2017")</f>
        <v>USD PKR rate for 20/10/2017</v>
      </c>
      <c r="I2279" s="9"/>
    </row>
    <row r="2280" spans="1:9" ht="14.25" customHeight="1" x14ac:dyDescent="0.3">
      <c r="A2280" s="6">
        <v>41997</v>
      </c>
      <c r="B2280" s="7">
        <v>100.5895</v>
      </c>
      <c r="C2280" s="8">
        <f t="shared" si="17"/>
        <v>118.71623634127148</v>
      </c>
      <c r="D2280" s="9">
        <f t="shared" si="16"/>
        <v>67.97765052330935</v>
      </c>
      <c r="E2280" s="9"/>
      <c r="F2280" s="9">
        <f ca="1">IFERROR(__xludf.DUMMYFUNCTION("""COMPUTED_VALUE"""),43027)</f>
        <v>43027</v>
      </c>
      <c r="G2280" s="9" t="str">
        <f ca="1">IFERROR(__xludf.DUMMYFUNCTION("""COMPUTED_VALUE"""),"1 USD = 105.0236 PKR")</f>
        <v>1 USD = 105.0236 PKR</v>
      </c>
      <c r="H2280" s="9" t="str">
        <f ca="1">IFERROR(__xludf.DUMMYFUNCTION("""COMPUTED_VALUE"""),"USD PKR rate for 19/10/2017")</f>
        <v>USD PKR rate for 19/10/2017</v>
      </c>
      <c r="I2280" s="9"/>
    </row>
    <row r="2281" spans="1:9" ht="14.25" customHeight="1" x14ac:dyDescent="0.3">
      <c r="A2281" s="6">
        <v>41998</v>
      </c>
      <c r="B2281" s="7">
        <v>100.55240000000001</v>
      </c>
      <c r="C2281" s="8">
        <f t="shared" si="17"/>
        <v>118.73746871264146</v>
      </c>
      <c r="D2281" s="9">
        <f t="shared" si="16"/>
        <v>67.980388356106616</v>
      </c>
      <c r="E2281" s="9"/>
      <c r="F2281" s="9">
        <f ca="1">IFERROR(__xludf.DUMMYFUNCTION("""COMPUTED_VALUE"""),43026)</f>
        <v>43026</v>
      </c>
      <c r="G2281" s="9" t="str">
        <f ca="1">IFERROR(__xludf.DUMMYFUNCTION("""COMPUTED_VALUE"""),"1 USD = 104.9596 PKR")</f>
        <v>1 USD = 104.9596 PKR</v>
      </c>
      <c r="H2281" s="9" t="str">
        <f ca="1">IFERROR(__xludf.DUMMYFUNCTION("""COMPUTED_VALUE"""),"USD PKR rate for 18/10/2017")</f>
        <v>USD PKR rate for 18/10/2017</v>
      </c>
      <c r="I2281" s="9"/>
    </row>
    <row r="2282" spans="1:9" ht="14.25" customHeight="1" x14ac:dyDescent="0.3">
      <c r="A2282" s="6">
        <v>41999</v>
      </c>
      <c r="B2282" s="7">
        <v>100.70869999999999</v>
      </c>
      <c r="C2282" s="8">
        <f t="shared" si="17"/>
        <v>118.75870488141616</v>
      </c>
      <c r="D2282" s="9">
        <f t="shared" si="16"/>
        <v>67.983126188903881</v>
      </c>
      <c r="E2282" s="9"/>
      <c r="F2282" s="9">
        <f ca="1">IFERROR(__xludf.DUMMYFUNCTION("""COMPUTED_VALUE"""),43025)</f>
        <v>43025</v>
      </c>
      <c r="G2282" s="9" t="str">
        <f ca="1">IFERROR(__xludf.DUMMYFUNCTION("""COMPUTED_VALUE"""),"1 USD = 105.2858 PKR")</f>
        <v>1 USD = 105.2858 PKR</v>
      </c>
      <c r="H2282" s="9" t="str">
        <f ca="1">IFERROR(__xludf.DUMMYFUNCTION("""COMPUTED_VALUE"""),"USD PKR rate for 17/10/2017")</f>
        <v>USD PKR rate for 17/10/2017</v>
      </c>
      <c r="I2282" s="9"/>
    </row>
    <row r="2283" spans="1:9" ht="14.25" customHeight="1" x14ac:dyDescent="0.3">
      <c r="A2283" s="6">
        <v>42000</v>
      </c>
      <c r="B2283" s="7">
        <v>100.7787</v>
      </c>
      <c r="C2283" s="8">
        <f t="shared" si="17"/>
        <v>118.77994484827471</v>
      </c>
      <c r="D2283" s="9">
        <f t="shared" si="16"/>
        <v>67.985864021701147</v>
      </c>
      <c r="E2283" s="9"/>
      <c r="F2283" s="9">
        <f ca="1">IFERROR(__xludf.DUMMYFUNCTION("""COMPUTED_VALUE"""),43024)</f>
        <v>43024</v>
      </c>
      <c r="G2283" s="9" t="str">
        <f ca="1">IFERROR(__xludf.DUMMYFUNCTION("""COMPUTED_VALUE"""),"1 USD = 105.29 PKR")</f>
        <v>1 USD = 105.29 PKR</v>
      </c>
      <c r="H2283" s="9" t="str">
        <f ca="1">IFERROR(__xludf.DUMMYFUNCTION("""COMPUTED_VALUE"""),"USD PKR rate for 16/10/2017")</f>
        <v>USD PKR rate for 16/10/2017</v>
      </c>
      <c r="I2283" s="9"/>
    </row>
    <row r="2284" spans="1:9" ht="14.25" customHeight="1" x14ac:dyDescent="0.3">
      <c r="A2284" s="6">
        <v>42001</v>
      </c>
      <c r="B2284" s="7">
        <v>100.78579999999999</v>
      </c>
      <c r="C2284" s="8">
        <f t="shared" si="17"/>
        <v>118.80118861389631</v>
      </c>
      <c r="D2284" s="9">
        <f t="shared" si="16"/>
        <v>67.988601854498413</v>
      </c>
      <c r="E2284" s="9"/>
      <c r="F2284" s="9">
        <f ca="1">IFERROR(__xludf.DUMMYFUNCTION("""COMPUTED_VALUE"""),43023)</f>
        <v>43023</v>
      </c>
      <c r="G2284" s="9" t="str">
        <f ca="1">IFERROR(__xludf.DUMMYFUNCTION("""COMPUTED_VALUE"""),"1 USD = 105.3698 PKR")</f>
        <v>1 USD = 105.3698 PKR</v>
      </c>
      <c r="H2284" s="9" t="str">
        <f ca="1">IFERROR(__xludf.DUMMYFUNCTION("""COMPUTED_VALUE"""),"USD PKR rate for 15/10/2017")</f>
        <v>USD PKR rate for 15/10/2017</v>
      </c>
      <c r="I2284" s="9"/>
    </row>
    <row r="2285" spans="1:9" ht="14.25" customHeight="1" x14ac:dyDescent="0.3">
      <c r="A2285" s="6">
        <v>42002</v>
      </c>
      <c r="B2285" s="7">
        <v>101.01179999999999</v>
      </c>
      <c r="C2285" s="8">
        <f t="shared" si="17"/>
        <v>118.8224361789606</v>
      </c>
      <c r="D2285" s="9">
        <f t="shared" si="16"/>
        <v>67.991339687295678</v>
      </c>
      <c r="E2285" s="9"/>
      <c r="F2285" s="9">
        <f ca="1">IFERROR(__xludf.DUMMYFUNCTION("""COMPUTED_VALUE"""),43022)</f>
        <v>43022</v>
      </c>
      <c r="G2285" s="9" t="str">
        <f ca="1">IFERROR(__xludf.DUMMYFUNCTION("""COMPUTED_VALUE"""),"1 USD = 105.383 PKR")</f>
        <v>1 USD = 105.383 PKR</v>
      </c>
      <c r="H2285" s="9" t="str">
        <f ca="1">IFERROR(__xludf.DUMMYFUNCTION("""COMPUTED_VALUE"""),"USD PKR rate for 14/10/2017")</f>
        <v>USD PKR rate for 14/10/2017</v>
      </c>
      <c r="I2285" s="9"/>
    </row>
    <row r="2286" spans="1:9" ht="14.25" customHeight="1" x14ac:dyDescent="0.3">
      <c r="A2286" s="6">
        <v>42003</v>
      </c>
      <c r="B2286" s="7">
        <v>100.69880000000001</v>
      </c>
      <c r="C2286" s="8">
        <f t="shared" si="17"/>
        <v>118.84368754414696</v>
      </c>
      <c r="D2286" s="9">
        <f t="shared" si="16"/>
        <v>67.994077520092944</v>
      </c>
      <c r="E2286" s="9"/>
      <c r="F2286" s="9">
        <f ca="1">IFERROR(__xludf.DUMMYFUNCTION("""COMPUTED_VALUE"""),43021)</f>
        <v>43021</v>
      </c>
      <c r="G2286" s="9" t="str">
        <f ca="1">IFERROR(__xludf.DUMMYFUNCTION("""COMPUTED_VALUE"""),"1 USD = 105.3753 PKR")</f>
        <v>1 USD = 105.3753 PKR</v>
      </c>
      <c r="H2286" s="9" t="str">
        <f ca="1">IFERROR(__xludf.DUMMYFUNCTION("""COMPUTED_VALUE"""),"USD PKR rate for 13/10/2017")</f>
        <v>USD PKR rate for 13/10/2017</v>
      </c>
      <c r="I2286" s="9"/>
    </row>
    <row r="2287" spans="1:9" ht="14.25" customHeight="1" x14ac:dyDescent="0.3">
      <c r="A2287" s="6">
        <v>42004</v>
      </c>
      <c r="B2287" s="7">
        <v>100.66190000000002</v>
      </c>
      <c r="C2287" s="8">
        <f t="shared" si="17"/>
        <v>118.86494271013507</v>
      </c>
      <c r="D2287" s="9">
        <f t="shared" si="16"/>
        <v>67.996815352890209</v>
      </c>
      <c r="E2287" s="9"/>
      <c r="F2287" s="9">
        <f ca="1">IFERROR(__xludf.DUMMYFUNCTION("""COMPUTED_VALUE"""),43020)</f>
        <v>43020</v>
      </c>
      <c r="G2287" s="9" t="str">
        <f ca="1">IFERROR(__xludf.DUMMYFUNCTION("""COMPUTED_VALUE"""),"1 USD = 105.2642 PKR")</f>
        <v>1 USD = 105.2642 PKR</v>
      </c>
      <c r="H2287" s="9" t="str">
        <f ca="1">IFERROR(__xludf.DUMMYFUNCTION("""COMPUTED_VALUE"""),"USD PKR rate for 12/10/2017")</f>
        <v>USD PKR rate for 12/10/2017</v>
      </c>
      <c r="I2287" s="9"/>
    </row>
    <row r="2288" spans="1:9" ht="14.25" customHeight="1" x14ac:dyDescent="0.3">
      <c r="A2288" s="6">
        <v>42005</v>
      </c>
      <c r="B2288" s="7">
        <v>100.81619999999999</v>
      </c>
      <c r="C2288" s="8">
        <f t="shared" si="17"/>
        <v>118.88620167760479</v>
      </c>
      <c r="D2288" s="9">
        <f t="shared" si="16"/>
        <v>67.999553185687489</v>
      </c>
      <c r="E2288" s="9"/>
      <c r="F2288" s="9">
        <f ca="1">IFERROR(__xludf.DUMMYFUNCTION("""COMPUTED_VALUE"""),43019)</f>
        <v>43019</v>
      </c>
      <c r="G2288" s="9" t="str">
        <f ca="1">IFERROR(__xludf.DUMMYFUNCTION("""COMPUTED_VALUE"""),"1 USD = 104.834 PKR")</f>
        <v>1 USD = 104.834 PKR</v>
      </c>
      <c r="H2288" s="9" t="str">
        <f ca="1">IFERROR(__xludf.DUMMYFUNCTION("""COMPUTED_VALUE"""),"USD PKR rate for 11/10/2017")</f>
        <v>USD PKR rate for 11/10/2017</v>
      </c>
      <c r="I2288" s="9"/>
    </row>
    <row r="2289" spans="1:9" ht="14.25" customHeight="1" x14ac:dyDescent="0.3">
      <c r="A2289" s="6">
        <v>42006</v>
      </c>
      <c r="B2289" s="7">
        <v>100.86020000000002</v>
      </c>
      <c r="C2289" s="8">
        <f t="shared" si="17"/>
        <v>118.90746444723581</v>
      </c>
      <c r="D2289" s="9">
        <f t="shared" si="16"/>
        <v>68.002291018484755</v>
      </c>
      <c r="E2289" s="9"/>
      <c r="F2289" s="9">
        <f ca="1">IFERROR(__xludf.DUMMYFUNCTION("""COMPUTED_VALUE"""),43018)</f>
        <v>43018</v>
      </c>
      <c r="G2289" s="9" t="str">
        <f ca="1">IFERROR(__xludf.DUMMYFUNCTION("""COMPUTED_VALUE"""),"1 USD = 105.0011 PKR")</f>
        <v>1 USD = 105.0011 PKR</v>
      </c>
      <c r="H2289" s="9" t="str">
        <f ca="1">IFERROR(__xludf.DUMMYFUNCTION("""COMPUTED_VALUE"""),"USD PKR rate for 10/10/2017")</f>
        <v>USD PKR rate for 10/10/2017</v>
      </c>
      <c r="I2289" s="9"/>
    </row>
    <row r="2290" spans="1:9" ht="14.25" customHeight="1" x14ac:dyDescent="0.3">
      <c r="A2290" s="6">
        <v>42007</v>
      </c>
      <c r="B2290" s="7">
        <v>100.8712</v>
      </c>
      <c r="C2290" s="8">
        <f t="shared" si="17"/>
        <v>118.92873101970827</v>
      </c>
      <c r="D2290" s="9">
        <f t="shared" si="16"/>
        <v>68.00502885128202</v>
      </c>
      <c r="E2290" s="9"/>
      <c r="F2290" s="9">
        <f ca="1">IFERROR(__xludf.DUMMYFUNCTION("""COMPUTED_VALUE"""),43017)</f>
        <v>43017</v>
      </c>
      <c r="G2290" s="9" t="str">
        <f ca="1">IFERROR(__xludf.DUMMYFUNCTION("""COMPUTED_VALUE"""),"1 USD = 105.2894 PKR")</f>
        <v>1 USD = 105.2894 PKR</v>
      </c>
      <c r="H2290" s="9" t="str">
        <f ca="1">IFERROR(__xludf.DUMMYFUNCTION("""COMPUTED_VALUE"""),"USD PKR rate for 09/10/2017")</f>
        <v>USD PKR rate for 09/10/2017</v>
      </c>
      <c r="I2290" s="9"/>
    </row>
    <row r="2291" spans="1:9" ht="14.25" customHeight="1" x14ac:dyDescent="0.3">
      <c r="A2291" s="6">
        <v>42008</v>
      </c>
      <c r="B2291" s="7">
        <v>100.9213</v>
      </c>
      <c r="C2291" s="8">
        <f t="shared" si="17"/>
        <v>118.95000139570226</v>
      </c>
      <c r="D2291" s="9">
        <f t="shared" si="16"/>
        <v>68.007766684079286</v>
      </c>
      <c r="E2291" s="9"/>
      <c r="F2291" s="9">
        <f ca="1">IFERROR(__xludf.DUMMYFUNCTION("""COMPUTED_VALUE"""),43016)</f>
        <v>43016</v>
      </c>
      <c r="G2291" s="9" t="str">
        <f ca="1">IFERROR(__xludf.DUMMYFUNCTION("""COMPUTED_VALUE"""),"1 USD = 105.0081 PKR")</f>
        <v>1 USD = 105.0081 PKR</v>
      </c>
      <c r="H2291" s="9" t="str">
        <f ca="1">IFERROR(__xludf.DUMMYFUNCTION("""COMPUTED_VALUE"""),"USD PKR rate for 08/10/2017")</f>
        <v>USD PKR rate for 08/10/2017</v>
      </c>
      <c r="I2291" s="9"/>
    </row>
    <row r="2292" spans="1:9" ht="14.25" customHeight="1" x14ac:dyDescent="0.3">
      <c r="A2292" s="6">
        <v>42009</v>
      </c>
      <c r="B2292" s="7">
        <v>100.8544</v>
      </c>
      <c r="C2292" s="8">
        <f t="shared" si="17"/>
        <v>118.97127557589808</v>
      </c>
      <c r="D2292" s="9">
        <f t="shared" si="16"/>
        <v>68.010504516876551</v>
      </c>
      <c r="E2292" s="9"/>
      <c r="F2292" s="9">
        <f ca="1">IFERROR(__xludf.DUMMYFUNCTION("""COMPUTED_VALUE"""),43015)</f>
        <v>43015</v>
      </c>
      <c r="G2292" s="9" t="str">
        <f ca="1">IFERROR(__xludf.DUMMYFUNCTION("""COMPUTED_VALUE"""),"1 USD = 105.0139 PKR")</f>
        <v>1 USD = 105.0139 PKR</v>
      </c>
      <c r="H2292" s="9" t="str">
        <f ca="1">IFERROR(__xludf.DUMMYFUNCTION("""COMPUTED_VALUE"""),"USD PKR rate for 07/10/2017")</f>
        <v>USD PKR rate for 07/10/2017</v>
      </c>
      <c r="I2292" s="9"/>
    </row>
    <row r="2293" spans="1:9" ht="14.25" customHeight="1" x14ac:dyDescent="0.3">
      <c r="A2293" s="6">
        <v>42010</v>
      </c>
      <c r="B2293" s="7">
        <v>101.005</v>
      </c>
      <c r="C2293" s="8">
        <f t="shared" si="17"/>
        <v>118.99255356097611</v>
      </c>
      <c r="D2293" s="9">
        <f t="shared" si="16"/>
        <v>68.013242349673817</v>
      </c>
      <c r="E2293" s="9"/>
      <c r="F2293" s="9">
        <f ca="1">IFERROR(__xludf.DUMMYFUNCTION("""COMPUTED_VALUE"""),43014)</f>
        <v>43014</v>
      </c>
      <c r="G2293" s="9" t="str">
        <f ca="1">IFERROR(__xludf.DUMMYFUNCTION("""COMPUTED_VALUE"""),"1 USD = 105.0517 PKR")</f>
        <v>1 USD = 105.0517 PKR</v>
      </c>
      <c r="H2293" s="9" t="str">
        <f ca="1">IFERROR(__xludf.DUMMYFUNCTION("""COMPUTED_VALUE"""),"USD PKR rate for 06/10/2017")</f>
        <v>USD PKR rate for 06/10/2017</v>
      </c>
      <c r="I2293" s="9"/>
    </row>
    <row r="2294" spans="1:9" ht="14.25" customHeight="1" x14ac:dyDescent="0.3">
      <c r="A2294" s="6">
        <v>42011</v>
      </c>
      <c r="B2294" s="7">
        <v>100.8563</v>
      </c>
      <c r="C2294" s="8">
        <f t="shared" si="17"/>
        <v>119.01383535161672</v>
      </c>
      <c r="D2294" s="9">
        <f t="shared" si="16"/>
        <v>68.015980182471083</v>
      </c>
      <c r="E2294" s="9"/>
      <c r="F2294" s="9">
        <f ca="1">IFERROR(__xludf.DUMMYFUNCTION("""COMPUTED_VALUE"""),43013)</f>
        <v>43013</v>
      </c>
      <c r="G2294" s="9" t="str">
        <f ca="1">IFERROR(__xludf.DUMMYFUNCTION("""COMPUTED_VALUE"""),"1 USD = 105.6509 PKR")</f>
        <v>1 USD = 105.6509 PKR</v>
      </c>
      <c r="H2294" s="9" t="str">
        <f ca="1">IFERROR(__xludf.DUMMYFUNCTION("""COMPUTED_VALUE"""),"USD PKR rate for 05/10/2017")</f>
        <v>USD PKR rate for 05/10/2017</v>
      </c>
      <c r="I2294" s="9"/>
    </row>
    <row r="2295" spans="1:9" ht="14.25" customHeight="1" x14ac:dyDescent="0.3">
      <c r="A2295" s="6">
        <v>42012</v>
      </c>
      <c r="B2295" s="7">
        <v>100.78</v>
      </c>
      <c r="C2295" s="8">
        <f t="shared" si="17"/>
        <v>119.03512094850079</v>
      </c>
      <c r="D2295" s="9">
        <f t="shared" si="16"/>
        <v>68.018718015268348</v>
      </c>
      <c r="E2295" s="9"/>
      <c r="F2295" s="9">
        <f ca="1">IFERROR(__xludf.DUMMYFUNCTION("""COMPUTED_VALUE"""),43012)</f>
        <v>43012</v>
      </c>
      <c r="G2295" s="9" t="str">
        <f ca="1">IFERROR(__xludf.DUMMYFUNCTION("""COMPUTED_VALUE"""),"1 USD = 105.5071 PKR")</f>
        <v>1 USD = 105.5071 PKR</v>
      </c>
      <c r="H2295" s="9" t="str">
        <f ca="1">IFERROR(__xludf.DUMMYFUNCTION("""COMPUTED_VALUE"""),"USD PKR rate for 04/10/2017")</f>
        <v>USD PKR rate for 04/10/2017</v>
      </c>
      <c r="I2295" s="9"/>
    </row>
    <row r="2296" spans="1:9" ht="14.25" customHeight="1" x14ac:dyDescent="0.3">
      <c r="A2296" s="6">
        <v>42013</v>
      </c>
      <c r="B2296" s="7">
        <v>100.7355</v>
      </c>
      <c r="C2296" s="8">
        <f t="shared" si="17"/>
        <v>119.05641035230892</v>
      </c>
      <c r="D2296" s="9">
        <f t="shared" si="16"/>
        <v>68.021455848065614</v>
      </c>
      <c r="E2296" s="9"/>
      <c r="F2296" s="9">
        <f ca="1">IFERROR(__xludf.DUMMYFUNCTION("""COMPUTED_VALUE"""),43011)</f>
        <v>43011</v>
      </c>
      <c r="G2296" s="9" t="str">
        <f ca="1">IFERROR(__xludf.DUMMYFUNCTION("""COMPUTED_VALUE"""),"1 USD = 105.5576 PKR")</f>
        <v>1 USD = 105.5576 PKR</v>
      </c>
      <c r="H2296" s="9" t="str">
        <f ca="1">IFERROR(__xludf.DUMMYFUNCTION("""COMPUTED_VALUE"""),"USD PKR rate for 03/10/2017")</f>
        <v>USD PKR rate for 03/10/2017</v>
      </c>
      <c r="I2296" s="9"/>
    </row>
    <row r="2297" spans="1:9" ht="14.25" customHeight="1" x14ac:dyDescent="0.3">
      <c r="A2297" s="6">
        <v>42014</v>
      </c>
      <c r="B2297" s="7">
        <v>100.7231</v>
      </c>
      <c r="C2297" s="8">
        <f t="shared" si="17"/>
        <v>119.07770356372198</v>
      </c>
      <c r="D2297" s="9">
        <f t="shared" si="16"/>
        <v>68.024193680862879</v>
      </c>
      <c r="E2297" s="9"/>
      <c r="F2297" s="9">
        <f ca="1">IFERROR(__xludf.DUMMYFUNCTION("""COMPUTED_VALUE"""),43010)</f>
        <v>43010</v>
      </c>
      <c r="G2297" s="9" t="str">
        <f ca="1">IFERROR(__xludf.DUMMYFUNCTION("""COMPUTED_VALUE"""),"1 USD = 105.5149 PKR")</f>
        <v>1 USD = 105.5149 PKR</v>
      </c>
      <c r="H2297" s="9" t="str">
        <f ca="1">IFERROR(__xludf.DUMMYFUNCTION("""COMPUTED_VALUE"""),"USD PKR rate for 02/10/2017")</f>
        <v>USD PKR rate for 02/10/2017</v>
      </c>
      <c r="I2297" s="9"/>
    </row>
    <row r="2298" spans="1:9" ht="14.25" customHeight="1" x14ac:dyDescent="0.3">
      <c r="A2298" s="6">
        <v>42015</v>
      </c>
      <c r="B2298" s="7">
        <v>100.6465</v>
      </c>
      <c r="C2298" s="8">
        <f t="shared" si="17"/>
        <v>119.09900058342099</v>
      </c>
      <c r="D2298" s="9">
        <f t="shared" ref="D2298:D2552" si="18">(A2298-$A$3)/365.2524</f>
        <v>68.026931513660145</v>
      </c>
      <c r="E2298" s="9"/>
      <c r="F2298" s="9">
        <f ca="1">IFERROR(__xludf.DUMMYFUNCTION("""COMPUTED_VALUE"""),43009)</f>
        <v>43009</v>
      </c>
      <c r="G2298" s="9" t="str">
        <f ca="1">IFERROR(__xludf.DUMMYFUNCTION("""COMPUTED_VALUE"""),"1 USD = 105.8945 PKR")</f>
        <v>1 USD = 105.8945 PKR</v>
      </c>
      <c r="H2298" s="9" t="str">
        <f ca="1">IFERROR(__xludf.DUMMYFUNCTION("""COMPUTED_VALUE"""),"USD PKR rate for 01/10/2017")</f>
        <v>USD PKR rate for 01/10/2017</v>
      </c>
      <c r="I2298" s="9"/>
    </row>
    <row r="2299" spans="1:9" ht="14.25" customHeight="1" x14ac:dyDescent="0.3">
      <c r="A2299" s="6">
        <v>42016</v>
      </c>
      <c r="B2299" s="7">
        <v>100.6049</v>
      </c>
      <c r="C2299" s="8">
        <f t="shared" ref="C2299:C2553" si="19">(1+$C$1)^D2299*$C$3</f>
        <v>119.12030141208702</v>
      </c>
      <c r="D2299" s="9">
        <f t="shared" si="18"/>
        <v>68.02966934645741</v>
      </c>
      <c r="E2299" s="9"/>
      <c r="F2299" s="9">
        <f ca="1">IFERROR(__xludf.DUMMYFUNCTION("""COMPUTED_VALUE"""),43008)</f>
        <v>43008</v>
      </c>
      <c r="G2299" s="9" t="str">
        <f ca="1">IFERROR(__xludf.DUMMYFUNCTION("""COMPUTED_VALUE"""),"1 USD = 105.9996 PKR")</f>
        <v>1 USD = 105.9996 PKR</v>
      </c>
      <c r="H2299" s="9" t="str">
        <f ca="1">IFERROR(__xludf.DUMMYFUNCTION("""COMPUTED_VALUE"""),"USD PKR rate for 30/09/2017")</f>
        <v>USD PKR rate for 30/09/2017</v>
      </c>
      <c r="I2299" s="9"/>
    </row>
    <row r="2300" spans="1:9" ht="14.25" customHeight="1" x14ac:dyDescent="0.3">
      <c r="A2300" s="6">
        <v>42017</v>
      </c>
      <c r="B2300" s="7">
        <v>100.57769999999999</v>
      </c>
      <c r="C2300" s="8">
        <f t="shared" si="19"/>
        <v>119.14160605040134</v>
      </c>
      <c r="D2300" s="9">
        <f t="shared" si="18"/>
        <v>68.032407179254676</v>
      </c>
      <c r="E2300" s="9"/>
      <c r="F2300" s="9">
        <f ca="1">IFERROR(__xludf.DUMMYFUNCTION("""COMPUTED_VALUE"""),43007)</f>
        <v>43007</v>
      </c>
      <c r="G2300" s="9" t="str">
        <f ca="1">IFERROR(__xludf.DUMMYFUNCTION("""COMPUTED_VALUE"""),"1 USD = 105.9996 PKR")</f>
        <v>1 USD = 105.9996 PKR</v>
      </c>
      <c r="H2300" s="9" t="str">
        <f ca="1">IFERROR(__xludf.DUMMYFUNCTION("""COMPUTED_VALUE"""),"USD PKR rate for 29/09/2017")</f>
        <v>USD PKR rate for 29/09/2017</v>
      </c>
      <c r="I2300" s="9"/>
    </row>
    <row r="2301" spans="1:9" ht="14.25" customHeight="1" x14ac:dyDescent="0.3">
      <c r="A2301" s="6">
        <v>42018</v>
      </c>
      <c r="B2301" s="7">
        <v>100.5849</v>
      </c>
      <c r="C2301" s="8">
        <f t="shared" si="19"/>
        <v>119.16291449904526</v>
      </c>
      <c r="D2301" s="9">
        <f t="shared" si="18"/>
        <v>68.035145012051942</v>
      </c>
      <c r="E2301" s="9"/>
      <c r="F2301" s="9">
        <f ca="1">IFERROR(__xludf.DUMMYFUNCTION("""COMPUTED_VALUE"""),43006)</f>
        <v>43006</v>
      </c>
      <c r="G2301" s="9" t="str">
        <f ca="1">IFERROR(__xludf.DUMMYFUNCTION("""COMPUTED_VALUE"""),"1 USD = 105.4324 PKR")</f>
        <v>1 USD = 105.4324 PKR</v>
      </c>
      <c r="H2301" s="9" t="str">
        <f ca="1">IFERROR(__xludf.DUMMYFUNCTION("""COMPUTED_VALUE"""),"USD PKR rate for 28/09/2017")</f>
        <v>USD PKR rate for 28/09/2017</v>
      </c>
      <c r="I2301" s="9"/>
    </row>
    <row r="2302" spans="1:9" ht="14.25" customHeight="1" x14ac:dyDescent="0.3">
      <c r="A2302" s="6">
        <v>42019</v>
      </c>
      <c r="B2302" s="7">
        <v>100.64019999999999</v>
      </c>
      <c r="C2302" s="8">
        <f t="shared" si="19"/>
        <v>119.18422675870029</v>
      </c>
      <c r="D2302" s="9">
        <f t="shared" si="18"/>
        <v>68.037882844849207</v>
      </c>
      <c r="E2302" s="9"/>
      <c r="F2302" s="9">
        <f ca="1">IFERROR(__xludf.DUMMYFUNCTION("""COMPUTED_VALUE"""),43005)</f>
        <v>43005</v>
      </c>
      <c r="G2302" s="9" t="str">
        <f ca="1">IFERROR(__xludf.DUMMYFUNCTION("""COMPUTED_VALUE"""),"1 USD = 105.3851 PKR")</f>
        <v>1 USD = 105.3851 PKR</v>
      </c>
      <c r="H2302" s="9" t="str">
        <f ca="1">IFERROR(__xludf.DUMMYFUNCTION("""COMPUTED_VALUE"""),"USD PKR rate for 27/09/2017")</f>
        <v>USD PKR rate for 27/09/2017</v>
      </c>
      <c r="I2302" s="9"/>
    </row>
    <row r="2303" spans="1:9" ht="14.25" customHeight="1" x14ac:dyDescent="0.3">
      <c r="A2303" s="6">
        <v>42020</v>
      </c>
      <c r="B2303" s="7">
        <v>100.7248</v>
      </c>
      <c r="C2303" s="8">
        <f t="shared" si="19"/>
        <v>119.20554283004793</v>
      </c>
      <c r="D2303" s="9">
        <f t="shared" si="18"/>
        <v>68.040620677646473</v>
      </c>
      <c r="E2303" s="9"/>
      <c r="F2303" s="9">
        <f ca="1">IFERROR(__xludf.DUMMYFUNCTION("""COMPUTED_VALUE"""),43004)</f>
        <v>43004</v>
      </c>
      <c r="G2303" s="9" t="str">
        <f ca="1">IFERROR(__xludf.DUMMYFUNCTION("""COMPUTED_VALUE"""),"1 USD = 105.375 PKR")</f>
        <v>1 USD = 105.375 PKR</v>
      </c>
      <c r="H2303" s="9" t="str">
        <f ca="1">IFERROR(__xludf.DUMMYFUNCTION("""COMPUTED_VALUE"""),"USD PKR rate for 26/09/2017")</f>
        <v>USD PKR rate for 26/09/2017</v>
      </c>
      <c r="I2303" s="9"/>
    </row>
    <row r="2304" spans="1:9" ht="14.25" customHeight="1" x14ac:dyDescent="0.3">
      <c r="A2304" s="6">
        <v>42021</v>
      </c>
      <c r="B2304" s="7">
        <v>100.8017</v>
      </c>
      <c r="C2304" s="8">
        <f t="shared" si="19"/>
        <v>119.22686271377009</v>
      </c>
      <c r="D2304" s="9">
        <f t="shared" si="18"/>
        <v>68.043358510443738</v>
      </c>
      <c r="E2304" s="9"/>
      <c r="F2304" s="9">
        <f ca="1">IFERROR(__xludf.DUMMYFUNCTION("""COMPUTED_VALUE"""),43003)</f>
        <v>43003</v>
      </c>
      <c r="G2304" s="9" t="str">
        <f ca="1">IFERROR(__xludf.DUMMYFUNCTION("""COMPUTED_VALUE"""),"1 USD = 105.3694 PKR")</f>
        <v>1 USD = 105.3694 PKR</v>
      </c>
      <c r="H2304" s="9" t="str">
        <f ca="1">IFERROR(__xludf.DUMMYFUNCTION("""COMPUTED_VALUE"""),"USD PKR rate for 25/09/2017")</f>
        <v>USD PKR rate for 25/09/2017</v>
      </c>
      <c r="I2304" s="9"/>
    </row>
    <row r="2305" spans="1:9" ht="14.25" customHeight="1" x14ac:dyDescent="0.3">
      <c r="A2305" s="6">
        <v>42022</v>
      </c>
      <c r="B2305" s="7">
        <v>100.71120000000002</v>
      </c>
      <c r="C2305" s="8">
        <f t="shared" si="19"/>
        <v>119.24818641054853</v>
      </c>
      <c r="D2305" s="9">
        <f t="shared" si="18"/>
        <v>68.046096343241004</v>
      </c>
      <c r="E2305" s="9"/>
      <c r="F2305" s="9">
        <f ca="1">IFERROR(__xludf.DUMMYFUNCTION("""COMPUTED_VALUE"""),43002)</f>
        <v>43002</v>
      </c>
      <c r="G2305" s="9" t="str">
        <f ca="1">IFERROR(__xludf.DUMMYFUNCTION("""COMPUTED_VALUE"""),"1 USD = 105.5217 PKR")</f>
        <v>1 USD = 105.5217 PKR</v>
      </c>
      <c r="H2305" s="9" t="str">
        <f ca="1">IFERROR(__xludf.DUMMYFUNCTION("""COMPUTED_VALUE"""),"USD PKR rate for 24/09/2017")</f>
        <v>USD PKR rate for 24/09/2017</v>
      </c>
      <c r="I2305" s="9"/>
    </row>
    <row r="2306" spans="1:9" ht="14.25" customHeight="1" x14ac:dyDescent="0.3">
      <c r="A2306" s="6">
        <v>42023</v>
      </c>
      <c r="B2306" s="7">
        <v>100.75230000000001</v>
      </c>
      <c r="C2306" s="8">
        <f t="shared" si="19"/>
        <v>119.26951392106518</v>
      </c>
      <c r="D2306" s="9">
        <f t="shared" si="18"/>
        <v>68.04883417603827</v>
      </c>
      <c r="E2306" s="9"/>
      <c r="F2306" s="9">
        <f ca="1">IFERROR(__xludf.DUMMYFUNCTION("""COMPUTED_VALUE"""),43001)</f>
        <v>43001</v>
      </c>
      <c r="G2306" s="9" t="str">
        <f ca="1">IFERROR(__xludf.DUMMYFUNCTION("""COMPUTED_VALUE"""),"1 USD = 105.2758 PKR")</f>
        <v>1 USD = 105.2758 PKR</v>
      </c>
      <c r="H2306" s="9" t="str">
        <f ca="1">IFERROR(__xludf.DUMMYFUNCTION("""COMPUTED_VALUE"""),"USD PKR rate for 23/09/2017")</f>
        <v>USD PKR rate for 23/09/2017</v>
      </c>
      <c r="I2306" s="9"/>
    </row>
    <row r="2307" spans="1:9" ht="14.25" customHeight="1" x14ac:dyDescent="0.3">
      <c r="A2307" s="6">
        <v>42024</v>
      </c>
      <c r="B2307" s="7">
        <v>100.7294</v>
      </c>
      <c r="C2307" s="8">
        <f t="shared" si="19"/>
        <v>119.29084524600216</v>
      </c>
      <c r="D2307" s="9">
        <f t="shared" si="18"/>
        <v>68.051572008835535</v>
      </c>
      <c r="E2307" s="9"/>
      <c r="F2307" s="9">
        <f ca="1">IFERROR(__xludf.DUMMYFUNCTION("""COMPUTED_VALUE"""),43000)</f>
        <v>43000</v>
      </c>
      <c r="G2307" s="9" t="str">
        <f ca="1">IFERROR(__xludf.DUMMYFUNCTION("""COMPUTED_VALUE"""),"1 USD = 105.2758 PKR")</f>
        <v>1 USD = 105.2758 PKR</v>
      </c>
      <c r="H2307" s="9" t="str">
        <f ca="1">IFERROR(__xludf.DUMMYFUNCTION("""COMPUTED_VALUE"""),"USD PKR rate for 22/09/2017")</f>
        <v>USD PKR rate for 22/09/2017</v>
      </c>
      <c r="I2307" s="9"/>
    </row>
    <row r="2308" spans="1:9" ht="14.25" customHeight="1" x14ac:dyDescent="0.3">
      <c r="A2308" s="6">
        <v>42025</v>
      </c>
      <c r="B2308" s="7">
        <v>100.69</v>
      </c>
      <c r="C2308" s="8">
        <f t="shared" si="19"/>
        <v>119.31218038604167</v>
      </c>
      <c r="D2308" s="9">
        <f t="shared" si="18"/>
        <v>68.054309841632801</v>
      </c>
      <c r="E2308" s="9"/>
      <c r="F2308" s="9">
        <f ca="1">IFERROR(__xludf.DUMMYFUNCTION("""COMPUTED_VALUE"""),42999)</f>
        <v>42999</v>
      </c>
      <c r="G2308" s="9" t="str">
        <f ca="1">IFERROR(__xludf.DUMMYFUNCTION("""COMPUTED_VALUE"""),"1 USD = 105.0575 PKR")</f>
        <v>1 USD = 105.0575 PKR</v>
      </c>
      <c r="H2308" s="9" t="str">
        <f ca="1">IFERROR(__xludf.DUMMYFUNCTION("""COMPUTED_VALUE"""),"USD PKR rate for 21/09/2017")</f>
        <v>USD PKR rate for 21/09/2017</v>
      </c>
      <c r="I2308" s="9"/>
    </row>
    <row r="2309" spans="1:9" ht="14.25" customHeight="1" x14ac:dyDescent="0.3">
      <c r="A2309" s="6">
        <v>42026</v>
      </c>
      <c r="B2309" s="7">
        <v>100.86500000000001</v>
      </c>
      <c r="C2309" s="8">
        <f t="shared" si="19"/>
        <v>119.33351934186602</v>
      </c>
      <c r="D2309" s="9">
        <f t="shared" si="18"/>
        <v>68.057047674430066</v>
      </c>
      <c r="E2309" s="9"/>
      <c r="F2309" s="9">
        <f ca="1">IFERROR(__xludf.DUMMYFUNCTION("""COMPUTED_VALUE"""),42998)</f>
        <v>42998</v>
      </c>
      <c r="G2309" s="9" t="str">
        <f ca="1">IFERROR(__xludf.DUMMYFUNCTION("""COMPUTED_VALUE"""),"1 USD = 105.3641 PKR")</f>
        <v>1 USD = 105.3641 PKR</v>
      </c>
      <c r="H2309" s="9" t="str">
        <f ca="1">IFERROR(__xludf.DUMMYFUNCTION("""COMPUTED_VALUE"""),"USD PKR rate for 20/09/2017")</f>
        <v>USD PKR rate for 20/09/2017</v>
      </c>
      <c r="I2309" s="9"/>
    </row>
    <row r="2310" spans="1:9" ht="14.25" customHeight="1" x14ac:dyDescent="0.3">
      <c r="A2310" s="6">
        <v>42027</v>
      </c>
      <c r="B2310" s="7">
        <v>100.8145</v>
      </c>
      <c r="C2310" s="8">
        <f t="shared" si="19"/>
        <v>119.35486211415767</v>
      </c>
      <c r="D2310" s="9">
        <f t="shared" si="18"/>
        <v>68.059785507227332</v>
      </c>
      <c r="E2310" s="9"/>
      <c r="F2310" s="9">
        <f ca="1">IFERROR(__xludf.DUMMYFUNCTION("""COMPUTED_VALUE"""),42997)</f>
        <v>42997</v>
      </c>
      <c r="G2310" s="9" t="str">
        <f ca="1">IFERROR(__xludf.DUMMYFUNCTION("""COMPUTED_VALUE"""),"1 USD = 105.3629 PKR")</f>
        <v>1 USD = 105.3629 PKR</v>
      </c>
      <c r="H2310" s="9" t="str">
        <f ca="1">IFERROR(__xludf.DUMMYFUNCTION("""COMPUTED_VALUE"""),"USD PKR rate for 19/09/2017")</f>
        <v>USD PKR rate for 19/09/2017</v>
      </c>
      <c r="I2310" s="9"/>
    </row>
    <row r="2311" spans="1:9" ht="14.25" customHeight="1" x14ac:dyDescent="0.3">
      <c r="A2311" s="6">
        <v>42028</v>
      </c>
      <c r="B2311" s="7">
        <v>101.10339999999999</v>
      </c>
      <c r="C2311" s="8">
        <f t="shared" si="19"/>
        <v>119.37620870359922</v>
      </c>
      <c r="D2311" s="9">
        <f t="shared" si="18"/>
        <v>68.062523340024597</v>
      </c>
      <c r="E2311" s="9"/>
      <c r="F2311" s="9">
        <f ca="1">IFERROR(__xludf.DUMMYFUNCTION("""COMPUTED_VALUE"""),42996)</f>
        <v>42996</v>
      </c>
      <c r="G2311" s="9" t="str">
        <f ca="1">IFERROR(__xludf.DUMMYFUNCTION("""COMPUTED_VALUE"""),"1 USD = 105.4268 PKR")</f>
        <v>1 USD = 105.4268 PKR</v>
      </c>
      <c r="H2311" s="9" t="str">
        <f ca="1">IFERROR(__xludf.DUMMYFUNCTION("""COMPUTED_VALUE"""),"USD PKR rate for 18/09/2017")</f>
        <v>USD PKR rate for 18/09/2017</v>
      </c>
      <c r="I2311" s="9"/>
    </row>
    <row r="2312" spans="1:9" ht="14.25" customHeight="1" x14ac:dyDescent="0.3">
      <c r="A2312" s="6">
        <v>42029</v>
      </c>
      <c r="B2312" s="7">
        <v>100.7307</v>
      </c>
      <c r="C2312" s="8">
        <f t="shared" si="19"/>
        <v>119.39755911087322</v>
      </c>
      <c r="D2312" s="9">
        <f t="shared" si="18"/>
        <v>68.065261172821863</v>
      </c>
      <c r="E2312" s="9"/>
      <c r="F2312" s="9">
        <f ca="1">IFERROR(__xludf.DUMMYFUNCTION("""COMPUTED_VALUE"""),42995)</f>
        <v>42995</v>
      </c>
      <c r="G2312" s="9" t="str">
        <f ca="1">IFERROR(__xludf.DUMMYFUNCTION("""COMPUTED_VALUE"""),"1 USD = 105.4242 PKR")</f>
        <v>1 USD = 105.4242 PKR</v>
      </c>
      <c r="H2312" s="9" t="str">
        <f ca="1">IFERROR(__xludf.DUMMYFUNCTION("""COMPUTED_VALUE"""),"USD PKR rate for 17/09/2017")</f>
        <v>USD PKR rate for 17/09/2017</v>
      </c>
      <c r="I2312" s="9"/>
    </row>
    <row r="2313" spans="1:9" ht="14.25" customHeight="1" x14ac:dyDescent="0.3">
      <c r="A2313" s="6">
        <v>42030</v>
      </c>
      <c r="B2313" s="7">
        <v>100.88</v>
      </c>
      <c r="C2313" s="8">
        <f t="shared" si="19"/>
        <v>119.41891333666273</v>
      </c>
      <c r="D2313" s="9">
        <f t="shared" si="18"/>
        <v>68.067999005619129</v>
      </c>
      <c r="E2313" s="9"/>
      <c r="F2313" s="9">
        <f ca="1">IFERROR(__xludf.DUMMYFUNCTION("""COMPUTED_VALUE"""),42994)</f>
        <v>42994</v>
      </c>
      <c r="G2313" s="9" t="str">
        <f ca="1">IFERROR(__xludf.DUMMYFUNCTION("""COMPUTED_VALUE"""),"1 USD = 105.3808 PKR")</f>
        <v>1 USD = 105.3808 PKR</v>
      </c>
      <c r="H2313" s="9" t="str">
        <f ca="1">IFERROR(__xludf.DUMMYFUNCTION("""COMPUTED_VALUE"""),"USD PKR rate for 16/09/2017")</f>
        <v>USD PKR rate for 16/09/2017</v>
      </c>
      <c r="I2313" s="9"/>
    </row>
    <row r="2314" spans="1:9" ht="14.25" customHeight="1" x14ac:dyDescent="0.3">
      <c r="A2314" s="6">
        <v>42031</v>
      </c>
      <c r="B2314" s="7">
        <v>100.81789999999999</v>
      </c>
      <c r="C2314" s="8">
        <f t="shared" si="19"/>
        <v>119.44027138165058</v>
      </c>
      <c r="D2314" s="9">
        <f t="shared" si="18"/>
        <v>68.070736838416394</v>
      </c>
      <c r="E2314" s="9"/>
      <c r="F2314" s="9">
        <f ca="1">IFERROR(__xludf.DUMMYFUNCTION("""COMPUTED_VALUE"""),42993)</f>
        <v>42993</v>
      </c>
      <c r="G2314" s="9" t="str">
        <f ca="1">IFERROR(__xludf.DUMMYFUNCTION("""COMPUTED_VALUE"""),"1 USD = 105.3616 PKR")</f>
        <v>1 USD = 105.3616 PKR</v>
      </c>
      <c r="H2314" s="9" t="str">
        <f ca="1">IFERROR(__xludf.DUMMYFUNCTION("""COMPUTED_VALUE"""),"USD PKR rate for 15/09/2017")</f>
        <v>USD PKR rate for 15/09/2017</v>
      </c>
      <c r="I2314" s="9"/>
    </row>
    <row r="2315" spans="1:9" ht="14.25" customHeight="1" x14ac:dyDescent="0.3">
      <c r="A2315" s="6">
        <v>42032</v>
      </c>
      <c r="B2315" s="7">
        <v>100.90290000000002</v>
      </c>
      <c r="C2315" s="8">
        <f t="shared" si="19"/>
        <v>119.46163324651982</v>
      </c>
      <c r="D2315" s="9">
        <f t="shared" si="18"/>
        <v>68.07347467121366</v>
      </c>
      <c r="E2315" s="9"/>
      <c r="F2315" s="9">
        <f ca="1">IFERROR(__xludf.DUMMYFUNCTION("""COMPUTED_VALUE"""),42992)</f>
        <v>42992</v>
      </c>
      <c r="G2315" s="9" t="str">
        <f ca="1">IFERROR(__xludf.DUMMYFUNCTION("""COMPUTED_VALUE"""),"1 USD = 105.2553 PKR")</f>
        <v>1 USD = 105.2553 PKR</v>
      </c>
      <c r="H2315" s="9" t="str">
        <f ca="1">IFERROR(__xludf.DUMMYFUNCTION("""COMPUTED_VALUE"""),"USD PKR rate for 14/09/2017")</f>
        <v>USD PKR rate for 14/09/2017</v>
      </c>
      <c r="I2315" s="9"/>
    </row>
    <row r="2316" spans="1:9" ht="14.25" customHeight="1" x14ac:dyDescent="0.3">
      <c r="A2316" s="6">
        <v>42033</v>
      </c>
      <c r="B2316" s="7">
        <v>100.9102</v>
      </c>
      <c r="C2316" s="8">
        <f t="shared" si="19"/>
        <v>119.48299893195366</v>
      </c>
      <c r="D2316" s="9">
        <f t="shared" si="18"/>
        <v>68.076212504010925</v>
      </c>
      <c r="E2316" s="9"/>
      <c r="F2316" s="9">
        <f ca="1">IFERROR(__xludf.DUMMYFUNCTION("""COMPUTED_VALUE"""),42991)</f>
        <v>42991</v>
      </c>
      <c r="G2316" s="9" t="str">
        <f ca="1">IFERROR(__xludf.DUMMYFUNCTION("""COMPUTED_VALUE"""),"1 USD = 106.2488 PKR")</f>
        <v>1 USD = 106.2488 PKR</v>
      </c>
      <c r="H2316" s="9" t="str">
        <f ca="1">IFERROR(__xludf.DUMMYFUNCTION("""COMPUTED_VALUE"""),"USD PKR rate for 13/09/2017")</f>
        <v>USD PKR rate for 13/09/2017</v>
      </c>
      <c r="I2316" s="9"/>
    </row>
    <row r="2317" spans="1:9" ht="14.25" customHeight="1" x14ac:dyDescent="0.3">
      <c r="A2317" s="6">
        <v>42034</v>
      </c>
      <c r="B2317" s="7">
        <v>101.0749</v>
      </c>
      <c r="C2317" s="8">
        <f t="shared" si="19"/>
        <v>119.50436843863538</v>
      </c>
      <c r="D2317" s="9">
        <f t="shared" si="18"/>
        <v>68.078950336808191</v>
      </c>
      <c r="E2317" s="9"/>
      <c r="F2317" s="9">
        <f ca="1">IFERROR(__xludf.DUMMYFUNCTION("""COMPUTED_VALUE"""),42990)</f>
        <v>42990</v>
      </c>
      <c r="G2317" s="9" t="str">
        <f ca="1">IFERROR(__xludf.DUMMYFUNCTION("""COMPUTED_VALUE"""),"1 USD = 105.0968 PKR")</f>
        <v>1 USD = 105.0968 PKR</v>
      </c>
      <c r="H2317" s="9" t="str">
        <f ca="1">IFERROR(__xludf.DUMMYFUNCTION("""COMPUTED_VALUE"""),"USD PKR rate for 12/09/2017")</f>
        <v>USD PKR rate for 12/09/2017</v>
      </c>
      <c r="I2317" s="9"/>
    </row>
    <row r="2318" spans="1:9" ht="14.25" customHeight="1" x14ac:dyDescent="0.3">
      <c r="A2318" s="6">
        <v>42035</v>
      </c>
      <c r="B2318" s="7">
        <v>101.0265</v>
      </c>
      <c r="C2318" s="8">
        <f t="shared" si="19"/>
        <v>119.52574176724841</v>
      </c>
      <c r="D2318" s="9">
        <f t="shared" si="18"/>
        <v>68.081688169605457</v>
      </c>
      <c r="E2318" s="9"/>
      <c r="F2318" s="9">
        <f ca="1">IFERROR(__xludf.DUMMYFUNCTION("""COMPUTED_VALUE"""),42989)</f>
        <v>42989</v>
      </c>
      <c r="G2318" s="9" t="str">
        <f ca="1">IFERROR(__xludf.DUMMYFUNCTION("""COMPUTED_VALUE"""),"1 USD = 105.8301 PKR")</f>
        <v>1 USD = 105.8301 PKR</v>
      </c>
      <c r="H2318" s="9" t="str">
        <f ca="1">IFERROR(__xludf.DUMMYFUNCTION("""COMPUTED_VALUE"""),"USD PKR rate for 11/09/2017")</f>
        <v>USD PKR rate for 11/09/2017</v>
      </c>
      <c r="I2318" s="9"/>
    </row>
    <row r="2319" spans="1:9" ht="14.25" customHeight="1" x14ac:dyDescent="0.3">
      <c r="A2319" s="6">
        <v>42036</v>
      </c>
      <c r="B2319" s="7">
        <v>101.02290000000001</v>
      </c>
      <c r="C2319" s="8">
        <f t="shared" si="19"/>
        <v>119.54711891847633</v>
      </c>
      <c r="D2319" s="9">
        <f t="shared" si="18"/>
        <v>68.084426002402722</v>
      </c>
      <c r="E2319" s="9"/>
      <c r="F2319" s="9">
        <f ca="1">IFERROR(__xludf.DUMMYFUNCTION("""COMPUTED_VALUE"""),42988)</f>
        <v>42988</v>
      </c>
      <c r="G2319" s="9" t="str">
        <f ca="1">IFERROR(__xludf.DUMMYFUNCTION("""COMPUTED_VALUE"""),"1 USD = 105.6373 PKR")</f>
        <v>1 USD = 105.6373 PKR</v>
      </c>
      <c r="H2319" s="9" t="str">
        <f ca="1">IFERROR(__xludf.DUMMYFUNCTION("""COMPUTED_VALUE"""),"USD PKR rate for 10/09/2017")</f>
        <v>USD PKR rate for 10/09/2017</v>
      </c>
      <c r="I2319" s="9"/>
    </row>
    <row r="2320" spans="1:9" ht="14.25" customHeight="1" x14ac:dyDescent="0.3">
      <c r="A2320" s="6">
        <v>42037</v>
      </c>
      <c r="B2320" s="7">
        <v>101.39709999999999</v>
      </c>
      <c r="C2320" s="8">
        <f t="shared" si="19"/>
        <v>119.56849989300278</v>
      </c>
      <c r="D2320" s="9">
        <f t="shared" si="18"/>
        <v>68.087163835199988</v>
      </c>
      <c r="E2320" s="9"/>
      <c r="F2320" s="9">
        <f ca="1">IFERROR(__xludf.DUMMYFUNCTION("""COMPUTED_VALUE"""),42987)</f>
        <v>42987</v>
      </c>
      <c r="G2320" s="9" t="str">
        <f ca="1">IFERROR(__xludf.DUMMYFUNCTION("""COMPUTED_VALUE"""),"1 USD = 105.6238 PKR")</f>
        <v>1 USD = 105.6238 PKR</v>
      </c>
      <c r="H2320" s="9" t="str">
        <f ca="1">IFERROR(__xludf.DUMMYFUNCTION("""COMPUTED_VALUE"""),"USD PKR rate for 09/09/2017")</f>
        <v>USD PKR rate for 09/09/2017</v>
      </c>
      <c r="I2320" s="9"/>
    </row>
    <row r="2321" spans="1:9" ht="14.25" customHeight="1" x14ac:dyDescent="0.3">
      <c r="A2321" s="6">
        <v>42038</v>
      </c>
      <c r="B2321" s="7">
        <v>101.2465</v>
      </c>
      <c r="C2321" s="8">
        <f t="shared" si="19"/>
        <v>119.58988469151147</v>
      </c>
      <c r="D2321" s="9">
        <f t="shared" si="18"/>
        <v>68.089901667997253</v>
      </c>
      <c r="E2321" s="9"/>
      <c r="F2321" s="9">
        <f ca="1">IFERROR(__xludf.DUMMYFUNCTION("""COMPUTED_VALUE"""),42986)</f>
        <v>42986</v>
      </c>
      <c r="G2321" s="9" t="str">
        <f ca="1">IFERROR(__xludf.DUMMYFUNCTION("""COMPUTED_VALUE"""),"1 USD = 105.6334 PKR")</f>
        <v>1 USD = 105.6334 PKR</v>
      </c>
      <c r="H2321" s="9" t="str">
        <f ca="1">IFERROR(__xludf.DUMMYFUNCTION("""COMPUTED_VALUE"""),"USD PKR rate for 08/09/2017")</f>
        <v>USD PKR rate for 08/09/2017</v>
      </c>
      <c r="I2321" s="9"/>
    </row>
    <row r="2322" spans="1:9" ht="14.25" customHeight="1" x14ac:dyDescent="0.3">
      <c r="A2322" s="6">
        <v>42039</v>
      </c>
      <c r="B2322" s="7">
        <v>101.3022</v>
      </c>
      <c r="C2322" s="8">
        <f t="shared" si="19"/>
        <v>119.61127331468653</v>
      </c>
      <c r="D2322" s="9">
        <f t="shared" si="18"/>
        <v>68.092639500794519</v>
      </c>
      <c r="E2322" s="9"/>
      <c r="F2322" s="9">
        <f ca="1">IFERROR(__xludf.DUMMYFUNCTION("""COMPUTED_VALUE"""),42985)</f>
        <v>42985</v>
      </c>
      <c r="G2322" s="9" t="str">
        <f ca="1">IFERROR(__xludf.DUMMYFUNCTION("""COMPUTED_VALUE"""),"1 USD = 105.0443 PKR")</f>
        <v>1 USD = 105.0443 PKR</v>
      </c>
      <c r="H2322" s="9" t="str">
        <f ca="1">IFERROR(__xludf.DUMMYFUNCTION("""COMPUTED_VALUE"""),"USD PKR rate for 07/09/2017")</f>
        <v>USD PKR rate for 07/09/2017</v>
      </c>
      <c r="I2322" s="9"/>
    </row>
    <row r="2323" spans="1:9" ht="14.25" customHeight="1" x14ac:dyDescent="0.3">
      <c r="A2323" s="6">
        <v>42040</v>
      </c>
      <c r="B2323" s="7">
        <v>101.03919999999999</v>
      </c>
      <c r="C2323" s="8">
        <f t="shared" si="19"/>
        <v>119.63266576321189</v>
      </c>
      <c r="D2323" s="9">
        <f t="shared" si="18"/>
        <v>68.095377333591784</v>
      </c>
      <c r="E2323" s="9"/>
      <c r="F2323" s="9">
        <f ca="1">IFERROR(__xludf.DUMMYFUNCTION("""COMPUTED_VALUE"""),42984)</f>
        <v>42984</v>
      </c>
      <c r="G2323" s="9" t="str">
        <f ca="1">IFERROR(__xludf.DUMMYFUNCTION("""COMPUTED_VALUE"""),"1 USD = 105.278 PKR")</f>
        <v>1 USD = 105.278 PKR</v>
      </c>
      <c r="H2323" s="9" t="str">
        <f ca="1">IFERROR(__xludf.DUMMYFUNCTION("""COMPUTED_VALUE"""),"USD PKR rate for 06/09/2017")</f>
        <v>USD PKR rate for 06/09/2017</v>
      </c>
      <c r="I2323" s="9"/>
    </row>
    <row r="2324" spans="1:9" ht="14.25" customHeight="1" x14ac:dyDescent="0.3">
      <c r="A2324" s="6">
        <v>42041</v>
      </c>
      <c r="B2324" s="7">
        <v>101.2645</v>
      </c>
      <c r="C2324" s="8">
        <f t="shared" si="19"/>
        <v>119.65406203777172</v>
      </c>
      <c r="D2324" s="9">
        <f t="shared" si="18"/>
        <v>68.09811516638905</v>
      </c>
      <c r="E2324" s="9"/>
      <c r="F2324" s="9">
        <f ca="1">IFERROR(__xludf.DUMMYFUNCTION("""COMPUTED_VALUE"""),42983)</f>
        <v>42983</v>
      </c>
      <c r="G2324" s="9" t="str">
        <f ca="1">IFERROR(__xludf.DUMMYFUNCTION("""COMPUTED_VALUE"""),"1 USD = 105.3105 PKR")</f>
        <v>1 USD = 105.3105 PKR</v>
      </c>
      <c r="H2324" s="9" t="str">
        <f ca="1">IFERROR(__xludf.DUMMYFUNCTION("""COMPUTED_VALUE"""),"USD PKR rate for 05/09/2017")</f>
        <v>USD PKR rate for 05/09/2017</v>
      </c>
      <c r="I2324" s="9"/>
    </row>
    <row r="2325" spans="1:9" ht="14.25" customHeight="1" x14ac:dyDescent="0.3">
      <c r="A2325" s="6">
        <v>42042</v>
      </c>
      <c r="B2325" s="7">
        <v>101.1019</v>
      </c>
      <c r="C2325" s="8">
        <f t="shared" si="19"/>
        <v>119.67546213905028</v>
      </c>
      <c r="D2325" s="9">
        <f t="shared" si="18"/>
        <v>68.100852999186316</v>
      </c>
      <c r="E2325" s="9"/>
      <c r="F2325" s="9">
        <f ca="1">IFERROR(__xludf.DUMMYFUNCTION("""COMPUTED_VALUE"""),42982)</f>
        <v>42982</v>
      </c>
      <c r="G2325" s="9" t="str">
        <f ca="1">IFERROR(__xludf.DUMMYFUNCTION("""COMPUTED_VALUE"""),"1 USD = 105.1988 PKR")</f>
        <v>1 USD = 105.1988 PKR</v>
      </c>
      <c r="H2325" s="9" t="str">
        <f ca="1">IFERROR(__xludf.DUMMYFUNCTION("""COMPUTED_VALUE"""),"USD PKR rate for 04/09/2017")</f>
        <v>USD PKR rate for 04/09/2017</v>
      </c>
      <c r="I2325" s="9"/>
    </row>
    <row r="2326" spans="1:9" ht="14.25" customHeight="1" x14ac:dyDescent="0.3">
      <c r="A2326" s="6">
        <v>42043</v>
      </c>
      <c r="B2326" s="7">
        <v>101.2239</v>
      </c>
      <c r="C2326" s="8">
        <f t="shared" si="19"/>
        <v>119.696866067732</v>
      </c>
      <c r="D2326" s="9">
        <f t="shared" si="18"/>
        <v>68.103590831983581</v>
      </c>
      <c r="E2326" s="9"/>
      <c r="F2326" s="9">
        <f ca="1">IFERROR(__xludf.DUMMYFUNCTION("""COMPUTED_VALUE"""),42981)</f>
        <v>42981</v>
      </c>
      <c r="G2326" s="9" t="str">
        <f ca="1">IFERROR(__xludf.DUMMYFUNCTION("""COMPUTED_VALUE"""),"1 USD = 105.2581 PKR")</f>
        <v>1 USD = 105.2581 PKR</v>
      </c>
      <c r="H2326" s="9" t="str">
        <f ca="1">IFERROR(__xludf.DUMMYFUNCTION("""COMPUTED_VALUE"""),"USD PKR rate for 03/09/2017")</f>
        <v>USD PKR rate for 03/09/2017</v>
      </c>
      <c r="I2326" s="9"/>
    </row>
    <row r="2327" spans="1:9" ht="14.25" customHeight="1" x14ac:dyDescent="0.3">
      <c r="A2327" s="6">
        <v>42044</v>
      </c>
      <c r="B2327" s="7">
        <v>101.1568</v>
      </c>
      <c r="C2327" s="8">
        <f t="shared" si="19"/>
        <v>119.71827382450144</v>
      </c>
      <c r="D2327" s="9">
        <f t="shared" si="18"/>
        <v>68.106328664780847</v>
      </c>
      <c r="E2327" s="9"/>
      <c r="F2327" s="9">
        <f ca="1">IFERROR(__xludf.DUMMYFUNCTION("""COMPUTED_VALUE"""),42980)</f>
        <v>42980</v>
      </c>
      <c r="G2327" s="9" t="str">
        <f ca="1">IFERROR(__xludf.DUMMYFUNCTION("""COMPUTED_VALUE"""),"1 USD = 105.693 PKR")</f>
        <v>1 USD = 105.693 PKR</v>
      </c>
      <c r="H2327" s="9" t="str">
        <f ca="1">IFERROR(__xludf.DUMMYFUNCTION("""COMPUTED_VALUE"""),"USD PKR rate for 02/09/2017")</f>
        <v>USD PKR rate for 02/09/2017</v>
      </c>
      <c r="I2327" s="9"/>
    </row>
    <row r="2328" spans="1:9" ht="14.25" customHeight="1" x14ac:dyDescent="0.3">
      <c r="A2328" s="6">
        <v>42045</v>
      </c>
      <c r="B2328" s="7">
        <v>101.32729999999999</v>
      </c>
      <c r="C2328" s="8">
        <f t="shared" si="19"/>
        <v>119.73968541004317</v>
      </c>
      <c r="D2328" s="9">
        <f t="shared" si="18"/>
        <v>68.109066497578112</v>
      </c>
      <c r="E2328" s="9"/>
      <c r="F2328" s="9">
        <f ca="1">IFERROR(__xludf.DUMMYFUNCTION("""COMPUTED_VALUE"""),42979)</f>
        <v>42979</v>
      </c>
      <c r="G2328" s="9" t="str">
        <f ca="1">IFERROR(__xludf.DUMMYFUNCTION("""COMPUTED_VALUE"""),"1 USD = 105.693 PKR")</f>
        <v>1 USD = 105.693 PKR</v>
      </c>
      <c r="H2328" s="9" t="str">
        <f ca="1">IFERROR(__xludf.DUMMYFUNCTION("""COMPUTED_VALUE"""),"USD PKR rate for 01/09/2017")</f>
        <v>USD PKR rate for 01/09/2017</v>
      </c>
      <c r="I2328" s="9"/>
    </row>
    <row r="2329" spans="1:9" ht="14.25" customHeight="1" x14ac:dyDescent="0.3">
      <c r="A2329" s="6">
        <v>42046</v>
      </c>
      <c r="B2329" s="7">
        <v>101.29350000000001</v>
      </c>
      <c r="C2329" s="8">
        <f t="shared" si="19"/>
        <v>119.76110082504205</v>
      </c>
      <c r="D2329" s="9">
        <f t="shared" si="18"/>
        <v>68.111804330375378</v>
      </c>
      <c r="E2329" s="9"/>
      <c r="F2329" s="9">
        <f ca="1">IFERROR(__xludf.DUMMYFUNCTION("""COMPUTED_VALUE"""),42978)</f>
        <v>42978</v>
      </c>
      <c r="G2329" s="9" t="str">
        <f ca="1">IFERROR(__xludf.DUMMYFUNCTION("""COMPUTED_VALUE"""),"1 USD = 104.7183 PKR")</f>
        <v>1 USD = 104.7183 PKR</v>
      </c>
      <c r="H2329" s="9" t="str">
        <f ca="1">IFERROR(__xludf.DUMMYFUNCTION("""COMPUTED_VALUE"""),"USD PKR rate for 31/08/2017")</f>
        <v>USD PKR rate for 31/08/2017</v>
      </c>
      <c r="I2329" s="9"/>
    </row>
    <row r="2330" spans="1:9" ht="14.25" customHeight="1" x14ac:dyDescent="0.3">
      <c r="A2330" s="6">
        <v>42047</v>
      </c>
      <c r="B2330" s="7">
        <v>101.2585</v>
      </c>
      <c r="C2330" s="8">
        <f t="shared" si="19"/>
        <v>119.78252007018281</v>
      </c>
      <c r="D2330" s="9">
        <f t="shared" si="18"/>
        <v>68.114542163172644</v>
      </c>
      <c r="E2330" s="9"/>
      <c r="F2330" s="9">
        <f ca="1">IFERROR(__xludf.DUMMYFUNCTION("""COMPUTED_VALUE"""),42977)</f>
        <v>42977</v>
      </c>
      <c r="G2330" s="9" t="str">
        <f ca="1">IFERROR(__xludf.DUMMYFUNCTION("""COMPUTED_VALUE"""),"1 USD = 105.725 PKR")</f>
        <v>1 USD = 105.725 PKR</v>
      </c>
      <c r="H2330" s="9" t="str">
        <f ca="1">IFERROR(__xludf.DUMMYFUNCTION("""COMPUTED_VALUE"""),"USD PKR rate for 30/08/2017")</f>
        <v>USD PKR rate for 30/08/2017</v>
      </c>
      <c r="I2330" s="9"/>
    </row>
    <row r="2331" spans="1:9" ht="14.25" customHeight="1" x14ac:dyDescent="0.3">
      <c r="A2331" s="6">
        <v>42048</v>
      </c>
      <c r="B2331" s="7">
        <v>101.40860000000001</v>
      </c>
      <c r="C2331" s="8">
        <f t="shared" si="19"/>
        <v>119.80394314615073</v>
      </c>
      <c r="D2331" s="9">
        <f t="shared" si="18"/>
        <v>68.117279995969909</v>
      </c>
      <c r="E2331" s="9"/>
      <c r="F2331" s="9">
        <f ca="1">IFERROR(__xludf.DUMMYFUNCTION("""COMPUTED_VALUE"""),42976)</f>
        <v>42976</v>
      </c>
      <c r="G2331" s="9" t="str">
        <f ca="1">IFERROR(__xludf.DUMMYFUNCTION("""COMPUTED_VALUE"""),"1 USD = 105.8267 PKR")</f>
        <v>1 USD = 105.8267 PKR</v>
      </c>
      <c r="H2331" s="9" t="str">
        <f ca="1">IFERROR(__xludf.DUMMYFUNCTION("""COMPUTED_VALUE"""),"USD PKR rate for 29/08/2017")</f>
        <v>USD PKR rate for 29/08/2017</v>
      </c>
      <c r="I2331" s="9"/>
    </row>
    <row r="2332" spans="1:9" ht="14.25" customHeight="1" x14ac:dyDescent="0.3">
      <c r="A2332" s="6">
        <v>42049</v>
      </c>
      <c r="B2332" s="7">
        <v>101.42019999999999</v>
      </c>
      <c r="C2332" s="8">
        <f t="shared" si="19"/>
        <v>119.82537005363082</v>
      </c>
      <c r="D2332" s="9">
        <f t="shared" si="18"/>
        <v>68.120017828767175</v>
      </c>
      <c r="E2332" s="9"/>
      <c r="F2332" s="9">
        <f ca="1">IFERROR(__xludf.DUMMYFUNCTION("""COMPUTED_VALUE"""),42975)</f>
        <v>42975</v>
      </c>
      <c r="G2332" s="9" t="str">
        <f ca="1">IFERROR(__xludf.DUMMYFUNCTION("""COMPUTED_VALUE"""),"1 USD = 105.0289 PKR")</f>
        <v>1 USD = 105.0289 PKR</v>
      </c>
      <c r="H2332" s="9" t="str">
        <f ca="1">IFERROR(__xludf.DUMMYFUNCTION("""COMPUTED_VALUE"""),"USD PKR rate for 28/08/2017")</f>
        <v>USD PKR rate for 28/08/2017</v>
      </c>
      <c r="I2332" s="9"/>
    </row>
    <row r="2333" spans="1:9" ht="14.25" customHeight="1" x14ac:dyDescent="0.3">
      <c r="A2333" s="6">
        <v>42050</v>
      </c>
      <c r="B2333" s="7">
        <v>101.3839</v>
      </c>
      <c r="C2333" s="8">
        <f t="shared" si="19"/>
        <v>119.84680079330835</v>
      </c>
      <c r="D2333" s="9">
        <f t="shared" si="18"/>
        <v>68.12275566156444</v>
      </c>
      <c r="E2333" s="9"/>
      <c r="F2333" s="9">
        <f ca="1">IFERROR(__xludf.DUMMYFUNCTION("""COMPUTED_VALUE"""),42974)</f>
        <v>42974</v>
      </c>
      <c r="G2333" s="9" t="str">
        <f ca="1">IFERROR(__xludf.DUMMYFUNCTION("""COMPUTED_VALUE"""),"1 USD = 105.0126 PKR")</f>
        <v>1 USD = 105.0126 PKR</v>
      </c>
      <c r="H2333" s="9" t="str">
        <f ca="1">IFERROR(__xludf.DUMMYFUNCTION("""COMPUTED_VALUE"""),"USD PKR rate for 27/08/2017")</f>
        <v>USD PKR rate for 27/08/2017</v>
      </c>
      <c r="I2333" s="9"/>
    </row>
    <row r="2334" spans="1:9" ht="14.25" customHeight="1" x14ac:dyDescent="0.3">
      <c r="A2334" s="6">
        <v>42051</v>
      </c>
      <c r="B2334" s="7">
        <v>101.59400000000001</v>
      </c>
      <c r="C2334" s="8">
        <f t="shared" si="19"/>
        <v>119.8682353658687</v>
      </c>
      <c r="D2334" s="9">
        <f t="shared" si="18"/>
        <v>68.125493494361706</v>
      </c>
      <c r="E2334" s="9"/>
      <c r="F2334" s="9">
        <f ca="1">IFERROR(__xludf.DUMMYFUNCTION("""COMPUTED_VALUE"""),42973)</f>
        <v>42973</v>
      </c>
      <c r="G2334" s="9" t="str">
        <f ca="1">IFERROR(__xludf.DUMMYFUNCTION("""COMPUTED_VALUE"""),"1 USD = 104.4332 PKR")</f>
        <v>1 USD = 104.4332 PKR</v>
      </c>
      <c r="H2334" s="9" t="str">
        <f ca="1">IFERROR(__xludf.DUMMYFUNCTION("""COMPUTED_VALUE"""),"USD PKR rate for 26/08/2017")</f>
        <v>USD PKR rate for 26/08/2017</v>
      </c>
      <c r="I2334" s="9"/>
    </row>
    <row r="2335" spans="1:9" ht="14.25" customHeight="1" x14ac:dyDescent="0.3">
      <c r="A2335" s="6">
        <v>42052</v>
      </c>
      <c r="B2335" s="7">
        <v>101.5347</v>
      </c>
      <c r="C2335" s="8">
        <f t="shared" si="19"/>
        <v>119.88967377199739</v>
      </c>
      <c r="D2335" s="9">
        <f t="shared" si="18"/>
        <v>68.128231327158971</v>
      </c>
      <c r="E2335" s="9"/>
      <c r="F2335" s="9">
        <f ca="1">IFERROR(__xludf.DUMMYFUNCTION("""COMPUTED_VALUE"""),42972)</f>
        <v>42972</v>
      </c>
      <c r="G2335" s="9" t="str">
        <f ca="1">IFERROR(__xludf.DUMMYFUNCTION("""COMPUTED_VALUE"""),"1 USD = 104.4329 PKR")</f>
        <v>1 USD = 104.4329 PKR</v>
      </c>
      <c r="H2335" s="9" t="str">
        <f ca="1">IFERROR(__xludf.DUMMYFUNCTION("""COMPUTED_VALUE"""),"USD PKR rate for 25/08/2017")</f>
        <v>USD PKR rate for 25/08/2017</v>
      </c>
      <c r="I2335" s="9"/>
    </row>
    <row r="2336" spans="1:9" ht="14.25" customHeight="1" x14ac:dyDescent="0.3">
      <c r="A2336" s="6">
        <v>42053</v>
      </c>
      <c r="B2336" s="7">
        <v>101.5753</v>
      </c>
      <c r="C2336" s="8">
        <f t="shared" si="19"/>
        <v>119.91111601238003</v>
      </c>
      <c r="D2336" s="9">
        <f t="shared" si="18"/>
        <v>68.130969159956237</v>
      </c>
      <c r="E2336" s="9"/>
      <c r="F2336" s="9">
        <f ca="1">IFERROR(__xludf.DUMMYFUNCTION("""COMPUTED_VALUE"""),42971)</f>
        <v>42971</v>
      </c>
      <c r="G2336" s="9" t="str">
        <f ca="1">IFERROR(__xludf.DUMMYFUNCTION("""COMPUTED_VALUE"""),"1 USD = 105.2831 PKR")</f>
        <v>1 USD = 105.2831 PKR</v>
      </c>
      <c r="H2336" s="9" t="str">
        <f ca="1">IFERROR(__xludf.DUMMYFUNCTION("""COMPUTED_VALUE"""),"USD PKR rate for 24/08/2017")</f>
        <v>USD PKR rate for 24/08/2017</v>
      </c>
      <c r="I2336" s="9"/>
    </row>
    <row r="2337" spans="1:9" ht="14.25" customHeight="1" x14ac:dyDescent="0.3">
      <c r="A2337" s="6">
        <v>42054</v>
      </c>
      <c r="B2337" s="7">
        <v>101.63030000000001</v>
      </c>
      <c r="C2337" s="8">
        <f t="shared" si="19"/>
        <v>119.93256208770242</v>
      </c>
      <c r="D2337" s="9">
        <f t="shared" si="18"/>
        <v>68.133706992753503</v>
      </c>
      <c r="E2337" s="9"/>
      <c r="F2337" s="9">
        <f ca="1">IFERROR(__xludf.DUMMYFUNCTION("""COMPUTED_VALUE"""),42970)</f>
        <v>42970</v>
      </c>
      <c r="G2337" s="9" t="str">
        <f ca="1">IFERROR(__xludf.DUMMYFUNCTION("""COMPUTED_VALUE"""),"1 USD = 104.8478 PKR")</f>
        <v>1 USD = 104.8478 PKR</v>
      </c>
      <c r="H2337" s="9" t="str">
        <f ca="1">IFERROR(__xludf.DUMMYFUNCTION("""COMPUTED_VALUE"""),"USD PKR rate for 23/08/2017")</f>
        <v>USD PKR rate for 23/08/2017</v>
      </c>
      <c r="I2337" s="9"/>
    </row>
    <row r="2338" spans="1:9" ht="14.25" customHeight="1" x14ac:dyDescent="0.3">
      <c r="A2338" s="6">
        <v>42055</v>
      </c>
      <c r="B2338" s="7">
        <v>101.6743</v>
      </c>
      <c r="C2338" s="8">
        <f t="shared" si="19"/>
        <v>119.95401199865042</v>
      </c>
      <c r="D2338" s="9">
        <f t="shared" si="18"/>
        <v>68.136444825550768</v>
      </c>
      <c r="E2338" s="9"/>
      <c r="F2338" s="9">
        <f ca="1">IFERROR(__xludf.DUMMYFUNCTION("""COMPUTED_VALUE"""),42969)</f>
        <v>42969</v>
      </c>
      <c r="G2338" s="9" t="str">
        <f ca="1">IFERROR(__xludf.DUMMYFUNCTION("""COMPUTED_VALUE"""),"1 USD = 105.2886 PKR")</f>
        <v>1 USD = 105.2886 PKR</v>
      </c>
      <c r="H2338" s="9" t="str">
        <f ca="1">IFERROR(__xludf.DUMMYFUNCTION("""COMPUTED_VALUE"""),"USD PKR rate for 22/08/2017")</f>
        <v>USD PKR rate for 22/08/2017</v>
      </c>
      <c r="I2338" s="9"/>
    </row>
    <row r="2339" spans="1:9" ht="14.25" customHeight="1" x14ac:dyDescent="0.3">
      <c r="A2339" s="6">
        <v>42056</v>
      </c>
      <c r="B2339" s="7">
        <v>101.74660000000002</v>
      </c>
      <c r="C2339" s="8">
        <f t="shared" si="19"/>
        <v>119.97546574590991</v>
      </c>
      <c r="D2339" s="9">
        <f t="shared" si="18"/>
        <v>68.139182658348034</v>
      </c>
      <c r="E2339" s="9"/>
      <c r="F2339" s="9">
        <f ca="1">IFERROR(__xludf.DUMMYFUNCTION("""COMPUTED_VALUE"""),42968)</f>
        <v>42968</v>
      </c>
      <c r="G2339" s="9" t="str">
        <f ca="1">IFERROR(__xludf.DUMMYFUNCTION("""COMPUTED_VALUE"""),"1 USD = 104.8981 PKR")</f>
        <v>1 USD = 104.8981 PKR</v>
      </c>
      <c r="H2339" s="9" t="str">
        <f ca="1">IFERROR(__xludf.DUMMYFUNCTION("""COMPUTED_VALUE"""),"USD PKR rate for 21/08/2017")</f>
        <v>USD PKR rate for 21/08/2017</v>
      </c>
      <c r="I2339" s="9"/>
    </row>
    <row r="2340" spans="1:9" ht="14.25" customHeight="1" x14ac:dyDescent="0.3">
      <c r="A2340" s="6">
        <v>42057</v>
      </c>
      <c r="B2340" s="7">
        <v>101.75920000000001</v>
      </c>
      <c r="C2340" s="8">
        <f t="shared" si="19"/>
        <v>119.99692333016721</v>
      </c>
      <c r="D2340" s="9">
        <f t="shared" si="18"/>
        <v>68.141920491145299</v>
      </c>
      <c r="E2340" s="9"/>
      <c r="F2340" s="9">
        <f ca="1">IFERROR(__xludf.DUMMYFUNCTION("""COMPUTED_VALUE"""),42967)</f>
        <v>42967</v>
      </c>
      <c r="G2340" s="9" t="str">
        <f ca="1">IFERROR(__xludf.DUMMYFUNCTION("""COMPUTED_VALUE"""),"1 USD = 105.2562 PKR")</f>
        <v>1 USD = 105.2562 PKR</v>
      </c>
      <c r="H2340" s="9" t="str">
        <f ca="1">IFERROR(__xludf.DUMMYFUNCTION("""COMPUTED_VALUE"""),"USD PKR rate for 20/08/2017")</f>
        <v>USD PKR rate for 20/08/2017</v>
      </c>
      <c r="I2340" s="9"/>
    </row>
    <row r="2341" spans="1:9" ht="14.25" customHeight="1" x14ac:dyDescent="0.3">
      <c r="A2341" s="6">
        <v>42058</v>
      </c>
      <c r="B2341" s="7">
        <v>101.72740000000002</v>
      </c>
      <c r="C2341" s="8">
        <f t="shared" si="19"/>
        <v>120.01838475210852</v>
      </c>
      <c r="D2341" s="9">
        <f t="shared" si="18"/>
        <v>68.144658323942565</v>
      </c>
      <c r="E2341" s="9"/>
      <c r="F2341" s="9">
        <f ca="1">IFERROR(__xludf.DUMMYFUNCTION("""COMPUTED_VALUE"""),42966)</f>
        <v>42966</v>
      </c>
      <c r="G2341" s="9" t="str">
        <f ca="1">IFERROR(__xludf.DUMMYFUNCTION("""COMPUTED_VALUE"""),"1 USD = 105.329 PKR")</f>
        <v>1 USD = 105.329 PKR</v>
      </c>
      <c r="H2341" s="9" t="str">
        <f ca="1">IFERROR(__xludf.DUMMYFUNCTION("""COMPUTED_VALUE"""),"USD PKR rate for 19/08/2017")</f>
        <v>USD PKR rate for 19/08/2017</v>
      </c>
      <c r="I2341" s="9"/>
    </row>
    <row r="2342" spans="1:9" ht="14.25" customHeight="1" x14ac:dyDescent="0.3">
      <c r="A2342" s="6">
        <v>42059</v>
      </c>
      <c r="B2342" s="7">
        <v>101.6936</v>
      </c>
      <c r="C2342" s="8">
        <f t="shared" si="19"/>
        <v>120.03985001242015</v>
      </c>
      <c r="D2342" s="9">
        <f t="shared" si="18"/>
        <v>68.147396156739831</v>
      </c>
      <c r="E2342" s="9"/>
      <c r="F2342" s="9">
        <f ca="1">IFERROR(__xludf.DUMMYFUNCTION("""COMPUTED_VALUE"""),42965)</f>
        <v>42965</v>
      </c>
      <c r="G2342" s="9" t="str">
        <f ca="1">IFERROR(__xludf.DUMMYFUNCTION("""COMPUTED_VALUE"""),"1 USD = 105.3104 PKR")</f>
        <v>1 USD = 105.3104 PKR</v>
      </c>
      <c r="H2342" s="9" t="str">
        <f ca="1">IFERROR(__xludf.DUMMYFUNCTION("""COMPUTED_VALUE"""),"USD PKR rate for 18/08/2017")</f>
        <v>USD PKR rate for 18/08/2017</v>
      </c>
      <c r="I2342" s="9"/>
    </row>
    <row r="2343" spans="1:9" ht="14.25" customHeight="1" x14ac:dyDescent="0.3">
      <c r="A2343" s="6">
        <v>42060</v>
      </c>
      <c r="B2343" s="7">
        <v>101.7868</v>
      </c>
      <c r="C2343" s="8">
        <f t="shared" si="19"/>
        <v>120.06131911178862</v>
      </c>
      <c r="D2343" s="9">
        <f t="shared" si="18"/>
        <v>68.150133989537096</v>
      </c>
      <c r="E2343" s="9"/>
      <c r="F2343" s="9">
        <f ca="1">IFERROR(__xludf.DUMMYFUNCTION("""COMPUTED_VALUE"""),42964)</f>
        <v>42964</v>
      </c>
      <c r="G2343" s="9" t="str">
        <f ca="1">IFERROR(__xludf.DUMMYFUNCTION("""COMPUTED_VALUE"""),"1 USD = 105.1186 PKR")</f>
        <v>1 USD = 105.1186 PKR</v>
      </c>
      <c r="H2343" s="9" t="str">
        <f ca="1">IFERROR(__xludf.DUMMYFUNCTION("""COMPUTED_VALUE"""),"USD PKR rate for 17/08/2017")</f>
        <v>USD PKR rate for 17/08/2017</v>
      </c>
      <c r="I2343" s="9"/>
    </row>
    <row r="2344" spans="1:9" ht="14.25" customHeight="1" x14ac:dyDescent="0.3">
      <c r="A2344" s="6">
        <v>42061</v>
      </c>
      <c r="B2344" s="7">
        <v>101.8653</v>
      </c>
      <c r="C2344" s="8">
        <f t="shared" si="19"/>
        <v>120.08279205090055</v>
      </c>
      <c r="D2344" s="9">
        <f t="shared" si="18"/>
        <v>68.152871822334362</v>
      </c>
      <c r="E2344" s="9"/>
      <c r="F2344" s="9">
        <f ca="1">IFERROR(__xludf.DUMMYFUNCTION("""COMPUTED_VALUE"""),42963)</f>
        <v>42963</v>
      </c>
      <c r="G2344" s="9" t="str">
        <f ca="1">IFERROR(__xludf.DUMMYFUNCTION("""COMPUTED_VALUE"""),"1 USD = 104.7592 PKR")</f>
        <v>1 USD = 104.7592 PKR</v>
      </c>
      <c r="H2344" s="9" t="str">
        <f ca="1">IFERROR(__xludf.DUMMYFUNCTION("""COMPUTED_VALUE"""),"USD PKR rate for 16/08/2017")</f>
        <v>USD PKR rate for 16/08/2017</v>
      </c>
      <c r="I2344" s="9"/>
    </row>
    <row r="2345" spans="1:9" ht="14.25" customHeight="1" x14ac:dyDescent="0.3">
      <c r="A2345" s="6">
        <v>42062</v>
      </c>
      <c r="B2345" s="7">
        <v>101.8232</v>
      </c>
      <c r="C2345" s="8">
        <f t="shared" si="19"/>
        <v>120.10426883044265</v>
      </c>
      <c r="D2345" s="9">
        <f t="shared" si="18"/>
        <v>68.155609655131627</v>
      </c>
      <c r="E2345" s="9"/>
      <c r="F2345" s="9">
        <f ca="1">IFERROR(__xludf.DUMMYFUNCTION("""COMPUTED_VALUE"""),42962)</f>
        <v>42962</v>
      </c>
      <c r="G2345" s="9" t="str">
        <f ca="1">IFERROR(__xludf.DUMMYFUNCTION("""COMPUTED_VALUE"""),"1 USD = 105.4941 PKR")</f>
        <v>1 USD = 105.4941 PKR</v>
      </c>
      <c r="H2345" s="9" t="str">
        <f ca="1">IFERROR(__xludf.DUMMYFUNCTION("""COMPUTED_VALUE"""),"USD PKR rate for 15/08/2017")</f>
        <v>USD PKR rate for 15/08/2017</v>
      </c>
      <c r="I2345" s="9"/>
    </row>
    <row r="2346" spans="1:9" ht="14.25" customHeight="1" x14ac:dyDescent="0.3">
      <c r="A2346" s="6">
        <v>42063</v>
      </c>
      <c r="B2346" s="7">
        <v>101.967</v>
      </c>
      <c r="C2346" s="8">
        <f t="shared" si="19"/>
        <v>120.12574945110181</v>
      </c>
      <c r="D2346" s="9">
        <f t="shared" si="18"/>
        <v>68.158347487928893</v>
      </c>
      <c r="E2346" s="9"/>
      <c r="F2346" s="9">
        <f ca="1">IFERROR(__xludf.DUMMYFUNCTION("""COMPUTED_VALUE"""),42961)</f>
        <v>42961</v>
      </c>
      <c r="G2346" s="9" t="str">
        <f ca="1">IFERROR(__xludf.DUMMYFUNCTION("""COMPUTED_VALUE"""),"1 USD = 105.3998 PKR")</f>
        <v>1 USD = 105.3998 PKR</v>
      </c>
      <c r="H2346" s="9" t="str">
        <f ca="1">IFERROR(__xludf.DUMMYFUNCTION("""COMPUTED_VALUE"""),"USD PKR rate for 14/08/2017")</f>
        <v>USD PKR rate for 14/08/2017</v>
      </c>
      <c r="I2346" s="9"/>
    </row>
    <row r="2347" spans="1:9" ht="14.25" customHeight="1" x14ac:dyDescent="0.3">
      <c r="A2347" s="6">
        <v>42064</v>
      </c>
      <c r="B2347" s="7">
        <v>101.95700000000001</v>
      </c>
      <c r="C2347" s="8">
        <f t="shared" si="19"/>
        <v>120.14723391356497</v>
      </c>
      <c r="D2347" s="9">
        <f t="shared" si="18"/>
        <v>68.161085320726158</v>
      </c>
      <c r="E2347" s="9"/>
      <c r="F2347" s="9">
        <f ca="1">IFERROR(__xludf.DUMMYFUNCTION("""COMPUTED_VALUE"""),42960)</f>
        <v>42960</v>
      </c>
      <c r="G2347" s="9" t="str">
        <f ca="1">IFERROR(__xludf.DUMMYFUNCTION("""COMPUTED_VALUE"""),"1 USD = 104.6697 PKR")</f>
        <v>1 USD = 104.6697 PKR</v>
      </c>
      <c r="H2347" s="9" t="str">
        <f ca="1">IFERROR(__xludf.DUMMYFUNCTION("""COMPUTED_VALUE"""),"USD PKR rate for 13/08/2017")</f>
        <v>USD PKR rate for 13/08/2017</v>
      </c>
      <c r="I2347" s="9"/>
    </row>
    <row r="2348" spans="1:9" ht="14.25" customHeight="1" x14ac:dyDescent="0.3">
      <c r="A2348" s="6">
        <v>42065</v>
      </c>
      <c r="B2348" s="7">
        <v>101.89919999999999</v>
      </c>
      <c r="C2348" s="8">
        <f t="shared" si="19"/>
        <v>120.16872221851919</v>
      </c>
      <c r="D2348" s="9">
        <f t="shared" si="18"/>
        <v>68.163823153523424</v>
      </c>
      <c r="E2348" s="9"/>
      <c r="F2348" s="9">
        <f ca="1">IFERROR(__xludf.DUMMYFUNCTION("""COMPUTED_VALUE"""),42959)</f>
        <v>42959</v>
      </c>
      <c r="G2348" s="9" t="str">
        <f ca="1">IFERROR(__xludf.DUMMYFUNCTION("""COMPUTED_VALUE"""),"1 USD = 104.6492 PKR")</f>
        <v>1 USD = 104.6492 PKR</v>
      </c>
      <c r="H2348" s="9" t="str">
        <f ca="1">IFERROR(__xludf.DUMMYFUNCTION("""COMPUTED_VALUE"""),"USD PKR rate for 12/08/2017")</f>
        <v>USD PKR rate for 12/08/2017</v>
      </c>
      <c r="I2348" s="9"/>
    </row>
    <row r="2349" spans="1:9" ht="14.25" customHeight="1" x14ac:dyDescent="0.3">
      <c r="A2349" s="6">
        <v>42066</v>
      </c>
      <c r="B2349" s="7">
        <v>101.93510000000001</v>
      </c>
      <c r="C2349" s="8">
        <f t="shared" si="19"/>
        <v>120.19021436665187</v>
      </c>
      <c r="D2349" s="9">
        <f t="shared" si="18"/>
        <v>68.16656098632069</v>
      </c>
      <c r="E2349" s="9"/>
      <c r="F2349" s="9">
        <f ca="1">IFERROR(__xludf.DUMMYFUNCTION("""COMPUTED_VALUE"""),42958)</f>
        <v>42958</v>
      </c>
      <c r="G2349" s="9" t="str">
        <f ca="1">IFERROR(__xludf.DUMMYFUNCTION("""COMPUTED_VALUE"""),"1 USD = 104.6474 PKR")</f>
        <v>1 USD = 104.6474 PKR</v>
      </c>
      <c r="H2349" s="9" t="str">
        <f ca="1">IFERROR(__xludf.DUMMYFUNCTION("""COMPUTED_VALUE"""),"USD PKR rate for 11/08/2017")</f>
        <v>USD PKR rate for 11/08/2017</v>
      </c>
      <c r="I2349" s="9"/>
    </row>
    <row r="2350" spans="1:9" ht="14.25" customHeight="1" x14ac:dyDescent="0.3">
      <c r="A2350" s="6">
        <v>42067</v>
      </c>
      <c r="B2350" s="7">
        <v>101.95350000000001</v>
      </c>
      <c r="C2350" s="8">
        <f t="shared" si="19"/>
        <v>120.21171035865028</v>
      </c>
      <c r="D2350" s="9">
        <f t="shared" si="18"/>
        <v>68.169298819117955</v>
      </c>
      <c r="E2350" s="9"/>
      <c r="F2350" s="9">
        <f ca="1">IFERROR(__xludf.DUMMYFUNCTION("""COMPUTED_VALUE"""),42957)</f>
        <v>42957</v>
      </c>
      <c r="G2350" s="9" t="str">
        <f ca="1">IFERROR(__xludf.DUMMYFUNCTION("""COMPUTED_VALUE"""),"1 USD = 104.9547 PKR")</f>
        <v>1 USD = 104.9547 PKR</v>
      </c>
      <c r="H2350" s="9" t="str">
        <f ca="1">IFERROR(__xludf.DUMMYFUNCTION("""COMPUTED_VALUE"""),"USD PKR rate for 10/08/2017")</f>
        <v>USD PKR rate for 10/08/2017</v>
      </c>
      <c r="I2350" s="9"/>
    </row>
    <row r="2351" spans="1:9" ht="14.25" customHeight="1" x14ac:dyDescent="0.3">
      <c r="A2351" s="6">
        <v>42068</v>
      </c>
      <c r="B2351" s="7">
        <v>101.8347</v>
      </c>
      <c r="C2351" s="8">
        <f t="shared" si="19"/>
        <v>120.23321019520186</v>
      </c>
      <c r="D2351" s="9">
        <f t="shared" si="18"/>
        <v>68.172036651915221</v>
      </c>
      <c r="E2351" s="9"/>
      <c r="F2351" s="9">
        <f ca="1">IFERROR(__xludf.DUMMYFUNCTION("""COMPUTED_VALUE"""),42956)</f>
        <v>42956</v>
      </c>
      <c r="G2351" s="9" t="str">
        <f ca="1">IFERROR(__xludf.DUMMYFUNCTION("""COMPUTED_VALUE"""),"1 USD = 105.172 PKR")</f>
        <v>1 USD = 105.172 PKR</v>
      </c>
      <c r="H2351" s="9" t="str">
        <f ca="1">IFERROR(__xludf.DUMMYFUNCTION("""COMPUTED_VALUE"""),"USD PKR rate for 09/08/2017")</f>
        <v>USD PKR rate for 09/08/2017</v>
      </c>
      <c r="I2351" s="9"/>
    </row>
    <row r="2352" spans="1:9" ht="14.25" customHeight="1" x14ac:dyDescent="0.3">
      <c r="A2352" s="6">
        <v>42069</v>
      </c>
      <c r="B2352" s="7">
        <v>101.8695</v>
      </c>
      <c r="C2352" s="8">
        <f t="shared" si="19"/>
        <v>120.25471387699423</v>
      </c>
      <c r="D2352" s="9">
        <f t="shared" si="18"/>
        <v>68.174774484712486</v>
      </c>
      <c r="E2352" s="9"/>
      <c r="F2352" s="9">
        <f ca="1">IFERROR(__xludf.DUMMYFUNCTION("""COMPUTED_VALUE"""),42955)</f>
        <v>42955</v>
      </c>
      <c r="G2352" s="9" t="str">
        <f ca="1">IFERROR(__xludf.DUMMYFUNCTION("""COMPUTED_VALUE"""),"1 USD = 105.8976 PKR")</f>
        <v>1 USD = 105.8976 PKR</v>
      </c>
      <c r="H2352" s="9" t="str">
        <f ca="1">IFERROR(__xludf.DUMMYFUNCTION("""COMPUTED_VALUE"""),"USD PKR rate for 08/08/2017")</f>
        <v>USD PKR rate for 08/08/2017</v>
      </c>
      <c r="I2352" s="9"/>
    </row>
    <row r="2353" spans="1:9" ht="14.25" customHeight="1" x14ac:dyDescent="0.3">
      <c r="A2353" s="6">
        <v>42070</v>
      </c>
      <c r="B2353" s="7">
        <v>101.8417</v>
      </c>
      <c r="C2353" s="8">
        <f t="shared" si="19"/>
        <v>120.2762214047151</v>
      </c>
      <c r="D2353" s="9">
        <f t="shared" si="18"/>
        <v>68.177512317509752</v>
      </c>
      <c r="E2353" s="9"/>
      <c r="F2353" s="9">
        <f ca="1">IFERROR(__xludf.DUMMYFUNCTION("""COMPUTED_VALUE"""),42954)</f>
        <v>42954</v>
      </c>
      <c r="G2353" s="9" t="str">
        <f ca="1">IFERROR(__xludf.DUMMYFUNCTION("""COMPUTED_VALUE"""),"1 USD = 105.3976 PKR")</f>
        <v>1 USD = 105.3976 PKR</v>
      </c>
      <c r="H2353" s="9" t="str">
        <f ca="1">IFERROR(__xludf.DUMMYFUNCTION("""COMPUTED_VALUE"""),"USD PKR rate for 07/08/2017")</f>
        <v>USD PKR rate for 07/08/2017</v>
      </c>
      <c r="I2353" s="9"/>
    </row>
    <row r="2354" spans="1:9" ht="14.25" customHeight="1" x14ac:dyDescent="0.3">
      <c r="A2354" s="6">
        <v>42071</v>
      </c>
      <c r="B2354" s="7">
        <v>101.8603</v>
      </c>
      <c r="C2354" s="8">
        <f t="shared" si="19"/>
        <v>120.29773277905234</v>
      </c>
      <c r="D2354" s="9">
        <f t="shared" si="18"/>
        <v>68.180250150307018</v>
      </c>
      <c r="E2354" s="9"/>
      <c r="F2354" s="9">
        <f ca="1">IFERROR(__xludf.DUMMYFUNCTION("""COMPUTED_VALUE"""),42953)</f>
        <v>42953</v>
      </c>
      <c r="G2354" s="9" t="str">
        <f ca="1">IFERROR(__xludf.DUMMYFUNCTION("""COMPUTED_VALUE"""),"1 USD = 106.245 PKR")</f>
        <v>1 USD = 106.245 PKR</v>
      </c>
      <c r="H2354" s="9" t="str">
        <f ca="1">IFERROR(__xludf.DUMMYFUNCTION("""COMPUTED_VALUE"""),"USD PKR rate for 06/08/2017")</f>
        <v>USD PKR rate for 06/08/2017</v>
      </c>
      <c r="I2354" s="9"/>
    </row>
    <row r="2355" spans="1:9" ht="14.25" customHeight="1" x14ac:dyDescent="0.3">
      <c r="A2355" s="6">
        <v>42072</v>
      </c>
      <c r="B2355" s="7">
        <v>101.96240000000002</v>
      </c>
      <c r="C2355" s="8">
        <f t="shared" si="19"/>
        <v>120.31924800069389</v>
      </c>
      <c r="D2355" s="9">
        <f t="shared" si="18"/>
        <v>68.182987983104283</v>
      </c>
      <c r="E2355" s="9"/>
      <c r="F2355" s="9">
        <f ca="1">IFERROR(__xludf.DUMMYFUNCTION("""COMPUTED_VALUE"""),42952)</f>
        <v>42952</v>
      </c>
      <c r="G2355" s="9" t="str">
        <f ca="1">IFERROR(__xludf.DUMMYFUNCTION("""COMPUTED_VALUE"""),"1 USD = 105.3459 PKR")</f>
        <v>1 USD = 105.3459 PKR</v>
      </c>
      <c r="H2355" s="9" t="str">
        <f ca="1">IFERROR(__xludf.DUMMYFUNCTION("""COMPUTED_VALUE"""),"USD PKR rate for 05/08/2017")</f>
        <v>USD PKR rate for 05/08/2017</v>
      </c>
      <c r="I2355" s="9"/>
    </row>
    <row r="2356" spans="1:9" ht="14.25" customHeight="1" x14ac:dyDescent="0.3">
      <c r="A2356" s="6">
        <v>42073</v>
      </c>
      <c r="B2356" s="7">
        <v>101.8946</v>
      </c>
      <c r="C2356" s="8">
        <f t="shared" si="19"/>
        <v>120.34076707032784</v>
      </c>
      <c r="D2356" s="9">
        <f t="shared" si="18"/>
        <v>68.185725815901549</v>
      </c>
      <c r="E2356" s="9"/>
      <c r="F2356" s="9">
        <f ca="1">IFERROR(__xludf.DUMMYFUNCTION("""COMPUTED_VALUE"""),42951)</f>
        <v>42951</v>
      </c>
      <c r="G2356" s="9" t="str">
        <f ca="1">IFERROR(__xludf.DUMMYFUNCTION("""COMPUTED_VALUE"""),"1 USD = 105.3459 PKR")</f>
        <v>1 USD = 105.3459 PKR</v>
      </c>
      <c r="H2356" s="9" t="str">
        <f ca="1">IFERROR(__xludf.DUMMYFUNCTION("""COMPUTED_VALUE"""),"USD PKR rate for 04/08/2017")</f>
        <v>USD PKR rate for 04/08/2017</v>
      </c>
      <c r="I2356" s="9"/>
    </row>
    <row r="2357" spans="1:9" ht="14.25" customHeight="1" x14ac:dyDescent="0.3">
      <c r="A2357" s="6">
        <v>42074</v>
      </c>
      <c r="B2357" s="7">
        <v>101.8424</v>
      </c>
      <c r="C2357" s="8">
        <f t="shared" si="19"/>
        <v>120.3622899886423</v>
      </c>
      <c r="D2357" s="9">
        <f t="shared" si="18"/>
        <v>68.188463648698814</v>
      </c>
      <c r="E2357" s="9"/>
      <c r="F2357" s="9">
        <f ca="1">IFERROR(__xludf.DUMMYFUNCTION("""COMPUTED_VALUE"""),42950)</f>
        <v>42950</v>
      </c>
      <c r="G2357" s="9" t="str">
        <f ca="1">IFERROR(__xludf.DUMMYFUNCTION("""COMPUTED_VALUE"""),"1 USD = 105.0436 PKR")</f>
        <v>1 USD = 105.0436 PKR</v>
      </c>
      <c r="H2357" s="9" t="str">
        <f ca="1">IFERROR(__xludf.DUMMYFUNCTION("""COMPUTED_VALUE"""),"USD PKR rate for 03/08/2017")</f>
        <v>USD PKR rate for 03/08/2017</v>
      </c>
      <c r="I2357" s="9"/>
    </row>
    <row r="2358" spans="1:9" ht="14.25" customHeight="1" x14ac:dyDescent="0.3">
      <c r="A2358" s="6">
        <v>42075</v>
      </c>
      <c r="B2358" s="7">
        <v>101.8171</v>
      </c>
      <c r="C2358" s="8">
        <f t="shared" si="19"/>
        <v>120.38381675632583</v>
      </c>
      <c r="D2358" s="9">
        <f t="shared" si="18"/>
        <v>68.19120148149608</v>
      </c>
      <c r="E2358" s="9"/>
      <c r="F2358" s="9">
        <f ca="1">IFERROR(__xludf.DUMMYFUNCTION("""COMPUTED_VALUE"""),42949)</f>
        <v>42949</v>
      </c>
      <c r="G2358" s="9" t="str">
        <f ca="1">IFERROR(__xludf.DUMMYFUNCTION("""COMPUTED_VALUE"""),"1 USD = 105.352 PKR")</f>
        <v>1 USD = 105.352 PKR</v>
      </c>
      <c r="H2358" s="9" t="str">
        <f ca="1">IFERROR(__xludf.DUMMYFUNCTION("""COMPUTED_VALUE"""),"USD PKR rate for 02/08/2017")</f>
        <v>USD PKR rate for 02/08/2017</v>
      </c>
      <c r="I2358" s="9"/>
    </row>
    <row r="2359" spans="1:9" ht="14.25" customHeight="1" x14ac:dyDescent="0.3">
      <c r="A2359" s="6">
        <v>42076</v>
      </c>
      <c r="B2359" s="7">
        <v>101.78789999999999</v>
      </c>
      <c r="C2359" s="8">
        <f t="shared" si="19"/>
        <v>120.40534737406678</v>
      </c>
      <c r="D2359" s="9">
        <f t="shared" si="18"/>
        <v>68.193939314293345</v>
      </c>
      <c r="E2359" s="9"/>
      <c r="F2359" s="9">
        <f ca="1">IFERROR(__xludf.DUMMYFUNCTION("""COMPUTED_VALUE"""),42948)</f>
        <v>42948</v>
      </c>
      <c r="G2359" s="9" t="str">
        <f ca="1">IFERROR(__xludf.DUMMYFUNCTION("""COMPUTED_VALUE"""),"1 USD = 105.4824 PKR")</f>
        <v>1 USD = 105.4824 PKR</v>
      </c>
      <c r="H2359" s="9" t="str">
        <f ca="1">IFERROR(__xludf.DUMMYFUNCTION("""COMPUTED_VALUE"""),"USD PKR rate for 01/08/2017")</f>
        <v>USD PKR rate for 01/08/2017</v>
      </c>
      <c r="I2359" s="9"/>
    </row>
    <row r="2360" spans="1:9" ht="14.25" customHeight="1" x14ac:dyDescent="0.3">
      <c r="A2360" s="6">
        <v>42077</v>
      </c>
      <c r="B2360" s="7">
        <v>101.76590000000002</v>
      </c>
      <c r="C2360" s="8">
        <f t="shared" si="19"/>
        <v>120.42688184255371</v>
      </c>
      <c r="D2360" s="9">
        <f t="shared" si="18"/>
        <v>68.196677147090611</v>
      </c>
      <c r="E2360" s="9"/>
      <c r="F2360" s="9">
        <f ca="1">IFERROR(__xludf.DUMMYFUNCTION("""COMPUTED_VALUE"""),42947)</f>
        <v>42947</v>
      </c>
      <c r="G2360" s="9" t="str">
        <f ca="1">IFERROR(__xludf.DUMMYFUNCTION("""COMPUTED_VALUE"""),"1 USD = 104.4659 PKR")</f>
        <v>1 USD = 104.4659 PKR</v>
      </c>
      <c r="H2360" s="9" t="str">
        <f ca="1">IFERROR(__xludf.DUMMYFUNCTION("""COMPUTED_VALUE"""),"USD PKR rate for 31/07/2017")</f>
        <v>USD PKR rate for 31/07/2017</v>
      </c>
      <c r="I2360" s="9"/>
    </row>
    <row r="2361" spans="1:9" ht="14.25" customHeight="1" x14ac:dyDescent="0.3">
      <c r="A2361" s="6">
        <v>42078</v>
      </c>
      <c r="B2361" s="7">
        <v>101.75990000000002</v>
      </c>
      <c r="C2361" s="8">
        <f t="shared" si="19"/>
        <v>120.44842016247536</v>
      </c>
      <c r="D2361" s="9">
        <f t="shared" si="18"/>
        <v>68.199414979887877</v>
      </c>
      <c r="E2361" s="9"/>
      <c r="F2361" s="9">
        <f ca="1">IFERROR(__xludf.DUMMYFUNCTION("""COMPUTED_VALUE"""),42946)</f>
        <v>42946</v>
      </c>
      <c r="G2361" s="9" t="str">
        <f ca="1">IFERROR(__xludf.DUMMYFUNCTION("""COMPUTED_VALUE"""),"1 USD = 104.9284 PKR")</f>
        <v>1 USD = 104.9284 PKR</v>
      </c>
      <c r="H2361" s="9" t="str">
        <f ca="1">IFERROR(__xludf.DUMMYFUNCTION("""COMPUTED_VALUE"""),"USD PKR rate for 30/07/2017")</f>
        <v>USD PKR rate for 30/07/2017</v>
      </c>
      <c r="I2361" s="9"/>
    </row>
    <row r="2362" spans="1:9" ht="14.25" customHeight="1" x14ac:dyDescent="0.3">
      <c r="A2362" s="6">
        <v>42079</v>
      </c>
      <c r="B2362" s="7">
        <v>101.8181</v>
      </c>
      <c r="C2362" s="8">
        <f t="shared" si="19"/>
        <v>120.46996233452052</v>
      </c>
      <c r="D2362" s="9">
        <f t="shared" si="18"/>
        <v>68.202152812685142</v>
      </c>
      <c r="E2362" s="9"/>
      <c r="F2362" s="9">
        <f ca="1">IFERROR(__xludf.DUMMYFUNCTION("""COMPUTED_VALUE"""),42945)</f>
        <v>42945</v>
      </c>
      <c r="G2362" s="9" t="str">
        <f ca="1">IFERROR(__xludf.DUMMYFUNCTION("""COMPUTED_VALUE"""),"1 USD = 104.968 PKR")</f>
        <v>1 USD = 104.968 PKR</v>
      </c>
      <c r="H2362" s="9" t="str">
        <f ca="1">IFERROR(__xludf.DUMMYFUNCTION("""COMPUTED_VALUE"""),"USD PKR rate for 29/07/2017")</f>
        <v>USD PKR rate for 29/07/2017</v>
      </c>
      <c r="I2362" s="9"/>
    </row>
    <row r="2363" spans="1:9" ht="14.25" customHeight="1" x14ac:dyDescent="0.3">
      <c r="A2363" s="6">
        <v>42080</v>
      </c>
      <c r="B2363" s="7">
        <v>101.85420000000002</v>
      </c>
      <c r="C2363" s="8">
        <f t="shared" si="19"/>
        <v>120.49150835937817</v>
      </c>
      <c r="D2363" s="9">
        <f t="shared" si="18"/>
        <v>68.204890645482408</v>
      </c>
      <c r="E2363" s="9"/>
      <c r="F2363" s="9">
        <f ca="1">IFERROR(__xludf.DUMMYFUNCTION("""COMPUTED_VALUE"""),42944)</f>
        <v>42944</v>
      </c>
      <c r="G2363" s="9" t="str">
        <f ca="1">IFERROR(__xludf.DUMMYFUNCTION("""COMPUTED_VALUE"""),"1 USD = 104.973 PKR")</f>
        <v>1 USD = 104.973 PKR</v>
      </c>
      <c r="H2363" s="9" t="str">
        <f ca="1">IFERROR(__xludf.DUMMYFUNCTION("""COMPUTED_VALUE"""),"USD PKR rate for 28/07/2017")</f>
        <v>USD PKR rate for 28/07/2017</v>
      </c>
      <c r="I2363" s="9"/>
    </row>
    <row r="2364" spans="1:9" ht="14.25" customHeight="1" x14ac:dyDescent="0.3">
      <c r="A2364" s="6">
        <v>42081</v>
      </c>
      <c r="B2364" s="7">
        <v>101.52310000000001</v>
      </c>
      <c r="C2364" s="8">
        <f t="shared" si="19"/>
        <v>120.51305823773737</v>
      </c>
      <c r="D2364" s="9">
        <f t="shared" si="18"/>
        <v>68.207628478279673</v>
      </c>
      <c r="E2364" s="9"/>
      <c r="F2364" s="9">
        <f ca="1">IFERROR(__xludf.DUMMYFUNCTION("""COMPUTED_VALUE"""),42943)</f>
        <v>42943</v>
      </c>
      <c r="G2364" s="9" t="str">
        <f ca="1">IFERROR(__xludf.DUMMYFUNCTION("""COMPUTED_VALUE"""),"1 USD = 105.5699 PKR")</f>
        <v>1 USD = 105.5699 PKR</v>
      </c>
      <c r="H2364" s="9" t="str">
        <f ca="1">IFERROR(__xludf.DUMMYFUNCTION("""COMPUTED_VALUE"""),"USD PKR rate for 27/07/2017")</f>
        <v>USD PKR rate for 27/07/2017</v>
      </c>
      <c r="I2364" s="9"/>
    </row>
    <row r="2365" spans="1:9" ht="14.25" customHeight="1" x14ac:dyDescent="0.3">
      <c r="A2365" s="6">
        <v>42082</v>
      </c>
      <c r="B2365" s="7">
        <v>101.89019999999999</v>
      </c>
      <c r="C2365" s="8">
        <f t="shared" si="19"/>
        <v>120.53461197028733</v>
      </c>
      <c r="D2365" s="9">
        <f t="shared" si="18"/>
        <v>68.210366311076939</v>
      </c>
      <c r="E2365" s="9"/>
      <c r="F2365" s="9">
        <f ca="1">IFERROR(__xludf.DUMMYFUNCTION("""COMPUTED_VALUE"""),42942)</f>
        <v>42942</v>
      </c>
      <c r="G2365" s="9" t="str">
        <f ca="1">IFERROR(__xludf.DUMMYFUNCTION("""COMPUTED_VALUE"""),"1 USD = 104.4405 PKR")</f>
        <v>1 USD = 104.4405 PKR</v>
      </c>
      <c r="H2365" s="9" t="str">
        <f ca="1">IFERROR(__xludf.DUMMYFUNCTION("""COMPUTED_VALUE"""),"USD PKR rate for 26/07/2017")</f>
        <v>USD PKR rate for 26/07/2017</v>
      </c>
      <c r="I2365" s="9"/>
    </row>
    <row r="2366" spans="1:9" ht="14.25" customHeight="1" x14ac:dyDescent="0.3">
      <c r="A2366" s="6">
        <v>42083</v>
      </c>
      <c r="B2366" s="7">
        <v>101.7457</v>
      </c>
      <c r="C2366" s="8">
        <f t="shared" si="19"/>
        <v>120.55616955771725</v>
      </c>
      <c r="D2366" s="9">
        <f t="shared" si="18"/>
        <v>68.213104143874205</v>
      </c>
      <c r="E2366" s="9"/>
      <c r="F2366" s="9">
        <f ca="1">IFERROR(__xludf.DUMMYFUNCTION("""COMPUTED_VALUE"""),42941)</f>
        <v>42941</v>
      </c>
      <c r="G2366" s="9" t="str">
        <f ca="1">IFERROR(__xludf.DUMMYFUNCTION("""COMPUTED_VALUE"""),"1 USD = 105.3336 PKR")</f>
        <v>1 USD = 105.3336 PKR</v>
      </c>
      <c r="H2366" s="9" t="str">
        <f ca="1">IFERROR(__xludf.DUMMYFUNCTION("""COMPUTED_VALUE"""),"USD PKR rate for 25/07/2017")</f>
        <v>USD PKR rate for 25/07/2017</v>
      </c>
      <c r="I2366" s="9"/>
    </row>
    <row r="2367" spans="1:9" ht="14.25" customHeight="1" x14ac:dyDescent="0.3">
      <c r="A2367" s="6">
        <v>42084</v>
      </c>
      <c r="B2367" s="7">
        <v>102.10209999999999</v>
      </c>
      <c r="C2367" s="8">
        <f t="shared" si="19"/>
        <v>120.5777310007168</v>
      </c>
      <c r="D2367" s="9">
        <f t="shared" si="18"/>
        <v>68.21584197667147</v>
      </c>
      <c r="E2367" s="9"/>
      <c r="F2367" s="9">
        <f ca="1">IFERROR(__xludf.DUMMYFUNCTION("""COMPUTED_VALUE"""),42940)</f>
        <v>42940</v>
      </c>
      <c r="G2367" s="9" t="str">
        <f ca="1">IFERROR(__xludf.DUMMYFUNCTION("""COMPUTED_VALUE"""),"1 USD = 105.3232 PKR")</f>
        <v>1 USD = 105.3232 PKR</v>
      </c>
      <c r="H2367" s="9" t="str">
        <f ca="1">IFERROR(__xludf.DUMMYFUNCTION("""COMPUTED_VALUE"""),"USD PKR rate for 24/07/2017")</f>
        <v>USD PKR rate for 24/07/2017</v>
      </c>
      <c r="I2367" s="9"/>
    </row>
    <row r="2368" spans="1:9" ht="14.25" customHeight="1" x14ac:dyDescent="0.3">
      <c r="A2368" s="6">
        <v>42085</v>
      </c>
      <c r="B2368" s="7">
        <v>102.00230000000001</v>
      </c>
      <c r="C2368" s="8">
        <f t="shared" si="19"/>
        <v>120.59929629997544</v>
      </c>
      <c r="D2368" s="9">
        <f t="shared" si="18"/>
        <v>68.218579809468736</v>
      </c>
      <c r="E2368" s="9"/>
      <c r="F2368" s="9">
        <f ca="1">IFERROR(__xludf.DUMMYFUNCTION("""COMPUTED_VALUE"""),42939)</f>
        <v>42939</v>
      </c>
      <c r="G2368" s="9" t="str">
        <f ca="1">IFERROR(__xludf.DUMMYFUNCTION("""COMPUTED_VALUE"""),"1 USD = 105.1472 PKR")</f>
        <v>1 USD = 105.1472 PKR</v>
      </c>
      <c r="H2368" s="9" t="str">
        <f ca="1">IFERROR(__xludf.DUMMYFUNCTION("""COMPUTED_VALUE"""),"USD PKR rate for 23/07/2017")</f>
        <v>USD PKR rate for 23/07/2017</v>
      </c>
      <c r="I2368" s="9"/>
    </row>
    <row r="2369" spans="1:9" ht="14.25" customHeight="1" x14ac:dyDescent="0.3">
      <c r="A2369" s="6">
        <v>42086</v>
      </c>
      <c r="B2369" s="7">
        <v>101.97239999999999</v>
      </c>
      <c r="C2369" s="8">
        <f t="shared" si="19"/>
        <v>120.62086545618284</v>
      </c>
      <c r="D2369" s="9">
        <f t="shared" si="18"/>
        <v>68.221317642266001</v>
      </c>
      <c r="E2369" s="9"/>
      <c r="F2369" s="9">
        <f ca="1">IFERROR(__xludf.DUMMYFUNCTION("""COMPUTED_VALUE"""),42938)</f>
        <v>42938</v>
      </c>
      <c r="G2369" s="9" t="str">
        <f ca="1">IFERROR(__xludf.DUMMYFUNCTION("""COMPUTED_VALUE"""),"1 USD = 105.1453 PKR")</f>
        <v>1 USD = 105.1453 PKR</v>
      </c>
      <c r="H2369" s="9" t="str">
        <f ca="1">IFERROR(__xludf.DUMMYFUNCTION("""COMPUTED_VALUE"""),"USD PKR rate for 22/07/2017")</f>
        <v>USD PKR rate for 22/07/2017</v>
      </c>
      <c r="I2369" s="9"/>
    </row>
    <row r="2370" spans="1:9" ht="14.25" customHeight="1" x14ac:dyDescent="0.3">
      <c r="A2370" s="6">
        <v>42087</v>
      </c>
      <c r="B2370" s="7">
        <v>101.9217</v>
      </c>
      <c r="C2370" s="8">
        <f t="shared" si="19"/>
        <v>120.64243847002885</v>
      </c>
      <c r="D2370" s="9">
        <f t="shared" si="18"/>
        <v>68.224055475063267</v>
      </c>
      <c r="E2370" s="9"/>
      <c r="F2370" s="9">
        <f ca="1">IFERROR(__xludf.DUMMYFUNCTION("""COMPUTED_VALUE"""),42937)</f>
        <v>42937</v>
      </c>
      <c r="G2370" s="9" t="str">
        <f ca="1">IFERROR(__xludf.DUMMYFUNCTION("""COMPUTED_VALUE"""),"1 USD = 105.1849 PKR")</f>
        <v>1 USD = 105.1849 PKR</v>
      </c>
      <c r="H2370" s="9" t="str">
        <f ca="1">IFERROR(__xludf.DUMMYFUNCTION("""COMPUTED_VALUE"""),"USD PKR rate for 21/07/2017")</f>
        <v>USD PKR rate for 21/07/2017</v>
      </c>
      <c r="I2370" s="9"/>
    </row>
    <row r="2371" spans="1:9" ht="14.25" customHeight="1" x14ac:dyDescent="0.3">
      <c r="A2371" s="6">
        <v>42088</v>
      </c>
      <c r="B2371" s="7">
        <v>101.9851</v>
      </c>
      <c r="C2371" s="8">
        <f t="shared" si="19"/>
        <v>120.66401534220336</v>
      </c>
      <c r="D2371" s="9">
        <f t="shared" si="18"/>
        <v>68.226793307860532</v>
      </c>
      <c r="E2371" s="9"/>
      <c r="F2371" s="9">
        <f ca="1">IFERROR(__xludf.DUMMYFUNCTION("""COMPUTED_VALUE"""),42936)</f>
        <v>42936</v>
      </c>
      <c r="G2371" s="9" t="str">
        <f ca="1">IFERROR(__xludf.DUMMYFUNCTION("""COMPUTED_VALUE"""),"1 USD = 104.1476 PKR")</f>
        <v>1 USD = 104.1476 PKR</v>
      </c>
      <c r="H2371" s="9" t="str">
        <f ca="1">IFERROR(__xludf.DUMMYFUNCTION("""COMPUTED_VALUE"""),"USD PKR rate for 20/07/2017")</f>
        <v>USD PKR rate for 20/07/2017</v>
      </c>
      <c r="I2371" s="9"/>
    </row>
    <row r="2372" spans="1:9" ht="14.25" customHeight="1" x14ac:dyDescent="0.3">
      <c r="A2372" s="6">
        <v>42089</v>
      </c>
      <c r="B2372" s="7">
        <v>101.9589</v>
      </c>
      <c r="C2372" s="8">
        <f t="shared" si="19"/>
        <v>120.68559607339648</v>
      </c>
      <c r="D2372" s="9">
        <f t="shared" si="18"/>
        <v>68.229531140657798</v>
      </c>
      <c r="E2372" s="9"/>
      <c r="F2372" s="9">
        <f ca="1">IFERROR(__xludf.DUMMYFUNCTION("""COMPUTED_VALUE"""),42935)</f>
        <v>42935</v>
      </c>
      <c r="G2372" s="9" t="str">
        <f ca="1">IFERROR(__xludf.DUMMYFUNCTION("""COMPUTED_VALUE"""),"1 USD = 105.2605 PKR")</f>
        <v>1 USD = 105.2605 PKR</v>
      </c>
      <c r="H2372" s="9" t="str">
        <f ca="1">IFERROR(__xludf.DUMMYFUNCTION("""COMPUTED_VALUE"""),"USD PKR rate for 19/07/2017")</f>
        <v>USD PKR rate for 19/07/2017</v>
      </c>
      <c r="I2372" s="9"/>
    </row>
    <row r="2373" spans="1:9" ht="14.25" customHeight="1" x14ac:dyDescent="0.3">
      <c r="A2373" s="6">
        <v>42090</v>
      </c>
      <c r="B2373" s="7">
        <v>101.8411</v>
      </c>
      <c r="C2373" s="8">
        <f t="shared" si="19"/>
        <v>120.70718066429839</v>
      </c>
      <c r="D2373" s="9">
        <f t="shared" si="18"/>
        <v>68.232268973455064</v>
      </c>
      <c r="E2373" s="9"/>
      <c r="F2373" s="9">
        <f ca="1">IFERROR(__xludf.DUMMYFUNCTION("""COMPUTED_VALUE"""),42934)</f>
        <v>42934</v>
      </c>
      <c r="G2373" s="9" t="str">
        <f ca="1">IFERROR(__xludf.DUMMYFUNCTION("""COMPUTED_VALUE"""),"1 USD = 105.2826 PKR")</f>
        <v>1 USD = 105.2826 PKR</v>
      </c>
      <c r="H2373" s="9" t="str">
        <f ca="1">IFERROR(__xludf.DUMMYFUNCTION("""COMPUTED_VALUE"""),"USD PKR rate for 18/07/2017")</f>
        <v>USD PKR rate for 18/07/2017</v>
      </c>
      <c r="I2373" s="9"/>
    </row>
    <row r="2374" spans="1:9" ht="14.25" customHeight="1" x14ac:dyDescent="0.3">
      <c r="A2374" s="6">
        <v>42091</v>
      </c>
      <c r="B2374" s="7">
        <v>101.9224</v>
      </c>
      <c r="C2374" s="8">
        <f t="shared" si="19"/>
        <v>120.72876911559936</v>
      </c>
      <c r="D2374" s="9">
        <f t="shared" si="18"/>
        <v>68.235006806252329</v>
      </c>
      <c r="E2374" s="9"/>
      <c r="F2374" s="9">
        <f ca="1">IFERROR(__xludf.DUMMYFUNCTION("""COMPUTED_VALUE"""),42933)</f>
        <v>42933</v>
      </c>
      <c r="G2374" s="9" t="str">
        <f ca="1">IFERROR(__xludf.DUMMYFUNCTION("""COMPUTED_VALUE"""),"1 USD = 105.1655 PKR")</f>
        <v>1 USD = 105.1655 PKR</v>
      </c>
      <c r="H2374" s="9" t="str">
        <f ca="1">IFERROR(__xludf.DUMMYFUNCTION("""COMPUTED_VALUE"""),"USD PKR rate for 17/07/2017")</f>
        <v>USD PKR rate for 17/07/2017</v>
      </c>
      <c r="I2374" s="9"/>
    </row>
    <row r="2375" spans="1:9" ht="14.25" customHeight="1" x14ac:dyDescent="0.3">
      <c r="A2375" s="6">
        <v>42092</v>
      </c>
      <c r="B2375" s="7">
        <v>101.81619999999999</v>
      </c>
      <c r="C2375" s="8">
        <f t="shared" si="19"/>
        <v>120.75036142798976</v>
      </c>
      <c r="D2375" s="9">
        <f t="shared" si="18"/>
        <v>68.237744639049595</v>
      </c>
      <c r="E2375" s="9"/>
      <c r="F2375" s="9">
        <f ca="1">IFERROR(__xludf.DUMMYFUNCTION("""COMPUTED_VALUE"""),42932)</f>
        <v>42932</v>
      </c>
      <c r="G2375" s="9" t="str">
        <f ca="1">IFERROR(__xludf.DUMMYFUNCTION("""COMPUTED_VALUE"""),"1 USD = 104.8248 PKR")</f>
        <v>1 USD = 104.8248 PKR</v>
      </c>
      <c r="H2375" s="9" t="str">
        <f ca="1">IFERROR(__xludf.DUMMYFUNCTION("""COMPUTED_VALUE"""),"USD PKR rate for 16/07/2017")</f>
        <v>USD PKR rate for 16/07/2017</v>
      </c>
      <c r="I2375" s="9"/>
    </row>
    <row r="2376" spans="1:9" ht="14.25" customHeight="1" x14ac:dyDescent="0.3">
      <c r="A2376" s="6">
        <v>42093</v>
      </c>
      <c r="B2376" s="7">
        <v>101.8438</v>
      </c>
      <c r="C2376" s="8">
        <f t="shared" si="19"/>
        <v>120.7719576021603</v>
      </c>
      <c r="D2376" s="9">
        <f t="shared" si="18"/>
        <v>68.24048247184686</v>
      </c>
      <c r="E2376" s="9"/>
      <c r="F2376" s="9">
        <f ca="1">IFERROR(__xludf.DUMMYFUNCTION("""COMPUTED_VALUE"""),42931)</f>
        <v>42931</v>
      </c>
      <c r="G2376" s="9" t="str">
        <f ca="1">IFERROR(__xludf.DUMMYFUNCTION("""COMPUTED_VALUE"""),"1 USD = 104.6977 PKR")</f>
        <v>1 USD = 104.6977 PKR</v>
      </c>
      <c r="H2376" s="9" t="str">
        <f ca="1">IFERROR(__xludf.DUMMYFUNCTION("""COMPUTED_VALUE"""),"USD PKR rate for 15/07/2017")</f>
        <v>USD PKR rate for 15/07/2017</v>
      </c>
      <c r="I2376" s="9"/>
    </row>
    <row r="2377" spans="1:9" ht="14.25" customHeight="1" x14ac:dyDescent="0.3">
      <c r="A2377" s="6">
        <v>42094</v>
      </c>
      <c r="B2377" s="7">
        <v>101.92019999999999</v>
      </c>
      <c r="C2377" s="8">
        <f t="shared" si="19"/>
        <v>120.79355763880163</v>
      </c>
      <c r="D2377" s="9">
        <f t="shared" si="18"/>
        <v>68.243220304644126</v>
      </c>
      <c r="E2377" s="9"/>
      <c r="F2377" s="9">
        <f ca="1">IFERROR(__xludf.DUMMYFUNCTION("""COMPUTED_VALUE"""),42930)</f>
        <v>42930</v>
      </c>
      <c r="G2377" s="9" t="str">
        <f ca="1">IFERROR(__xludf.DUMMYFUNCTION("""COMPUTED_VALUE"""),"1 USD = 104.6977 PKR")</f>
        <v>1 USD = 104.6977 PKR</v>
      </c>
      <c r="H2377" s="9" t="str">
        <f ca="1">IFERROR(__xludf.DUMMYFUNCTION("""COMPUTED_VALUE"""),"USD PKR rate for 14/07/2017")</f>
        <v>USD PKR rate for 14/07/2017</v>
      </c>
      <c r="I2377" s="9"/>
    </row>
    <row r="2378" spans="1:9" ht="14.25" customHeight="1" x14ac:dyDescent="0.3">
      <c r="A2378" s="6">
        <v>42095</v>
      </c>
      <c r="B2378" s="7">
        <v>101.9045</v>
      </c>
      <c r="C2378" s="8">
        <f t="shared" si="19"/>
        <v>120.81516153860449</v>
      </c>
      <c r="D2378" s="9">
        <f t="shared" si="18"/>
        <v>68.245958137441392</v>
      </c>
      <c r="E2378" s="9"/>
      <c r="F2378" s="9">
        <f ca="1">IFERROR(__xludf.DUMMYFUNCTION("""COMPUTED_VALUE"""),42929)</f>
        <v>42929</v>
      </c>
      <c r="G2378" s="9" t="str">
        <f ca="1">IFERROR(__xludf.DUMMYFUNCTION("""COMPUTED_VALUE"""),"1 USD = 105.1481 PKR")</f>
        <v>1 USD = 105.1481 PKR</v>
      </c>
      <c r="H2378" s="9" t="str">
        <f ca="1">IFERROR(__xludf.DUMMYFUNCTION("""COMPUTED_VALUE"""),"USD PKR rate for 13/07/2017")</f>
        <v>USD PKR rate for 13/07/2017</v>
      </c>
      <c r="I2378" s="9"/>
    </row>
    <row r="2379" spans="1:9" ht="14.25" customHeight="1" x14ac:dyDescent="0.3">
      <c r="A2379" s="6">
        <v>42096</v>
      </c>
      <c r="B2379" s="7">
        <v>101.89930000000001</v>
      </c>
      <c r="C2379" s="8">
        <f t="shared" si="19"/>
        <v>120.83676930225982</v>
      </c>
      <c r="D2379" s="9">
        <f t="shared" si="18"/>
        <v>68.248695970238657</v>
      </c>
      <c r="E2379" s="9"/>
      <c r="F2379" s="9">
        <f ca="1">IFERROR(__xludf.DUMMYFUNCTION("""COMPUTED_VALUE"""),42928)</f>
        <v>42928</v>
      </c>
      <c r="G2379" s="9" t="str">
        <f ca="1">IFERROR(__xludf.DUMMYFUNCTION("""COMPUTED_VALUE"""),"1 USD = 105.5477 PKR")</f>
        <v>1 USD = 105.5477 PKR</v>
      </c>
      <c r="H2379" s="9" t="str">
        <f ca="1">IFERROR(__xludf.DUMMYFUNCTION("""COMPUTED_VALUE"""),"USD PKR rate for 12/07/2017")</f>
        <v>USD PKR rate for 12/07/2017</v>
      </c>
      <c r="I2379" s="9"/>
    </row>
    <row r="2380" spans="1:9" ht="14.25" customHeight="1" x14ac:dyDescent="0.3">
      <c r="A2380" s="6">
        <v>42097</v>
      </c>
      <c r="B2380" s="7">
        <v>101.8779</v>
      </c>
      <c r="C2380" s="8">
        <f t="shared" si="19"/>
        <v>120.85838093045868</v>
      </c>
      <c r="D2380" s="9">
        <f t="shared" si="18"/>
        <v>68.251433803035923</v>
      </c>
      <c r="E2380" s="9"/>
      <c r="F2380" s="9">
        <f ca="1">IFERROR(__xludf.DUMMYFUNCTION("""COMPUTED_VALUE"""),42927)</f>
        <v>42927</v>
      </c>
      <c r="G2380" s="9" t="str">
        <f ca="1">IFERROR(__xludf.DUMMYFUNCTION("""COMPUTED_VALUE"""),"1 USD = 105.2589 PKR")</f>
        <v>1 USD = 105.2589 PKR</v>
      </c>
      <c r="H2380" s="9" t="str">
        <f ca="1">IFERROR(__xludf.DUMMYFUNCTION("""COMPUTED_VALUE"""),"USD PKR rate for 11/07/2017")</f>
        <v>USD PKR rate for 11/07/2017</v>
      </c>
      <c r="I2380" s="9"/>
    </row>
    <row r="2381" spans="1:9" ht="14.25" customHeight="1" x14ac:dyDescent="0.3">
      <c r="A2381" s="6">
        <v>42098</v>
      </c>
      <c r="B2381" s="7">
        <v>101.79110000000001</v>
      </c>
      <c r="C2381" s="8">
        <f t="shared" si="19"/>
        <v>120.87999642389224</v>
      </c>
      <c r="D2381" s="9">
        <f t="shared" si="18"/>
        <v>68.254171635833188</v>
      </c>
      <c r="E2381" s="9"/>
      <c r="F2381" s="9">
        <f ca="1">IFERROR(__xludf.DUMMYFUNCTION("""COMPUTED_VALUE"""),42926)</f>
        <v>42926</v>
      </c>
      <c r="G2381" s="9" t="str">
        <f ca="1">IFERROR(__xludf.DUMMYFUNCTION("""COMPUTED_VALUE"""),"1 USD = 105.2267 PKR")</f>
        <v>1 USD = 105.2267 PKR</v>
      </c>
      <c r="H2381" s="9" t="str">
        <f ca="1">IFERROR(__xludf.DUMMYFUNCTION("""COMPUTED_VALUE"""),"USD PKR rate for 10/07/2017")</f>
        <v>USD PKR rate for 10/07/2017</v>
      </c>
      <c r="I2381" s="9"/>
    </row>
    <row r="2382" spans="1:9" ht="14.25" customHeight="1" x14ac:dyDescent="0.3">
      <c r="A2382" s="6">
        <v>42099</v>
      </c>
      <c r="B2382" s="7">
        <v>101.8172</v>
      </c>
      <c r="C2382" s="8">
        <f t="shared" si="19"/>
        <v>120.90161578325178</v>
      </c>
      <c r="D2382" s="9">
        <f t="shared" si="18"/>
        <v>68.256909468630454</v>
      </c>
      <c r="E2382" s="9"/>
      <c r="F2382" s="9">
        <f ca="1">IFERROR(__xludf.DUMMYFUNCTION("""COMPUTED_VALUE"""),42925)</f>
        <v>42925</v>
      </c>
      <c r="G2382" s="9" t="str">
        <f ca="1">IFERROR(__xludf.DUMMYFUNCTION("""COMPUTED_VALUE"""),"1 USD = 105.9588 PKR")</f>
        <v>1 USD = 105.9588 PKR</v>
      </c>
      <c r="H2382" s="9" t="str">
        <f ca="1">IFERROR(__xludf.DUMMYFUNCTION("""COMPUTED_VALUE"""),"USD PKR rate for 09/07/2017")</f>
        <v>USD PKR rate for 09/07/2017</v>
      </c>
      <c r="I2382" s="9"/>
    </row>
    <row r="2383" spans="1:9" ht="14.25" customHeight="1" x14ac:dyDescent="0.3">
      <c r="A2383" s="6">
        <v>42100</v>
      </c>
      <c r="B2383" s="7">
        <v>101.94159999999999</v>
      </c>
      <c r="C2383" s="8">
        <f t="shared" si="19"/>
        <v>120.92323900922875</v>
      </c>
      <c r="D2383" s="9">
        <f t="shared" si="18"/>
        <v>68.259647301427719</v>
      </c>
      <c r="E2383" s="9"/>
      <c r="F2383" s="9">
        <f ca="1">IFERROR(__xludf.DUMMYFUNCTION("""COMPUTED_VALUE"""),42924)</f>
        <v>42924</v>
      </c>
      <c r="G2383" s="9" t="str">
        <f ca="1">IFERROR(__xludf.DUMMYFUNCTION("""COMPUTED_VALUE"""),"1 USD = 105.9134 PKR")</f>
        <v>1 USD = 105.9134 PKR</v>
      </c>
      <c r="H2383" s="9" t="str">
        <f ca="1">IFERROR(__xludf.DUMMYFUNCTION("""COMPUTED_VALUE"""),"USD PKR rate for 08/07/2017")</f>
        <v>USD PKR rate for 08/07/2017</v>
      </c>
      <c r="I2383" s="9"/>
    </row>
    <row r="2384" spans="1:9" ht="14.25" customHeight="1" x14ac:dyDescent="0.3">
      <c r="A2384" s="6">
        <v>42101</v>
      </c>
      <c r="B2384" s="7">
        <v>101.6824</v>
      </c>
      <c r="C2384" s="8">
        <f t="shared" si="19"/>
        <v>120.94486610251457</v>
      </c>
      <c r="D2384" s="9">
        <f t="shared" si="18"/>
        <v>68.262385134224985</v>
      </c>
      <c r="E2384" s="9"/>
      <c r="F2384" s="9">
        <f ca="1">IFERROR(__xludf.DUMMYFUNCTION("""COMPUTED_VALUE"""),42923)</f>
        <v>42923</v>
      </c>
      <c r="G2384" s="9" t="str">
        <f ca="1">IFERROR(__xludf.DUMMYFUNCTION("""COMPUTED_VALUE"""),"1 USD = 105.7989 PKR")</f>
        <v>1 USD = 105.7989 PKR</v>
      </c>
      <c r="H2384" s="9" t="str">
        <f ca="1">IFERROR(__xludf.DUMMYFUNCTION("""COMPUTED_VALUE"""),"USD PKR rate for 07/07/2017")</f>
        <v>USD PKR rate for 07/07/2017</v>
      </c>
      <c r="I2384" s="9"/>
    </row>
    <row r="2385" spans="1:9" ht="14.25" customHeight="1" x14ac:dyDescent="0.3">
      <c r="A2385" s="6">
        <v>42102</v>
      </c>
      <c r="B2385" s="7">
        <v>101.77589999999999</v>
      </c>
      <c r="C2385" s="8">
        <f t="shared" si="19"/>
        <v>120.96649706380111</v>
      </c>
      <c r="D2385" s="9">
        <f t="shared" si="18"/>
        <v>68.265122967022251</v>
      </c>
      <c r="E2385" s="9"/>
      <c r="F2385" s="9">
        <f ca="1">IFERROR(__xludf.DUMMYFUNCTION("""COMPUTED_VALUE"""),42922)</f>
        <v>42922</v>
      </c>
      <c r="G2385" s="9" t="str">
        <f ca="1">IFERROR(__xludf.DUMMYFUNCTION("""COMPUTED_VALUE"""),"1 USD = 106.0846 PKR")</f>
        <v>1 USD = 106.0846 PKR</v>
      </c>
      <c r="H2385" s="9" t="str">
        <f ca="1">IFERROR(__xludf.DUMMYFUNCTION("""COMPUTED_VALUE"""),"USD PKR rate for 06/07/2017")</f>
        <v>USD PKR rate for 06/07/2017</v>
      </c>
      <c r="I2385" s="9"/>
    </row>
    <row r="2386" spans="1:9" ht="14.25" customHeight="1" x14ac:dyDescent="0.3">
      <c r="A2386" s="6">
        <v>42103</v>
      </c>
      <c r="B2386" s="7">
        <v>101.9657</v>
      </c>
      <c r="C2386" s="8">
        <f t="shared" si="19"/>
        <v>120.98813189378008</v>
      </c>
      <c r="D2386" s="9">
        <f t="shared" si="18"/>
        <v>68.267860799819516</v>
      </c>
      <c r="E2386" s="9"/>
      <c r="F2386" s="9">
        <f ca="1">IFERROR(__xludf.DUMMYFUNCTION("""COMPUTED_VALUE"""),42921)</f>
        <v>42921</v>
      </c>
      <c r="G2386" s="9" t="str">
        <f ca="1">IFERROR(__xludf.DUMMYFUNCTION("""COMPUTED_VALUE"""),"1 USD = 104.7378 PKR")</f>
        <v>1 USD = 104.7378 PKR</v>
      </c>
      <c r="H2386" s="9" t="str">
        <f ca="1">IFERROR(__xludf.DUMMYFUNCTION("""COMPUTED_VALUE"""),"USD PKR rate for 05/07/2017")</f>
        <v>USD PKR rate for 05/07/2017</v>
      </c>
      <c r="I2386" s="9"/>
    </row>
    <row r="2387" spans="1:9" ht="14.25" customHeight="1" x14ac:dyDescent="0.3">
      <c r="A2387" s="6">
        <v>42104</v>
      </c>
      <c r="B2387" s="7">
        <v>101.9837</v>
      </c>
      <c r="C2387" s="8">
        <f t="shared" si="19"/>
        <v>121.00977059314336</v>
      </c>
      <c r="D2387" s="9">
        <f t="shared" si="18"/>
        <v>68.270598632616782</v>
      </c>
      <c r="E2387" s="9"/>
      <c r="F2387" s="9">
        <f ca="1">IFERROR(__xludf.DUMMYFUNCTION("""COMPUTED_VALUE"""),42920)</f>
        <v>42920</v>
      </c>
      <c r="G2387" s="9" t="str">
        <f ca="1">IFERROR(__xludf.DUMMYFUNCTION("""COMPUTED_VALUE"""),"1 USD = 104.8453 PKR")</f>
        <v>1 USD = 104.8453 PKR</v>
      </c>
      <c r="H2387" s="9" t="str">
        <f ca="1">IFERROR(__xludf.DUMMYFUNCTION("""COMPUTED_VALUE"""),"USD PKR rate for 04/07/2017")</f>
        <v>USD PKR rate for 04/07/2017</v>
      </c>
      <c r="I2387" s="9"/>
    </row>
    <row r="2388" spans="1:9" ht="14.25" customHeight="1" x14ac:dyDescent="0.3">
      <c r="A2388" s="6">
        <v>42105</v>
      </c>
      <c r="B2388" s="7">
        <v>101.99420000000002</v>
      </c>
      <c r="C2388" s="8">
        <f t="shared" si="19"/>
        <v>121.03141316258301</v>
      </c>
      <c r="D2388" s="9">
        <f t="shared" si="18"/>
        <v>68.273336465414047</v>
      </c>
      <c r="E2388" s="9"/>
      <c r="F2388" s="9">
        <f ca="1">IFERROR(__xludf.DUMMYFUNCTION("""COMPUTED_VALUE"""),42919)</f>
        <v>42919</v>
      </c>
      <c r="G2388" s="9" t="str">
        <f ca="1">IFERROR(__xludf.DUMMYFUNCTION("""COMPUTED_VALUE"""),"1 USD = 104.971 PKR")</f>
        <v>1 USD = 104.971 PKR</v>
      </c>
      <c r="H2388" s="9" t="str">
        <f ca="1">IFERROR(__xludf.DUMMYFUNCTION("""COMPUTED_VALUE"""),"USD PKR rate for 03/07/2017")</f>
        <v>USD PKR rate for 03/07/2017</v>
      </c>
      <c r="I2388" s="9"/>
    </row>
    <row r="2389" spans="1:9" ht="14.25" customHeight="1" x14ac:dyDescent="0.3">
      <c r="A2389" s="6">
        <v>42106</v>
      </c>
      <c r="B2389" s="7">
        <v>101.8056</v>
      </c>
      <c r="C2389" s="8">
        <f t="shared" si="19"/>
        <v>121.05305960279121</v>
      </c>
      <c r="D2389" s="9">
        <f t="shared" si="18"/>
        <v>68.276074298211313</v>
      </c>
      <c r="E2389" s="9"/>
      <c r="F2389" s="9">
        <f ca="1">IFERROR(__xludf.DUMMYFUNCTION("""COMPUTED_VALUE"""),42918)</f>
        <v>42918</v>
      </c>
      <c r="G2389" s="9" t="str">
        <f ca="1">IFERROR(__xludf.DUMMYFUNCTION("""COMPUTED_VALUE"""),"1 USD = 104.6332 PKR")</f>
        <v>1 USD = 104.6332 PKR</v>
      </c>
      <c r="H2389" s="9" t="str">
        <f ca="1">IFERROR(__xludf.DUMMYFUNCTION("""COMPUTED_VALUE"""),"USD PKR rate for 02/07/2017")</f>
        <v>USD PKR rate for 02/07/2017</v>
      </c>
      <c r="I2389" s="9"/>
    </row>
    <row r="2390" spans="1:9" ht="14.25" customHeight="1" x14ac:dyDescent="0.3">
      <c r="A2390" s="6">
        <v>42107</v>
      </c>
      <c r="B2390" s="7">
        <v>101.858</v>
      </c>
      <c r="C2390" s="8">
        <f t="shared" si="19"/>
        <v>121.07470991446021</v>
      </c>
      <c r="D2390" s="9">
        <f t="shared" si="18"/>
        <v>68.278812131008578</v>
      </c>
      <c r="E2390" s="9"/>
      <c r="F2390" s="9">
        <f ca="1">IFERROR(__xludf.DUMMYFUNCTION("""COMPUTED_VALUE"""),42917)</f>
        <v>42917</v>
      </c>
      <c r="G2390" s="9" t="str">
        <f ca="1">IFERROR(__xludf.DUMMYFUNCTION("""COMPUTED_VALUE"""),"1 USD = 104.6501 PKR")</f>
        <v>1 USD = 104.6501 PKR</v>
      </c>
      <c r="H2390" s="9" t="str">
        <f ca="1">IFERROR(__xludf.DUMMYFUNCTION("""COMPUTED_VALUE"""),"USD PKR rate for 01/07/2017")</f>
        <v>USD PKR rate for 01/07/2017</v>
      </c>
      <c r="I2390" s="9"/>
    </row>
    <row r="2391" spans="1:9" ht="14.25" customHeight="1" x14ac:dyDescent="0.3">
      <c r="A2391" s="6">
        <v>42108</v>
      </c>
      <c r="B2391" s="7">
        <v>101.69450000000001</v>
      </c>
      <c r="C2391" s="8">
        <f t="shared" si="19"/>
        <v>121.09636409828245</v>
      </c>
      <c r="D2391" s="9">
        <f t="shared" si="18"/>
        <v>68.281549963805844</v>
      </c>
      <c r="E2391" s="9"/>
      <c r="F2391" s="9">
        <f ca="1">IFERROR(__xludf.DUMMYFUNCTION("""COMPUTED_VALUE"""),42916)</f>
        <v>42916</v>
      </c>
      <c r="G2391" s="9" t="str">
        <f ca="1">IFERROR(__xludf.DUMMYFUNCTION("""COMPUTED_VALUE"""),"1 USD = 104.6485 PKR")</f>
        <v>1 USD = 104.6485 PKR</v>
      </c>
      <c r="H2391" s="9" t="str">
        <f ca="1">IFERROR(__xludf.DUMMYFUNCTION("""COMPUTED_VALUE"""),"USD PKR rate for 30/06/2017")</f>
        <v>USD PKR rate for 30/06/2017</v>
      </c>
      <c r="I2391" s="9"/>
    </row>
    <row r="2392" spans="1:9" ht="14.25" customHeight="1" x14ac:dyDescent="0.3">
      <c r="A2392" s="6">
        <v>42109</v>
      </c>
      <c r="B2392" s="7">
        <v>101.66840000000001</v>
      </c>
      <c r="C2392" s="8">
        <f t="shared" si="19"/>
        <v>121.11802215495044</v>
      </c>
      <c r="D2392" s="9">
        <f t="shared" si="18"/>
        <v>68.28428779660311</v>
      </c>
      <c r="E2392" s="9"/>
      <c r="F2392" s="9">
        <f ca="1">IFERROR(__xludf.DUMMYFUNCTION("""COMPUTED_VALUE"""),42915)</f>
        <v>42915</v>
      </c>
      <c r="G2392" s="9" t="str">
        <f ca="1">IFERROR(__xludf.DUMMYFUNCTION("""COMPUTED_VALUE"""),"1 USD = 104.5349 PKR")</f>
        <v>1 USD = 104.5349 PKR</v>
      </c>
      <c r="H2392" s="9" t="str">
        <f ca="1">IFERROR(__xludf.DUMMYFUNCTION("""COMPUTED_VALUE"""),"USD PKR rate for 29/06/2017")</f>
        <v>USD PKR rate for 29/06/2017</v>
      </c>
      <c r="I2392" s="9"/>
    </row>
    <row r="2393" spans="1:9" ht="14.25" customHeight="1" x14ac:dyDescent="0.3">
      <c r="A2393" s="6">
        <v>42110</v>
      </c>
      <c r="B2393" s="7">
        <v>101.57060000000001</v>
      </c>
      <c r="C2393" s="8">
        <f t="shared" si="19"/>
        <v>121.13968408515676</v>
      </c>
      <c r="D2393" s="9">
        <f t="shared" si="18"/>
        <v>68.287025629400375</v>
      </c>
      <c r="E2393" s="9"/>
      <c r="F2393" s="9">
        <f ca="1">IFERROR(__xludf.DUMMYFUNCTION("""COMPUTED_VALUE"""),42914)</f>
        <v>42914</v>
      </c>
      <c r="G2393" s="9" t="str">
        <f ca="1">IFERROR(__xludf.DUMMYFUNCTION("""COMPUTED_VALUE"""),"1 USD = 104.6229 PKR")</f>
        <v>1 USD = 104.6229 PKR</v>
      </c>
      <c r="H2393" s="9" t="str">
        <f ca="1">IFERROR(__xludf.DUMMYFUNCTION("""COMPUTED_VALUE"""),"USD PKR rate for 28/06/2017")</f>
        <v>USD PKR rate for 28/06/2017</v>
      </c>
      <c r="I2393" s="9"/>
    </row>
    <row r="2394" spans="1:9" ht="14.25" customHeight="1" x14ac:dyDescent="0.3">
      <c r="A2394" s="6">
        <v>42111</v>
      </c>
      <c r="B2394" s="7">
        <v>101.52370000000002</v>
      </c>
      <c r="C2394" s="8">
        <f t="shared" si="19"/>
        <v>121.16134988959438</v>
      </c>
      <c r="D2394" s="9">
        <f t="shared" si="18"/>
        <v>68.289763462197641</v>
      </c>
      <c r="E2394" s="9"/>
      <c r="F2394" s="9">
        <f ca="1">IFERROR(__xludf.DUMMYFUNCTION("""COMPUTED_VALUE"""),42913)</f>
        <v>42913</v>
      </c>
      <c r="G2394" s="9" t="str">
        <f ca="1">IFERROR(__xludf.DUMMYFUNCTION("""COMPUTED_VALUE"""),"1 USD = 104.1719 PKR")</f>
        <v>1 USD = 104.1719 PKR</v>
      </c>
      <c r="H2394" s="9" t="str">
        <f ca="1">IFERROR(__xludf.DUMMYFUNCTION("""COMPUTED_VALUE"""),"USD PKR rate for 27/06/2017")</f>
        <v>USD PKR rate for 27/06/2017</v>
      </c>
      <c r="I2394" s="9"/>
    </row>
    <row r="2395" spans="1:9" ht="14.25" customHeight="1" x14ac:dyDescent="0.3">
      <c r="A2395" s="6">
        <v>42112</v>
      </c>
      <c r="B2395" s="7">
        <v>101.5378</v>
      </c>
      <c r="C2395" s="8">
        <f t="shared" si="19"/>
        <v>121.18301956895608</v>
      </c>
      <c r="D2395" s="9">
        <f t="shared" si="18"/>
        <v>68.292501294994906</v>
      </c>
      <c r="E2395" s="9"/>
      <c r="F2395" s="9">
        <f ca="1">IFERROR(__xludf.DUMMYFUNCTION("""COMPUTED_VALUE"""),42912)</f>
        <v>42912</v>
      </c>
      <c r="G2395" s="9" t="str">
        <f ca="1">IFERROR(__xludf.DUMMYFUNCTION("""COMPUTED_VALUE"""),"1 USD = 104.8276 PKR")</f>
        <v>1 USD = 104.8276 PKR</v>
      </c>
      <c r="H2395" s="9" t="str">
        <f ca="1">IFERROR(__xludf.DUMMYFUNCTION("""COMPUTED_VALUE"""),"USD PKR rate for 26/06/2017")</f>
        <v>USD PKR rate for 26/06/2017</v>
      </c>
      <c r="I2395" s="9"/>
    </row>
    <row r="2396" spans="1:9" ht="14.25" customHeight="1" x14ac:dyDescent="0.3">
      <c r="A2396" s="6">
        <v>42113</v>
      </c>
      <c r="B2396" s="7">
        <v>101.6683</v>
      </c>
      <c r="C2396" s="8">
        <f t="shared" si="19"/>
        <v>121.20469312393494</v>
      </c>
      <c r="D2396" s="9">
        <f t="shared" si="18"/>
        <v>68.295239127792172</v>
      </c>
      <c r="E2396" s="9"/>
      <c r="F2396" s="9">
        <f ca="1">IFERROR(__xludf.DUMMYFUNCTION("""COMPUTED_VALUE"""),42911)</f>
        <v>42911</v>
      </c>
      <c r="G2396" s="9" t="str">
        <f ca="1">IFERROR(__xludf.DUMMYFUNCTION("""COMPUTED_VALUE"""),"1 USD = 104.5326 PKR")</f>
        <v>1 USD = 104.5326 PKR</v>
      </c>
      <c r="H2396" s="9" t="str">
        <f ca="1">IFERROR(__xludf.DUMMYFUNCTION("""COMPUTED_VALUE"""),"USD PKR rate for 25/06/2017")</f>
        <v>USD PKR rate for 25/06/2017</v>
      </c>
      <c r="I2396" s="9"/>
    </row>
    <row r="2397" spans="1:9" ht="14.25" customHeight="1" x14ac:dyDescent="0.3">
      <c r="A2397" s="6">
        <v>42114</v>
      </c>
      <c r="B2397" s="7">
        <v>101.6865</v>
      </c>
      <c r="C2397" s="8">
        <f t="shared" si="19"/>
        <v>121.22637055522408</v>
      </c>
      <c r="D2397" s="9">
        <f t="shared" si="18"/>
        <v>68.297976960589438</v>
      </c>
      <c r="E2397" s="9"/>
      <c r="F2397" s="9">
        <f ca="1">IFERROR(__xludf.DUMMYFUNCTION("""COMPUTED_VALUE"""),42910)</f>
        <v>42910</v>
      </c>
      <c r="G2397" s="9" t="str">
        <f ca="1">IFERROR(__xludf.DUMMYFUNCTION("""COMPUTED_VALUE"""),"1 USD = 104.5429 PKR")</f>
        <v>1 USD = 104.5429 PKR</v>
      </c>
      <c r="H2397" s="9" t="str">
        <f ca="1">IFERROR(__xludf.DUMMYFUNCTION("""COMPUTED_VALUE"""),"USD PKR rate for 24/06/2017")</f>
        <v>USD PKR rate for 24/06/2017</v>
      </c>
      <c r="I2397" s="9"/>
    </row>
    <row r="2398" spans="1:9" ht="14.25" customHeight="1" x14ac:dyDescent="0.3">
      <c r="A2398" s="6">
        <v>42115</v>
      </c>
      <c r="B2398" s="7">
        <v>101.6178</v>
      </c>
      <c r="C2398" s="8">
        <f t="shared" si="19"/>
        <v>121.24805186351679</v>
      </c>
      <c r="D2398" s="9">
        <f t="shared" si="18"/>
        <v>68.300714793386703</v>
      </c>
      <c r="E2398" s="9"/>
      <c r="F2398" s="9">
        <f ca="1">IFERROR(__xludf.DUMMYFUNCTION("""COMPUTED_VALUE"""),42909)</f>
        <v>42909</v>
      </c>
      <c r="G2398" s="9" t="str">
        <f ca="1">IFERROR(__xludf.DUMMYFUNCTION("""COMPUTED_VALUE"""),"1 USD = 104.5107 PKR")</f>
        <v>1 USD = 104.5107 PKR</v>
      </c>
      <c r="H2398" s="9" t="str">
        <f ca="1">IFERROR(__xludf.DUMMYFUNCTION("""COMPUTED_VALUE"""),"USD PKR rate for 23/06/2017")</f>
        <v>USD PKR rate for 23/06/2017</v>
      </c>
      <c r="I2398" s="9"/>
    </row>
    <row r="2399" spans="1:9" ht="14.25" customHeight="1" x14ac:dyDescent="0.3">
      <c r="A2399" s="6">
        <v>42116</v>
      </c>
      <c r="B2399" s="7">
        <v>101.5792</v>
      </c>
      <c r="C2399" s="8">
        <f t="shared" si="19"/>
        <v>121.26973704950645</v>
      </c>
      <c r="D2399" s="9">
        <f t="shared" si="18"/>
        <v>68.303452626183969</v>
      </c>
      <c r="E2399" s="9"/>
      <c r="F2399" s="9">
        <f ca="1">IFERROR(__xludf.DUMMYFUNCTION("""COMPUTED_VALUE"""),42908)</f>
        <v>42908</v>
      </c>
      <c r="G2399" s="9" t="str">
        <f ca="1">IFERROR(__xludf.DUMMYFUNCTION("""COMPUTED_VALUE"""),"1 USD = 104.9301 PKR")</f>
        <v>1 USD = 104.9301 PKR</v>
      </c>
      <c r="H2399" s="9" t="str">
        <f ca="1">IFERROR(__xludf.DUMMYFUNCTION("""COMPUTED_VALUE"""),"USD PKR rate for 22/06/2017")</f>
        <v>USD PKR rate for 22/06/2017</v>
      </c>
      <c r="I2399" s="9"/>
    </row>
    <row r="2400" spans="1:9" ht="14.25" customHeight="1" x14ac:dyDescent="0.3">
      <c r="A2400" s="6">
        <v>42117</v>
      </c>
      <c r="B2400" s="7">
        <v>101.59</v>
      </c>
      <c r="C2400" s="8">
        <f t="shared" si="19"/>
        <v>121.2914261138866</v>
      </c>
      <c r="D2400" s="9">
        <f t="shared" si="18"/>
        <v>68.306190458981234</v>
      </c>
      <c r="E2400" s="9"/>
      <c r="F2400" s="9">
        <f ca="1">IFERROR(__xludf.DUMMYFUNCTION("""COMPUTED_VALUE"""),42907)</f>
        <v>42907</v>
      </c>
      <c r="G2400" s="9" t="str">
        <f ca="1">IFERROR(__xludf.DUMMYFUNCTION("""COMPUTED_VALUE"""),"1 USD = 104.8326 PKR")</f>
        <v>1 USD = 104.8326 PKR</v>
      </c>
      <c r="H2400" s="9" t="str">
        <f ca="1">IFERROR(__xludf.DUMMYFUNCTION("""COMPUTED_VALUE"""),"USD PKR rate for 21/06/2017")</f>
        <v>USD PKR rate for 21/06/2017</v>
      </c>
      <c r="I2400" s="9"/>
    </row>
    <row r="2401" spans="1:9" ht="14.25" customHeight="1" x14ac:dyDescent="0.3">
      <c r="A2401" s="6">
        <v>42118</v>
      </c>
      <c r="B2401" s="7">
        <v>101.65309999999999</v>
      </c>
      <c r="C2401" s="8">
        <f t="shared" si="19"/>
        <v>121.3131190573509</v>
      </c>
      <c r="D2401" s="9">
        <f t="shared" si="18"/>
        <v>68.3089282917785</v>
      </c>
      <c r="E2401" s="9"/>
      <c r="F2401" s="9">
        <f ca="1">IFERROR(__xludf.DUMMYFUNCTION("""COMPUTED_VALUE"""),42906)</f>
        <v>42906</v>
      </c>
      <c r="G2401" s="9" t="str">
        <f ca="1">IFERROR(__xludf.DUMMYFUNCTION("""COMPUTED_VALUE"""),"1 USD = 105.0218 PKR")</f>
        <v>1 USD = 105.0218 PKR</v>
      </c>
      <c r="H2401" s="9" t="str">
        <f ca="1">IFERROR(__xludf.DUMMYFUNCTION("""COMPUTED_VALUE"""),"USD PKR rate for 20/06/2017")</f>
        <v>USD PKR rate for 20/06/2017</v>
      </c>
      <c r="I2401" s="9"/>
    </row>
    <row r="2402" spans="1:9" ht="14.25" customHeight="1" x14ac:dyDescent="0.3">
      <c r="A2402" s="6">
        <v>42119</v>
      </c>
      <c r="B2402" s="7">
        <v>101.6495</v>
      </c>
      <c r="C2402" s="8">
        <f t="shared" si="19"/>
        <v>121.33481588059301</v>
      </c>
      <c r="D2402" s="9">
        <f t="shared" si="18"/>
        <v>68.311666124575765</v>
      </c>
      <c r="E2402" s="9"/>
      <c r="F2402" s="9">
        <f ca="1">IFERROR(__xludf.DUMMYFUNCTION("""COMPUTED_VALUE"""),42905)</f>
        <v>42905</v>
      </c>
      <c r="G2402" s="9" t="str">
        <f ca="1">IFERROR(__xludf.DUMMYFUNCTION("""COMPUTED_VALUE"""),"1 USD = 105.3795 PKR")</f>
        <v>1 USD = 105.3795 PKR</v>
      </c>
      <c r="H2402" s="9" t="str">
        <f ca="1">IFERROR(__xludf.DUMMYFUNCTION("""COMPUTED_VALUE"""),"USD PKR rate for 19/06/2017")</f>
        <v>USD PKR rate for 19/06/2017</v>
      </c>
      <c r="I2402" s="9"/>
    </row>
    <row r="2403" spans="1:9" ht="14.25" customHeight="1" x14ac:dyDescent="0.3">
      <c r="A2403" s="6">
        <v>42120</v>
      </c>
      <c r="B2403" s="7">
        <v>101.65560000000001</v>
      </c>
      <c r="C2403" s="8">
        <f t="shared" si="19"/>
        <v>121.35651658430704</v>
      </c>
      <c r="D2403" s="9">
        <f t="shared" si="18"/>
        <v>68.314403957373031</v>
      </c>
      <c r="E2403" s="9"/>
      <c r="F2403" s="9">
        <f ca="1">IFERROR(__xludf.DUMMYFUNCTION("""COMPUTED_VALUE"""),42904)</f>
        <v>42904</v>
      </c>
      <c r="G2403" s="9" t="str">
        <f ca="1">IFERROR(__xludf.DUMMYFUNCTION("""COMPUTED_VALUE"""),"1 USD = 104.7789 PKR")</f>
        <v>1 USD = 104.7789 PKR</v>
      </c>
      <c r="H2403" s="9" t="str">
        <f ca="1">IFERROR(__xludf.DUMMYFUNCTION("""COMPUTED_VALUE"""),"USD PKR rate for 18/06/2017")</f>
        <v>USD PKR rate for 18/06/2017</v>
      </c>
      <c r="I2403" s="9"/>
    </row>
    <row r="2404" spans="1:9" ht="14.25" customHeight="1" x14ac:dyDescent="0.3">
      <c r="A2404" s="6">
        <v>42121</v>
      </c>
      <c r="B2404" s="7">
        <v>101.69750000000001</v>
      </c>
      <c r="C2404" s="8">
        <f t="shared" si="19"/>
        <v>121.3782211691869</v>
      </c>
      <c r="D2404" s="9">
        <f t="shared" si="18"/>
        <v>68.317141790170297</v>
      </c>
      <c r="E2404" s="9"/>
      <c r="F2404" s="9">
        <f ca="1">IFERROR(__xludf.DUMMYFUNCTION("""COMPUTED_VALUE"""),42903)</f>
        <v>42903</v>
      </c>
      <c r="G2404" s="9" t="str">
        <f ca="1">IFERROR(__xludf.DUMMYFUNCTION("""COMPUTED_VALUE"""),"1 USD = 104.7093 PKR")</f>
        <v>1 USD = 104.7093 PKR</v>
      </c>
      <c r="H2404" s="9" t="str">
        <f ca="1">IFERROR(__xludf.DUMMYFUNCTION("""COMPUTED_VALUE"""),"USD PKR rate for 17/06/2017")</f>
        <v>USD PKR rate for 17/06/2017</v>
      </c>
      <c r="I2404" s="9"/>
    </row>
    <row r="2405" spans="1:9" ht="14.25" customHeight="1" x14ac:dyDescent="0.3">
      <c r="A2405" s="6">
        <v>42122</v>
      </c>
      <c r="B2405" s="7">
        <v>101.73779999999999</v>
      </c>
      <c r="C2405" s="8">
        <f t="shared" si="19"/>
        <v>121.39992963592674</v>
      </c>
      <c r="D2405" s="9">
        <f t="shared" si="18"/>
        <v>68.319879622967562</v>
      </c>
      <c r="E2405" s="9"/>
      <c r="F2405" s="9">
        <f ca="1">IFERROR(__xludf.DUMMYFUNCTION("""COMPUTED_VALUE"""),42902)</f>
        <v>42902</v>
      </c>
      <c r="G2405" s="9" t="str">
        <f ca="1">IFERROR(__xludf.DUMMYFUNCTION("""COMPUTED_VALUE"""),"1 USD = 104.7415 PKR")</f>
        <v>1 USD = 104.7415 PKR</v>
      </c>
      <c r="H2405" s="9" t="str">
        <f ca="1">IFERROR(__xludf.DUMMYFUNCTION("""COMPUTED_VALUE"""),"USD PKR rate for 16/06/2017")</f>
        <v>USD PKR rate for 16/06/2017</v>
      </c>
      <c r="I2405" s="9"/>
    </row>
    <row r="2406" spans="1:9" ht="14.25" customHeight="1" x14ac:dyDescent="0.3">
      <c r="A2406" s="6">
        <v>42123</v>
      </c>
      <c r="B2406" s="7">
        <v>101.81820000000002</v>
      </c>
      <c r="C2406" s="8">
        <f t="shared" si="19"/>
        <v>121.42164198522083</v>
      </c>
      <c r="D2406" s="9">
        <f t="shared" si="18"/>
        <v>68.322617455764828</v>
      </c>
      <c r="E2406" s="9"/>
      <c r="F2406" s="9">
        <f ca="1">IFERROR(__xludf.DUMMYFUNCTION("""COMPUTED_VALUE"""),42901)</f>
        <v>42901</v>
      </c>
      <c r="G2406" s="9" t="str">
        <f ca="1">IFERROR(__xludf.DUMMYFUNCTION("""COMPUTED_VALUE"""),"1 USD = 104.8425 PKR")</f>
        <v>1 USD = 104.8425 PKR</v>
      </c>
      <c r="H2406" s="9" t="str">
        <f ca="1">IFERROR(__xludf.DUMMYFUNCTION("""COMPUTED_VALUE"""),"USD PKR rate for 15/06/2017")</f>
        <v>USD PKR rate for 15/06/2017</v>
      </c>
      <c r="I2406" s="9"/>
    </row>
    <row r="2407" spans="1:9" ht="14.25" customHeight="1" x14ac:dyDescent="0.3">
      <c r="A2407" s="6">
        <v>42124</v>
      </c>
      <c r="B2407" s="7">
        <v>101.80410000000001</v>
      </c>
      <c r="C2407" s="8">
        <f t="shared" si="19"/>
        <v>121.44335821776355</v>
      </c>
      <c r="D2407" s="9">
        <f t="shared" si="18"/>
        <v>68.325355288562093</v>
      </c>
      <c r="E2407" s="9"/>
      <c r="F2407" s="9">
        <f ca="1">IFERROR(__xludf.DUMMYFUNCTION("""COMPUTED_VALUE"""),42900)</f>
        <v>42900</v>
      </c>
      <c r="G2407" s="9" t="str">
        <f ca="1">IFERROR(__xludf.DUMMYFUNCTION("""COMPUTED_VALUE"""),"1 USD = 104.809 PKR")</f>
        <v>1 USD = 104.809 PKR</v>
      </c>
      <c r="H2407" s="9" t="str">
        <f ca="1">IFERROR(__xludf.DUMMYFUNCTION("""COMPUTED_VALUE"""),"USD PKR rate for 14/06/2017")</f>
        <v>USD PKR rate for 14/06/2017</v>
      </c>
      <c r="I2407" s="9"/>
    </row>
    <row r="2408" spans="1:9" ht="14.25" customHeight="1" x14ac:dyDescent="0.3">
      <c r="A2408" s="6">
        <v>42125</v>
      </c>
      <c r="B2408" s="7">
        <v>101.6317</v>
      </c>
      <c r="C2408" s="8">
        <f t="shared" si="19"/>
        <v>121.46507833424943</v>
      </c>
      <c r="D2408" s="9">
        <f t="shared" si="18"/>
        <v>68.328093121359359</v>
      </c>
      <c r="E2408" s="9"/>
      <c r="F2408" s="9">
        <f ca="1">IFERROR(__xludf.DUMMYFUNCTION("""COMPUTED_VALUE"""),42899)</f>
        <v>42899</v>
      </c>
      <c r="G2408" s="9" t="str">
        <f ca="1">IFERROR(__xludf.DUMMYFUNCTION("""COMPUTED_VALUE"""),"1 USD = 104.8473 PKR")</f>
        <v>1 USD = 104.8473 PKR</v>
      </c>
      <c r="H2408" s="9" t="str">
        <f ca="1">IFERROR(__xludf.DUMMYFUNCTION("""COMPUTED_VALUE"""),"USD PKR rate for 13/06/2017")</f>
        <v>USD PKR rate for 13/06/2017</v>
      </c>
      <c r="I2408" s="9"/>
    </row>
    <row r="2409" spans="1:9" ht="14.25" customHeight="1" x14ac:dyDescent="0.3">
      <c r="A2409" s="6">
        <v>42126</v>
      </c>
      <c r="B2409" s="7">
        <v>101.7128</v>
      </c>
      <c r="C2409" s="8">
        <f t="shared" si="19"/>
        <v>121.48680233537313</v>
      </c>
      <c r="D2409" s="9">
        <f t="shared" si="18"/>
        <v>68.330830954156625</v>
      </c>
      <c r="E2409" s="9"/>
      <c r="F2409" s="9">
        <f ca="1">IFERROR(__xludf.DUMMYFUNCTION("""COMPUTED_VALUE"""),42898)</f>
        <v>42898</v>
      </c>
      <c r="G2409" s="9" t="str">
        <f ca="1">IFERROR(__xludf.DUMMYFUNCTION("""COMPUTED_VALUE"""),"1 USD = 104.7713 PKR")</f>
        <v>1 USD = 104.7713 PKR</v>
      </c>
      <c r="H2409" s="9" t="str">
        <f ca="1">IFERROR(__xludf.DUMMYFUNCTION("""COMPUTED_VALUE"""),"USD PKR rate for 12/06/2017")</f>
        <v>USD PKR rate for 12/06/2017</v>
      </c>
      <c r="I2409" s="9"/>
    </row>
    <row r="2410" spans="1:9" ht="14.25" customHeight="1" x14ac:dyDescent="0.3">
      <c r="A2410" s="6">
        <v>42127</v>
      </c>
      <c r="B2410" s="7">
        <v>101.7685</v>
      </c>
      <c r="C2410" s="8">
        <f t="shared" si="19"/>
        <v>121.50853022182937</v>
      </c>
      <c r="D2410" s="9">
        <f t="shared" si="18"/>
        <v>68.33356878695389</v>
      </c>
      <c r="E2410" s="9"/>
      <c r="F2410" s="9">
        <f ca="1">IFERROR(__xludf.DUMMYFUNCTION("""COMPUTED_VALUE"""),42897)</f>
        <v>42897</v>
      </c>
      <c r="G2410" s="9" t="str">
        <f ca="1">IFERROR(__xludf.DUMMYFUNCTION("""COMPUTED_VALUE"""),"1 USD = 104.7251 PKR")</f>
        <v>1 USD = 104.7251 PKR</v>
      </c>
      <c r="H2410" s="9" t="str">
        <f ca="1">IFERROR(__xludf.DUMMYFUNCTION("""COMPUTED_VALUE"""),"USD PKR rate for 11/06/2017")</f>
        <v>USD PKR rate for 11/06/2017</v>
      </c>
      <c r="I2410" s="9"/>
    </row>
    <row r="2411" spans="1:9" ht="14.25" customHeight="1" x14ac:dyDescent="0.3">
      <c r="A2411" s="6">
        <v>42128</v>
      </c>
      <c r="B2411" s="7">
        <v>101.8125</v>
      </c>
      <c r="C2411" s="8">
        <f t="shared" si="19"/>
        <v>121.53026199431299</v>
      </c>
      <c r="D2411" s="9">
        <f t="shared" si="18"/>
        <v>68.336306619751156</v>
      </c>
      <c r="E2411" s="9"/>
      <c r="F2411" s="9">
        <f ca="1">IFERROR(__xludf.DUMMYFUNCTION("""COMPUTED_VALUE"""),42896)</f>
        <v>42896</v>
      </c>
      <c r="G2411" s="9" t="str">
        <f ca="1">IFERROR(__xludf.DUMMYFUNCTION("""COMPUTED_VALUE"""),"1 USD = 104.7573 PKR")</f>
        <v>1 USD = 104.7573 PKR</v>
      </c>
      <c r="H2411" s="9" t="str">
        <f ca="1">IFERROR(__xludf.DUMMYFUNCTION("""COMPUTED_VALUE"""),"USD PKR rate for 10/06/2017")</f>
        <v>USD PKR rate for 10/06/2017</v>
      </c>
      <c r="I2411" s="9"/>
    </row>
    <row r="2412" spans="1:9" ht="14.25" customHeight="1" x14ac:dyDescent="0.3">
      <c r="A2412" s="6">
        <v>42129</v>
      </c>
      <c r="B2412" s="7">
        <v>101.83740000000002</v>
      </c>
      <c r="C2412" s="8">
        <f t="shared" si="19"/>
        <v>121.55199765351918</v>
      </c>
      <c r="D2412" s="9">
        <f t="shared" si="18"/>
        <v>68.339044452548421</v>
      </c>
      <c r="E2412" s="9"/>
      <c r="F2412" s="9">
        <f ca="1">IFERROR(__xludf.DUMMYFUNCTION("""COMPUTED_VALUE"""),42895)</f>
        <v>42895</v>
      </c>
      <c r="G2412" s="9" t="str">
        <f ca="1">IFERROR(__xludf.DUMMYFUNCTION("""COMPUTED_VALUE"""),"1 USD = 104.7645 PKR")</f>
        <v>1 USD = 104.7645 PKR</v>
      </c>
      <c r="H2412" s="9" t="str">
        <f ca="1">IFERROR(__xludf.DUMMYFUNCTION("""COMPUTED_VALUE"""),"USD PKR rate for 09/06/2017")</f>
        <v>USD PKR rate for 09/06/2017</v>
      </c>
      <c r="I2412" s="9"/>
    </row>
    <row r="2413" spans="1:9" ht="14.25" customHeight="1" x14ac:dyDescent="0.3">
      <c r="A2413" s="6">
        <v>42130</v>
      </c>
      <c r="B2413" s="7">
        <v>101.768</v>
      </c>
      <c r="C2413" s="8">
        <f t="shared" si="19"/>
        <v>121.573737200143</v>
      </c>
      <c r="D2413" s="9">
        <f t="shared" si="18"/>
        <v>68.341782285345687</v>
      </c>
      <c r="E2413" s="9"/>
      <c r="F2413" s="9">
        <f ca="1">IFERROR(__xludf.DUMMYFUNCTION("""COMPUTED_VALUE"""),42894)</f>
        <v>42894</v>
      </c>
      <c r="G2413" s="9" t="str">
        <f ca="1">IFERROR(__xludf.DUMMYFUNCTION("""COMPUTED_VALUE"""),"1 USD = 105.2137 PKR")</f>
        <v>1 USD = 105.2137 PKR</v>
      </c>
      <c r="H2413" s="9" t="str">
        <f ca="1">IFERROR(__xludf.DUMMYFUNCTION("""COMPUTED_VALUE"""),"USD PKR rate for 08/06/2017")</f>
        <v>USD PKR rate for 08/06/2017</v>
      </c>
      <c r="I2413" s="9"/>
    </row>
    <row r="2414" spans="1:9" ht="14.25" customHeight="1" x14ac:dyDescent="0.3">
      <c r="A2414" s="6">
        <v>42131</v>
      </c>
      <c r="B2414" s="7">
        <v>101.91840000000001</v>
      </c>
      <c r="C2414" s="8">
        <f t="shared" si="19"/>
        <v>121.59548063487968</v>
      </c>
      <c r="D2414" s="9">
        <f t="shared" si="18"/>
        <v>68.344520118142952</v>
      </c>
      <c r="E2414" s="9"/>
      <c r="F2414" s="9">
        <f ca="1">IFERROR(__xludf.DUMMYFUNCTION("""COMPUTED_VALUE"""),42893)</f>
        <v>42893</v>
      </c>
      <c r="G2414" s="9" t="str">
        <f ca="1">IFERROR(__xludf.DUMMYFUNCTION("""COMPUTED_VALUE"""),"1 USD = 104.4328 PKR")</f>
        <v>1 USD = 104.4328 PKR</v>
      </c>
      <c r="H2414" s="9" t="str">
        <f ca="1">IFERROR(__xludf.DUMMYFUNCTION("""COMPUTED_VALUE"""),"USD PKR rate for 07/06/2017")</f>
        <v>USD PKR rate for 07/06/2017</v>
      </c>
      <c r="I2414" s="9"/>
    </row>
    <row r="2415" spans="1:9" ht="14.25" customHeight="1" x14ac:dyDescent="0.3">
      <c r="A2415" s="6">
        <v>42132</v>
      </c>
      <c r="B2415" s="7">
        <v>101.6808</v>
      </c>
      <c r="C2415" s="8">
        <f t="shared" si="19"/>
        <v>121.61722795842464</v>
      </c>
      <c r="D2415" s="9">
        <f t="shared" si="18"/>
        <v>68.347257950940218</v>
      </c>
      <c r="E2415" s="9"/>
      <c r="F2415" s="9">
        <f ca="1">IFERROR(__xludf.DUMMYFUNCTION("""COMPUTED_VALUE"""),42892)</f>
        <v>42892</v>
      </c>
      <c r="G2415" s="9" t="str">
        <f ca="1">IFERROR(__xludf.DUMMYFUNCTION("""COMPUTED_VALUE"""),"1 USD = 104.6107 PKR")</f>
        <v>1 USD = 104.6107 PKR</v>
      </c>
      <c r="H2415" s="9" t="str">
        <f ca="1">IFERROR(__xludf.DUMMYFUNCTION("""COMPUTED_VALUE"""),"USD PKR rate for 06/06/2017")</f>
        <v>USD PKR rate for 06/06/2017</v>
      </c>
      <c r="I2415" s="9"/>
    </row>
    <row r="2416" spans="1:9" ht="14.25" customHeight="1" x14ac:dyDescent="0.3">
      <c r="A2416" s="6">
        <v>42133</v>
      </c>
      <c r="B2416" s="7">
        <v>101.87350000000001</v>
      </c>
      <c r="C2416" s="8">
        <f t="shared" si="19"/>
        <v>121.63897917147335</v>
      </c>
      <c r="D2416" s="9">
        <f t="shared" si="18"/>
        <v>68.349995783737484</v>
      </c>
      <c r="E2416" s="9"/>
      <c r="F2416" s="9">
        <f ca="1">IFERROR(__xludf.DUMMYFUNCTION("""COMPUTED_VALUE"""),42891)</f>
        <v>42891</v>
      </c>
      <c r="G2416" s="9" t="str">
        <f ca="1">IFERROR(__xludf.DUMMYFUNCTION("""COMPUTED_VALUE"""),"1 USD = 104.6107 PKR")</f>
        <v>1 USD = 104.6107 PKR</v>
      </c>
      <c r="H2416" s="9" t="str">
        <f ca="1">IFERROR(__xludf.DUMMYFUNCTION("""COMPUTED_VALUE"""),"USD PKR rate for 05/06/2017")</f>
        <v>USD PKR rate for 05/06/2017</v>
      </c>
      <c r="I2416" s="9"/>
    </row>
    <row r="2417" spans="1:9" ht="14.25" customHeight="1" x14ac:dyDescent="0.3">
      <c r="A2417" s="6">
        <v>42134</v>
      </c>
      <c r="B2417" s="7">
        <v>101.7932</v>
      </c>
      <c r="C2417" s="8">
        <f t="shared" si="19"/>
        <v>121.66073427472149</v>
      </c>
      <c r="D2417" s="9">
        <f t="shared" si="18"/>
        <v>68.352733616534749</v>
      </c>
      <c r="E2417" s="9"/>
      <c r="F2417" s="9">
        <f ca="1">IFERROR(__xludf.DUMMYFUNCTION("""COMPUTED_VALUE"""),42890)</f>
        <v>42890</v>
      </c>
      <c r="G2417" s="9" t="str">
        <f ca="1">IFERROR(__xludf.DUMMYFUNCTION("""COMPUTED_VALUE"""),"1 USD = 104.3063 PKR")</f>
        <v>1 USD = 104.3063 PKR</v>
      </c>
      <c r="H2417" s="9" t="str">
        <f ca="1">IFERROR(__xludf.DUMMYFUNCTION("""COMPUTED_VALUE"""),"USD PKR rate for 04/06/2017")</f>
        <v>USD PKR rate for 04/06/2017</v>
      </c>
      <c r="I2417" s="9"/>
    </row>
    <row r="2418" spans="1:9" ht="14.25" customHeight="1" x14ac:dyDescent="0.3">
      <c r="A2418" s="6">
        <v>42135</v>
      </c>
      <c r="B2418" s="7">
        <v>101.8366</v>
      </c>
      <c r="C2418" s="8">
        <f t="shared" si="19"/>
        <v>121.6824932688648</v>
      </c>
      <c r="D2418" s="9">
        <f t="shared" si="18"/>
        <v>68.355471449332015</v>
      </c>
      <c r="E2418" s="9"/>
      <c r="F2418" s="9">
        <f ca="1">IFERROR(__xludf.DUMMYFUNCTION("""COMPUTED_VALUE"""),42889)</f>
        <v>42889</v>
      </c>
      <c r="G2418" s="9" t="str">
        <f ca="1">IFERROR(__xludf.DUMMYFUNCTION("""COMPUTED_VALUE"""),"1 USD = 104.2273 PKR")</f>
        <v>1 USD = 104.2273 PKR</v>
      </c>
      <c r="H2418" s="9" t="str">
        <f ca="1">IFERROR(__xludf.DUMMYFUNCTION("""COMPUTED_VALUE"""),"USD PKR rate for 03/06/2017")</f>
        <v>USD PKR rate for 03/06/2017</v>
      </c>
      <c r="I2418" s="9"/>
    </row>
    <row r="2419" spans="1:9" ht="14.25" customHeight="1" x14ac:dyDescent="0.3">
      <c r="A2419" s="6">
        <v>42136</v>
      </c>
      <c r="B2419" s="7">
        <v>101.8085</v>
      </c>
      <c r="C2419" s="8">
        <f t="shared" si="19"/>
        <v>121.70425615459919</v>
      </c>
      <c r="D2419" s="9">
        <f t="shared" si="18"/>
        <v>68.35820928212928</v>
      </c>
      <c r="E2419" s="9"/>
      <c r="F2419" s="9">
        <f ca="1">IFERROR(__xludf.DUMMYFUNCTION("""COMPUTED_VALUE"""),42888)</f>
        <v>42888</v>
      </c>
      <c r="G2419" s="9" t="str">
        <f ca="1">IFERROR(__xludf.DUMMYFUNCTION("""COMPUTED_VALUE"""),"1 USD = 104.2081 PKR")</f>
        <v>1 USD = 104.2081 PKR</v>
      </c>
      <c r="H2419" s="9" t="str">
        <f ca="1">IFERROR(__xludf.DUMMYFUNCTION("""COMPUTED_VALUE"""),"USD PKR rate for 02/06/2017")</f>
        <v>USD PKR rate for 02/06/2017</v>
      </c>
      <c r="I2419" s="9"/>
    </row>
    <row r="2420" spans="1:9" ht="14.25" customHeight="1" x14ac:dyDescent="0.3">
      <c r="A2420" s="6">
        <v>42137</v>
      </c>
      <c r="B2420" s="7">
        <v>101.80119999999999</v>
      </c>
      <c r="C2420" s="8">
        <f t="shared" si="19"/>
        <v>121.72602293262067</v>
      </c>
      <c r="D2420" s="9">
        <f t="shared" si="18"/>
        <v>68.360947114926546</v>
      </c>
      <c r="E2420" s="9"/>
      <c r="F2420" s="9">
        <f ca="1">IFERROR(__xludf.DUMMYFUNCTION("""COMPUTED_VALUE"""),42887)</f>
        <v>42887</v>
      </c>
      <c r="G2420" s="9" t="str">
        <f ca="1">IFERROR(__xludf.DUMMYFUNCTION("""COMPUTED_VALUE"""),"1 USD = 104.9484 PKR")</f>
        <v>1 USD = 104.9484 PKR</v>
      </c>
      <c r="H2420" s="9" t="str">
        <f ca="1">IFERROR(__xludf.DUMMYFUNCTION("""COMPUTED_VALUE"""),"USD PKR rate for 01/06/2017")</f>
        <v>USD PKR rate for 01/06/2017</v>
      </c>
      <c r="I2420" s="9"/>
    </row>
    <row r="2421" spans="1:9" ht="14.25" customHeight="1" x14ac:dyDescent="0.3">
      <c r="A2421" s="6">
        <v>42138</v>
      </c>
      <c r="B2421" s="7">
        <v>101.8616</v>
      </c>
      <c r="C2421" s="8">
        <f t="shared" si="19"/>
        <v>121.74779360362521</v>
      </c>
      <c r="D2421" s="9">
        <f t="shared" si="18"/>
        <v>68.363684947723812</v>
      </c>
      <c r="E2421" s="9"/>
      <c r="F2421" s="9">
        <f ca="1">IFERROR(__xludf.DUMMYFUNCTION("""COMPUTED_VALUE"""),42886)</f>
        <v>42886</v>
      </c>
      <c r="G2421" s="9" t="str">
        <f ca="1">IFERROR(__xludf.DUMMYFUNCTION("""COMPUTED_VALUE"""),"1 USD = 104.5091 PKR")</f>
        <v>1 USD = 104.5091 PKR</v>
      </c>
      <c r="H2421" s="9" t="str">
        <f ca="1">IFERROR(__xludf.DUMMYFUNCTION("""COMPUTED_VALUE"""),"USD PKR rate for 31/05/2017")</f>
        <v>USD PKR rate for 31/05/2017</v>
      </c>
      <c r="I2421" s="9"/>
    </row>
    <row r="2422" spans="1:9" ht="14.25" customHeight="1" x14ac:dyDescent="0.3">
      <c r="A2422" s="6">
        <v>42139</v>
      </c>
      <c r="B2422" s="7">
        <v>101.9139</v>
      </c>
      <c r="C2422" s="8">
        <f t="shared" si="19"/>
        <v>121.76956816830933</v>
      </c>
      <c r="D2422" s="9">
        <f t="shared" si="18"/>
        <v>68.366422780521077</v>
      </c>
      <c r="E2422" s="9"/>
      <c r="F2422" s="9">
        <f ca="1">IFERROR(__xludf.DUMMYFUNCTION("""COMPUTED_VALUE"""),42885)</f>
        <v>42885</v>
      </c>
      <c r="G2422" s="9" t="str">
        <f ca="1">IFERROR(__xludf.DUMMYFUNCTION("""COMPUTED_VALUE"""),"1 USD = 104.8533 PKR")</f>
        <v>1 USD = 104.8533 PKR</v>
      </c>
      <c r="H2422" s="9" t="str">
        <f ca="1">IFERROR(__xludf.DUMMYFUNCTION("""COMPUTED_VALUE"""),"USD PKR rate for 30/05/2017")</f>
        <v>USD PKR rate for 30/05/2017</v>
      </c>
      <c r="I2422" s="9"/>
    </row>
    <row r="2423" spans="1:9" ht="14.25" customHeight="1" x14ac:dyDescent="0.3">
      <c r="A2423" s="6">
        <v>42140</v>
      </c>
      <c r="B2423" s="7">
        <v>102.05310000000001</v>
      </c>
      <c r="C2423" s="8">
        <f t="shared" si="19"/>
        <v>121.79134662736932</v>
      </c>
      <c r="D2423" s="9">
        <f t="shared" si="18"/>
        <v>68.369160613318343</v>
      </c>
      <c r="E2423" s="9"/>
      <c r="F2423" s="9">
        <f ca="1">IFERROR(__xludf.DUMMYFUNCTION("""COMPUTED_VALUE"""),42884)</f>
        <v>42884</v>
      </c>
      <c r="G2423" s="9" t="str">
        <f ca="1">IFERROR(__xludf.DUMMYFUNCTION("""COMPUTED_VALUE"""),"1 USD = 104.9984 PKR")</f>
        <v>1 USD = 104.9984 PKR</v>
      </c>
      <c r="H2423" s="9" t="str">
        <f ca="1">IFERROR(__xludf.DUMMYFUNCTION("""COMPUTED_VALUE"""),"USD PKR rate for 29/05/2017")</f>
        <v>USD PKR rate for 29/05/2017</v>
      </c>
      <c r="I2423" s="9"/>
    </row>
    <row r="2424" spans="1:9" ht="14.25" customHeight="1" x14ac:dyDescent="0.3">
      <c r="A2424" s="6">
        <v>42141</v>
      </c>
      <c r="B2424" s="7">
        <v>102.01300000000001</v>
      </c>
      <c r="C2424" s="8">
        <f t="shared" si="19"/>
        <v>121.81312898150165</v>
      </c>
      <c r="D2424" s="9">
        <f t="shared" si="18"/>
        <v>68.371898446115608</v>
      </c>
      <c r="E2424" s="9"/>
      <c r="F2424" s="9">
        <f ca="1">IFERROR(__xludf.DUMMYFUNCTION("""COMPUTED_VALUE"""),42883)</f>
        <v>42883</v>
      </c>
      <c r="G2424" s="9" t="str">
        <f ca="1">IFERROR(__xludf.DUMMYFUNCTION("""COMPUTED_VALUE"""),"1 USD = 104.9359 PKR")</f>
        <v>1 USD = 104.9359 PKR</v>
      </c>
      <c r="H2424" s="9" t="str">
        <f ca="1">IFERROR(__xludf.DUMMYFUNCTION("""COMPUTED_VALUE"""),"USD PKR rate for 28/05/2017")</f>
        <v>USD PKR rate for 28/05/2017</v>
      </c>
      <c r="I2424" s="9"/>
    </row>
    <row r="2425" spans="1:9" ht="14.25" customHeight="1" x14ac:dyDescent="0.3">
      <c r="A2425" s="6">
        <v>42142</v>
      </c>
      <c r="B2425" s="7">
        <v>101.92740000000001</v>
      </c>
      <c r="C2425" s="8">
        <f t="shared" si="19"/>
        <v>121.83491523140297</v>
      </c>
      <c r="D2425" s="9">
        <f t="shared" si="18"/>
        <v>68.374636278912874</v>
      </c>
      <c r="E2425" s="9"/>
      <c r="F2425" s="9">
        <f ca="1">IFERROR(__xludf.DUMMYFUNCTION("""COMPUTED_VALUE"""),42882)</f>
        <v>42882</v>
      </c>
      <c r="G2425" s="9" t="str">
        <f ca="1">IFERROR(__xludf.DUMMYFUNCTION("""COMPUTED_VALUE"""),"1 USD = 105.2334 PKR")</f>
        <v>1 USD = 105.2334 PKR</v>
      </c>
      <c r="H2425" s="9" t="str">
        <f ca="1">IFERROR(__xludf.DUMMYFUNCTION("""COMPUTED_VALUE"""),"USD PKR rate for 27/05/2017")</f>
        <v>USD PKR rate for 27/05/2017</v>
      </c>
      <c r="I2425" s="9"/>
    </row>
    <row r="2426" spans="1:9" ht="14.25" customHeight="1" x14ac:dyDescent="0.3">
      <c r="A2426" s="6">
        <v>42143</v>
      </c>
      <c r="B2426" s="7">
        <v>101.8172</v>
      </c>
      <c r="C2426" s="8">
        <f t="shared" si="19"/>
        <v>121.85670537777004</v>
      </c>
      <c r="D2426" s="9">
        <f t="shared" si="18"/>
        <v>68.377374111710139</v>
      </c>
      <c r="E2426" s="9"/>
      <c r="F2426" s="9">
        <f ca="1">IFERROR(__xludf.DUMMYFUNCTION("""COMPUTED_VALUE"""),42881)</f>
        <v>42881</v>
      </c>
      <c r="G2426" s="9" t="str">
        <f ca="1">IFERROR(__xludf.DUMMYFUNCTION("""COMPUTED_VALUE"""),"1 USD = 105.2173 PKR")</f>
        <v>1 USD = 105.2173 PKR</v>
      </c>
      <c r="H2426" s="9" t="str">
        <f ca="1">IFERROR(__xludf.DUMMYFUNCTION("""COMPUTED_VALUE"""),"USD PKR rate for 26/05/2017")</f>
        <v>USD PKR rate for 26/05/2017</v>
      </c>
      <c r="I2426" s="9"/>
    </row>
    <row r="2427" spans="1:9" ht="14.25" customHeight="1" x14ac:dyDescent="0.3">
      <c r="A2427" s="6">
        <v>42144</v>
      </c>
      <c r="B2427" s="7">
        <v>101.9581</v>
      </c>
      <c r="C2427" s="8">
        <f t="shared" si="19"/>
        <v>121.87849942129975</v>
      </c>
      <c r="D2427" s="9">
        <f t="shared" si="18"/>
        <v>68.380111944507405</v>
      </c>
      <c r="E2427" s="9"/>
      <c r="F2427" s="9">
        <f ca="1">IFERROR(__xludf.DUMMYFUNCTION("""COMPUTED_VALUE"""),42880)</f>
        <v>42880</v>
      </c>
      <c r="G2427" s="9" t="str">
        <f ca="1">IFERROR(__xludf.DUMMYFUNCTION("""COMPUTED_VALUE"""),"1 USD = 104.8826 PKR")</f>
        <v>1 USD = 104.8826 PKR</v>
      </c>
      <c r="H2427" s="9" t="str">
        <f ca="1">IFERROR(__xludf.DUMMYFUNCTION("""COMPUTED_VALUE"""),"USD PKR rate for 25/05/2017")</f>
        <v>USD PKR rate for 25/05/2017</v>
      </c>
      <c r="I2427" s="9"/>
    </row>
    <row r="2428" spans="1:9" ht="14.25" customHeight="1" x14ac:dyDescent="0.3">
      <c r="A2428" s="6">
        <v>42145</v>
      </c>
      <c r="B2428" s="7">
        <v>101.98340000000002</v>
      </c>
      <c r="C2428" s="8">
        <f t="shared" si="19"/>
        <v>121.9002973626891</v>
      </c>
      <c r="D2428" s="9">
        <f t="shared" si="18"/>
        <v>68.382849777304671</v>
      </c>
      <c r="E2428" s="9"/>
      <c r="F2428" s="9">
        <f ca="1">IFERROR(__xludf.DUMMYFUNCTION("""COMPUTED_VALUE"""),42879)</f>
        <v>42879</v>
      </c>
      <c r="G2428" s="9" t="str">
        <f ca="1">IFERROR(__xludf.DUMMYFUNCTION("""COMPUTED_VALUE"""),"1 USD = 104.5992 PKR")</f>
        <v>1 USD = 104.5992 PKR</v>
      </c>
      <c r="H2428" s="9" t="str">
        <f ca="1">IFERROR(__xludf.DUMMYFUNCTION("""COMPUTED_VALUE"""),"USD PKR rate for 24/05/2017")</f>
        <v>USD PKR rate for 24/05/2017</v>
      </c>
      <c r="I2428" s="9"/>
    </row>
    <row r="2429" spans="1:9" ht="14.25" customHeight="1" x14ac:dyDescent="0.3">
      <c r="A2429" s="6">
        <v>42146</v>
      </c>
      <c r="B2429" s="7">
        <v>101.9264</v>
      </c>
      <c r="C2429" s="8">
        <f t="shared" si="19"/>
        <v>121.92209920263521</v>
      </c>
      <c r="D2429" s="9">
        <f t="shared" si="18"/>
        <v>68.385587610101936</v>
      </c>
      <c r="E2429" s="9"/>
      <c r="F2429" s="9">
        <f ca="1">IFERROR(__xludf.DUMMYFUNCTION("""COMPUTED_VALUE"""),42878)</f>
        <v>42878</v>
      </c>
      <c r="G2429" s="9" t="str">
        <f ca="1">IFERROR(__xludf.DUMMYFUNCTION("""COMPUTED_VALUE"""),"1 USD = 105.3844 PKR")</f>
        <v>1 USD = 105.3844 PKR</v>
      </c>
      <c r="H2429" s="9" t="str">
        <f ca="1">IFERROR(__xludf.DUMMYFUNCTION("""COMPUTED_VALUE"""),"USD PKR rate for 23/05/2017")</f>
        <v>USD PKR rate for 23/05/2017</v>
      </c>
      <c r="I2429" s="9"/>
    </row>
    <row r="2430" spans="1:9" ht="14.25" customHeight="1" x14ac:dyDescent="0.3">
      <c r="A2430" s="6">
        <v>42147</v>
      </c>
      <c r="B2430" s="7">
        <v>102.0001</v>
      </c>
      <c r="C2430" s="8">
        <f t="shared" si="19"/>
        <v>121.94390494183523</v>
      </c>
      <c r="D2430" s="9">
        <f t="shared" si="18"/>
        <v>68.388325442899202</v>
      </c>
      <c r="E2430" s="9"/>
      <c r="F2430" s="9">
        <f ca="1">IFERROR(__xludf.DUMMYFUNCTION("""COMPUTED_VALUE"""),42877)</f>
        <v>42877</v>
      </c>
      <c r="G2430" s="9" t="str">
        <f ca="1">IFERROR(__xludf.DUMMYFUNCTION("""COMPUTED_VALUE"""),"1 USD = 104.6663 PKR")</f>
        <v>1 USD = 104.6663 PKR</v>
      </c>
      <c r="H2430" s="9" t="str">
        <f ca="1">IFERROR(__xludf.DUMMYFUNCTION("""COMPUTED_VALUE"""),"USD PKR rate for 22/05/2017")</f>
        <v>USD PKR rate for 22/05/2017</v>
      </c>
      <c r="I2430" s="9"/>
    </row>
    <row r="2431" spans="1:9" ht="14.25" customHeight="1" x14ac:dyDescent="0.3">
      <c r="A2431" s="6">
        <v>42148</v>
      </c>
      <c r="B2431" s="7">
        <v>101.9318</v>
      </c>
      <c r="C2431" s="8">
        <f t="shared" si="19"/>
        <v>121.96571458098676</v>
      </c>
      <c r="D2431" s="9">
        <f t="shared" si="18"/>
        <v>68.391063275696467</v>
      </c>
      <c r="E2431" s="9"/>
      <c r="F2431" s="9">
        <f ca="1">IFERROR(__xludf.DUMMYFUNCTION("""COMPUTED_VALUE"""),42876)</f>
        <v>42876</v>
      </c>
      <c r="G2431" s="9" t="str">
        <f ca="1">IFERROR(__xludf.DUMMYFUNCTION("""COMPUTED_VALUE"""),"1 USD = 104.5257 PKR")</f>
        <v>1 USD = 104.5257 PKR</v>
      </c>
      <c r="H2431" s="9" t="str">
        <f ca="1">IFERROR(__xludf.DUMMYFUNCTION("""COMPUTED_VALUE"""),"USD PKR rate for 21/05/2017")</f>
        <v>USD PKR rate for 21/05/2017</v>
      </c>
      <c r="I2431" s="9"/>
    </row>
    <row r="2432" spans="1:9" ht="14.25" customHeight="1" x14ac:dyDescent="0.3">
      <c r="A2432" s="6">
        <v>42149</v>
      </c>
      <c r="B2432" s="7">
        <v>101.95659999999999</v>
      </c>
      <c r="C2432" s="8">
        <f t="shared" si="19"/>
        <v>121.98752812078722</v>
      </c>
      <c r="D2432" s="9">
        <f t="shared" si="18"/>
        <v>68.393801108493733</v>
      </c>
      <c r="E2432" s="9"/>
      <c r="F2432" s="9">
        <f ca="1">IFERROR(__xludf.DUMMYFUNCTION("""COMPUTED_VALUE"""),42875)</f>
        <v>42875</v>
      </c>
      <c r="G2432" s="9" t="str">
        <f ca="1">IFERROR(__xludf.DUMMYFUNCTION("""COMPUTED_VALUE"""),"1 USD = 104.4195 PKR")</f>
        <v>1 USD = 104.4195 PKR</v>
      </c>
      <c r="H2432" s="9" t="str">
        <f ca="1">IFERROR(__xludf.DUMMYFUNCTION("""COMPUTED_VALUE"""),"USD PKR rate for 20/05/2017")</f>
        <v>USD PKR rate for 20/05/2017</v>
      </c>
      <c r="I2432" s="9"/>
    </row>
    <row r="2433" spans="1:9" ht="14.25" customHeight="1" x14ac:dyDescent="0.3">
      <c r="A2433" s="6">
        <v>42150</v>
      </c>
      <c r="B2433" s="7">
        <v>102.1232</v>
      </c>
      <c r="C2433" s="8">
        <f t="shared" si="19"/>
        <v>122.00934556193421</v>
      </c>
      <c r="D2433" s="9">
        <f t="shared" si="18"/>
        <v>68.396538941290999</v>
      </c>
      <c r="E2433" s="9"/>
      <c r="F2433" s="9">
        <f ca="1">IFERROR(__xludf.DUMMYFUNCTION("""COMPUTED_VALUE"""),42874)</f>
        <v>42874</v>
      </c>
      <c r="G2433" s="9" t="str">
        <f ca="1">IFERROR(__xludf.DUMMYFUNCTION("""COMPUTED_VALUE"""),"1 USD = 104.3954 PKR")</f>
        <v>1 USD = 104.3954 PKR</v>
      </c>
      <c r="H2433" s="9" t="str">
        <f ca="1">IFERROR(__xludf.DUMMYFUNCTION("""COMPUTED_VALUE"""),"USD PKR rate for 19/05/2017")</f>
        <v>USD PKR rate for 19/05/2017</v>
      </c>
      <c r="I2433" s="9"/>
    </row>
    <row r="2434" spans="1:9" ht="14.25" customHeight="1" x14ac:dyDescent="0.3">
      <c r="A2434" s="6">
        <v>42151</v>
      </c>
      <c r="B2434" s="7">
        <v>101.96420000000002</v>
      </c>
      <c r="C2434" s="8">
        <f t="shared" si="19"/>
        <v>122.03116690512549</v>
      </c>
      <c r="D2434" s="9">
        <f t="shared" si="18"/>
        <v>68.399276774088264</v>
      </c>
      <c r="E2434" s="9"/>
      <c r="F2434" s="9">
        <f ca="1">IFERROR(__xludf.DUMMYFUNCTION("""COMPUTED_VALUE"""),42873)</f>
        <v>42873</v>
      </c>
      <c r="G2434" s="9" t="str">
        <f ca="1">IFERROR(__xludf.DUMMYFUNCTION("""COMPUTED_VALUE"""),"1 USD = 105.1655 PKR")</f>
        <v>1 USD = 105.1655 PKR</v>
      </c>
      <c r="H2434" s="9" t="str">
        <f ca="1">IFERROR(__xludf.DUMMYFUNCTION("""COMPUTED_VALUE"""),"USD PKR rate for 18/05/2017")</f>
        <v>USD PKR rate for 18/05/2017</v>
      </c>
      <c r="I2434" s="9"/>
    </row>
    <row r="2435" spans="1:9" ht="14.25" customHeight="1" x14ac:dyDescent="0.3">
      <c r="A2435" s="6">
        <v>42152</v>
      </c>
      <c r="B2435" s="7">
        <v>101.95220000000002</v>
      </c>
      <c r="C2435" s="8">
        <f t="shared" si="19"/>
        <v>122.05299215105894</v>
      </c>
      <c r="D2435" s="9">
        <f t="shared" si="18"/>
        <v>68.40201460688553</v>
      </c>
      <c r="E2435" s="9"/>
      <c r="F2435" s="9">
        <f ca="1">IFERROR(__xludf.DUMMYFUNCTION("""COMPUTED_VALUE"""),42872)</f>
        <v>42872</v>
      </c>
      <c r="G2435" s="9" t="str">
        <f ca="1">IFERROR(__xludf.DUMMYFUNCTION("""COMPUTED_VALUE"""),"1 USD = 104.3319 PKR")</f>
        <v>1 USD = 104.3319 PKR</v>
      </c>
      <c r="H2435" s="9" t="str">
        <f ca="1">IFERROR(__xludf.DUMMYFUNCTION("""COMPUTED_VALUE"""),"USD PKR rate for 17/05/2017")</f>
        <v>USD PKR rate for 17/05/2017</v>
      </c>
      <c r="I2435" s="9"/>
    </row>
    <row r="2436" spans="1:9" ht="14.25" customHeight="1" x14ac:dyDescent="0.3">
      <c r="A2436" s="6">
        <v>42153</v>
      </c>
      <c r="B2436" s="7">
        <v>101.9734</v>
      </c>
      <c r="C2436" s="8">
        <f t="shared" si="19"/>
        <v>122.0748213004326</v>
      </c>
      <c r="D2436" s="9">
        <f t="shared" si="18"/>
        <v>68.404752439682795</v>
      </c>
      <c r="E2436" s="9"/>
      <c r="F2436" s="9">
        <f ca="1">IFERROR(__xludf.DUMMYFUNCTION("""COMPUTED_VALUE"""),42871)</f>
        <v>42871</v>
      </c>
      <c r="G2436" s="9" t="str">
        <f ca="1">IFERROR(__xludf.DUMMYFUNCTION("""COMPUTED_VALUE"""),"1 USD = 104.5075 PKR")</f>
        <v>1 USD = 104.5075 PKR</v>
      </c>
      <c r="H2436" s="9" t="str">
        <f ca="1">IFERROR(__xludf.DUMMYFUNCTION("""COMPUTED_VALUE"""),"USD PKR rate for 16/05/2017")</f>
        <v>USD PKR rate for 16/05/2017</v>
      </c>
      <c r="I2436" s="9"/>
    </row>
    <row r="2437" spans="1:9" ht="14.25" customHeight="1" x14ac:dyDescent="0.3">
      <c r="A2437" s="6">
        <v>42154</v>
      </c>
      <c r="B2437" s="7">
        <v>101.95640000000002</v>
      </c>
      <c r="C2437" s="8">
        <f t="shared" si="19"/>
        <v>122.09665435394453</v>
      </c>
      <c r="D2437" s="9">
        <f t="shared" si="18"/>
        <v>68.407490272480061</v>
      </c>
      <c r="E2437" s="9"/>
      <c r="F2437" s="9">
        <f ca="1">IFERROR(__xludf.DUMMYFUNCTION("""COMPUTED_VALUE"""),42870)</f>
        <v>42870</v>
      </c>
      <c r="G2437" s="9" t="str">
        <f ca="1">IFERROR(__xludf.DUMMYFUNCTION("""COMPUTED_VALUE"""),"1 USD = 104.8152 PKR")</f>
        <v>1 USD = 104.8152 PKR</v>
      </c>
      <c r="H2437" s="9" t="str">
        <f ca="1">IFERROR(__xludf.DUMMYFUNCTION("""COMPUTED_VALUE"""),"USD PKR rate for 15/05/2017")</f>
        <v>USD PKR rate for 15/05/2017</v>
      </c>
      <c r="I2437" s="9"/>
    </row>
    <row r="2438" spans="1:9" ht="14.25" customHeight="1" x14ac:dyDescent="0.3">
      <c r="A2438" s="6">
        <v>42155</v>
      </c>
      <c r="B2438" s="7">
        <v>101.9659</v>
      </c>
      <c r="C2438" s="8">
        <f t="shared" si="19"/>
        <v>122.11849131229306</v>
      </c>
      <c r="D2438" s="9">
        <f t="shared" si="18"/>
        <v>68.410228105277326</v>
      </c>
      <c r="E2438" s="9"/>
      <c r="F2438" s="9">
        <f ca="1">IFERROR(__xludf.DUMMYFUNCTION("""COMPUTED_VALUE"""),42869)</f>
        <v>42869</v>
      </c>
      <c r="G2438" s="9" t="str">
        <f ca="1">IFERROR(__xludf.DUMMYFUNCTION("""COMPUTED_VALUE"""),"1 USD = 104.5262 PKR")</f>
        <v>1 USD = 104.5262 PKR</v>
      </c>
      <c r="H2438" s="9" t="str">
        <f ca="1">IFERROR(__xludf.DUMMYFUNCTION("""COMPUTED_VALUE"""),"USD PKR rate for 14/05/2017")</f>
        <v>USD PKR rate for 14/05/2017</v>
      </c>
      <c r="I2438" s="9"/>
    </row>
    <row r="2439" spans="1:9" ht="14.25" customHeight="1" x14ac:dyDescent="0.3">
      <c r="A2439" s="6">
        <v>42156</v>
      </c>
      <c r="B2439" s="7">
        <v>101.91430000000001</v>
      </c>
      <c r="C2439" s="8">
        <f t="shared" si="19"/>
        <v>122.1403321761764</v>
      </c>
      <c r="D2439" s="9">
        <f t="shared" si="18"/>
        <v>68.412965938074592</v>
      </c>
      <c r="E2439" s="9"/>
      <c r="F2439" s="9">
        <f ca="1">IFERROR(__xludf.DUMMYFUNCTION("""COMPUTED_VALUE"""),42868)</f>
        <v>42868</v>
      </c>
      <c r="G2439" s="9" t="str">
        <f ca="1">IFERROR(__xludf.DUMMYFUNCTION("""COMPUTED_VALUE"""),"1 USD = 104.2134 PKR")</f>
        <v>1 USD = 104.2134 PKR</v>
      </c>
      <c r="H2439" s="9" t="str">
        <f ca="1">IFERROR(__xludf.DUMMYFUNCTION("""COMPUTED_VALUE"""),"USD PKR rate for 13/05/2017")</f>
        <v>USD PKR rate for 13/05/2017</v>
      </c>
      <c r="I2439" s="9"/>
    </row>
    <row r="2440" spans="1:9" ht="14.25" customHeight="1" x14ac:dyDescent="0.3">
      <c r="A2440" s="6">
        <v>42157</v>
      </c>
      <c r="B2440" s="7">
        <v>101.8854</v>
      </c>
      <c r="C2440" s="8">
        <f t="shared" si="19"/>
        <v>122.1621769462933</v>
      </c>
      <c r="D2440" s="9">
        <f t="shared" si="18"/>
        <v>68.415703770871858</v>
      </c>
      <c r="E2440" s="9"/>
      <c r="F2440" s="9">
        <f ca="1">IFERROR(__xludf.DUMMYFUNCTION("""COMPUTED_VALUE"""),42867)</f>
        <v>42867</v>
      </c>
      <c r="G2440" s="9" t="str">
        <f ca="1">IFERROR(__xludf.DUMMYFUNCTION("""COMPUTED_VALUE"""),"1 USD = 104.2134 PKR")</f>
        <v>1 USD = 104.2134 PKR</v>
      </c>
      <c r="H2440" s="9" t="str">
        <f ca="1">IFERROR(__xludf.DUMMYFUNCTION("""COMPUTED_VALUE"""),"USD PKR rate for 12/05/2017")</f>
        <v>USD PKR rate for 12/05/2017</v>
      </c>
      <c r="I2440" s="9"/>
    </row>
    <row r="2441" spans="1:9" ht="14.25" customHeight="1" x14ac:dyDescent="0.3">
      <c r="A2441" s="6">
        <v>42158</v>
      </c>
      <c r="B2441" s="7">
        <v>101.90009999999999</v>
      </c>
      <c r="C2441" s="8">
        <f t="shared" si="19"/>
        <v>122.18402562334227</v>
      </c>
      <c r="D2441" s="9">
        <f t="shared" si="18"/>
        <v>68.418441603669123</v>
      </c>
      <c r="E2441" s="9"/>
      <c r="F2441" s="9">
        <f ca="1">IFERROR(__xludf.DUMMYFUNCTION("""COMPUTED_VALUE"""),42866)</f>
        <v>42866</v>
      </c>
      <c r="G2441" s="9" t="str">
        <f ca="1">IFERROR(__xludf.DUMMYFUNCTION("""COMPUTED_VALUE"""),"1 USD = 104.7974 PKR")</f>
        <v>1 USD = 104.7974 PKR</v>
      </c>
      <c r="H2441" s="9" t="str">
        <f ca="1">IFERROR(__xludf.DUMMYFUNCTION("""COMPUTED_VALUE"""),"USD PKR rate for 11/05/2017")</f>
        <v>USD PKR rate for 11/05/2017</v>
      </c>
      <c r="I2441" s="9"/>
    </row>
    <row r="2442" spans="1:9" ht="14.25" customHeight="1" x14ac:dyDescent="0.3">
      <c r="A2442" s="6">
        <v>42159</v>
      </c>
      <c r="B2442" s="7">
        <v>101.7702</v>
      </c>
      <c r="C2442" s="8">
        <f t="shared" si="19"/>
        <v>122.20587820802207</v>
      </c>
      <c r="D2442" s="9">
        <f t="shared" si="18"/>
        <v>68.421179436466389</v>
      </c>
      <c r="E2442" s="9"/>
      <c r="F2442" s="9">
        <f ca="1">IFERROR(__xludf.DUMMYFUNCTION("""COMPUTED_VALUE"""),42865)</f>
        <v>42865</v>
      </c>
      <c r="G2442" s="9" t="str">
        <f ca="1">IFERROR(__xludf.DUMMYFUNCTION("""COMPUTED_VALUE"""),"1 USD = 104.7947 PKR")</f>
        <v>1 USD = 104.7947 PKR</v>
      </c>
      <c r="H2442" s="9" t="str">
        <f ca="1">IFERROR(__xludf.DUMMYFUNCTION("""COMPUTED_VALUE"""),"USD PKR rate for 10/05/2017")</f>
        <v>USD PKR rate for 10/05/2017</v>
      </c>
      <c r="I2442" s="9"/>
    </row>
    <row r="2443" spans="1:9" ht="14.25" customHeight="1" x14ac:dyDescent="0.3">
      <c r="A2443" s="6">
        <v>42160</v>
      </c>
      <c r="B2443" s="7">
        <v>101.73180000000001</v>
      </c>
      <c r="C2443" s="8">
        <f t="shared" si="19"/>
        <v>122.22773470103159</v>
      </c>
      <c r="D2443" s="9">
        <f t="shared" si="18"/>
        <v>68.423917269263654</v>
      </c>
      <c r="E2443" s="9"/>
      <c r="F2443" s="9">
        <f ca="1">IFERROR(__xludf.DUMMYFUNCTION("""COMPUTED_VALUE"""),42864)</f>
        <v>42864</v>
      </c>
      <c r="G2443" s="9" t="str">
        <f ca="1">IFERROR(__xludf.DUMMYFUNCTION("""COMPUTED_VALUE"""),"1 USD = 105.0607 PKR")</f>
        <v>1 USD = 105.0607 PKR</v>
      </c>
      <c r="H2443" s="9" t="str">
        <f ca="1">IFERROR(__xludf.DUMMYFUNCTION("""COMPUTED_VALUE"""),"USD PKR rate for 09/05/2017")</f>
        <v>USD PKR rate for 09/05/2017</v>
      </c>
      <c r="I2443" s="9"/>
    </row>
    <row r="2444" spans="1:9" ht="14.25" customHeight="1" x14ac:dyDescent="0.3">
      <c r="A2444" s="6">
        <v>42161</v>
      </c>
      <c r="B2444" s="7">
        <v>102.0025</v>
      </c>
      <c r="C2444" s="8">
        <f t="shared" si="19"/>
        <v>122.24959510306982</v>
      </c>
      <c r="D2444" s="9">
        <f t="shared" si="18"/>
        <v>68.42665510206092</v>
      </c>
      <c r="E2444" s="9"/>
      <c r="F2444" s="9">
        <f ca="1">IFERROR(__xludf.DUMMYFUNCTION("""COMPUTED_VALUE"""),42863)</f>
        <v>42863</v>
      </c>
      <c r="G2444" s="9" t="str">
        <f ca="1">IFERROR(__xludf.DUMMYFUNCTION("""COMPUTED_VALUE"""),"1 USD = 105.0998 PKR")</f>
        <v>1 USD = 105.0998 PKR</v>
      </c>
      <c r="H2444" s="9" t="str">
        <f ca="1">IFERROR(__xludf.DUMMYFUNCTION("""COMPUTED_VALUE"""),"USD PKR rate for 08/05/2017")</f>
        <v>USD PKR rate for 08/05/2017</v>
      </c>
      <c r="I2444" s="9"/>
    </row>
    <row r="2445" spans="1:9" ht="14.25" customHeight="1" x14ac:dyDescent="0.3">
      <c r="A2445" s="6">
        <v>42162</v>
      </c>
      <c r="B2445" s="7">
        <v>101.8986</v>
      </c>
      <c r="C2445" s="8">
        <f t="shared" si="19"/>
        <v>122.27145941483587</v>
      </c>
      <c r="D2445" s="9">
        <f t="shared" si="18"/>
        <v>68.429392934858186</v>
      </c>
      <c r="E2445" s="9"/>
      <c r="F2445" s="9">
        <f ca="1">IFERROR(__xludf.DUMMYFUNCTION("""COMPUTED_VALUE"""),42862)</f>
        <v>42862</v>
      </c>
      <c r="G2445" s="9" t="str">
        <f ca="1">IFERROR(__xludf.DUMMYFUNCTION("""COMPUTED_VALUE"""),"1 USD = 104.7577 PKR")</f>
        <v>1 USD = 104.7577 PKR</v>
      </c>
      <c r="H2445" s="9" t="str">
        <f ca="1">IFERROR(__xludf.DUMMYFUNCTION("""COMPUTED_VALUE"""),"USD PKR rate for 07/05/2017")</f>
        <v>USD PKR rate for 07/05/2017</v>
      </c>
      <c r="I2445" s="9"/>
    </row>
    <row r="2446" spans="1:9" ht="14.25" customHeight="1" x14ac:dyDescent="0.3">
      <c r="A2446" s="6">
        <v>42163</v>
      </c>
      <c r="B2446" s="7">
        <v>102.0149</v>
      </c>
      <c r="C2446" s="8">
        <f t="shared" si="19"/>
        <v>122.29332763702904</v>
      </c>
      <c r="D2446" s="9">
        <f t="shared" si="18"/>
        <v>68.432130767655451</v>
      </c>
      <c r="E2446" s="9"/>
      <c r="F2446" s="9">
        <f ca="1">IFERROR(__xludf.DUMMYFUNCTION("""COMPUTED_VALUE"""),42861)</f>
        <v>42861</v>
      </c>
      <c r="G2446" s="9" t="str">
        <f ca="1">IFERROR(__xludf.DUMMYFUNCTION("""COMPUTED_VALUE"""),"1 USD = 104.754 PKR")</f>
        <v>1 USD = 104.754 PKR</v>
      </c>
      <c r="H2446" s="9" t="str">
        <f ca="1">IFERROR(__xludf.DUMMYFUNCTION("""COMPUTED_VALUE"""),"USD PKR rate for 06/05/2017")</f>
        <v>USD PKR rate for 06/05/2017</v>
      </c>
      <c r="I2446" s="9"/>
    </row>
    <row r="2447" spans="1:9" ht="14.25" customHeight="1" x14ac:dyDescent="0.3">
      <c r="A2447" s="6">
        <v>42164</v>
      </c>
      <c r="B2447" s="7">
        <v>102.00210000000001</v>
      </c>
      <c r="C2447" s="8">
        <f t="shared" si="19"/>
        <v>122.31519977034867</v>
      </c>
      <c r="D2447" s="9">
        <f t="shared" si="18"/>
        <v>68.434868600452717</v>
      </c>
      <c r="E2447" s="9"/>
      <c r="F2447" s="9">
        <f ca="1">IFERROR(__xludf.DUMMYFUNCTION("""COMPUTED_VALUE"""),42860)</f>
        <v>42860</v>
      </c>
      <c r="G2447" s="9" t="str">
        <f ca="1">IFERROR(__xludf.DUMMYFUNCTION("""COMPUTED_VALUE"""),"1 USD = 104.754 PKR")</f>
        <v>1 USD = 104.754 PKR</v>
      </c>
      <c r="H2447" s="9" t="str">
        <f ca="1">IFERROR(__xludf.DUMMYFUNCTION("""COMPUTED_VALUE"""),"USD PKR rate for 05/05/2017")</f>
        <v>USD PKR rate for 05/05/2017</v>
      </c>
      <c r="I2447" s="9"/>
    </row>
    <row r="2448" spans="1:9" ht="14.25" customHeight="1" x14ac:dyDescent="0.3">
      <c r="A2448" s="6">
        <v>42165</v>
      </c>
      <c r="B2448" s="7">
        <v>101.80710000000001</v>
      </c>
      <c r="C2448" s="8">
        <f t="shared" si="19"/>
        <v>122.33707581549429</v>
      </c>
      <c r="D2448" s="9">
        <f t="shared" si="18"/>
        <v>68.437606433249996</v>
      </c>
      <c r="E2448" s="9"/>
      <c r="F2448" s="9">
        <f ca="1">IFERROR(__xludf.DUMMYFUNCTION("""COMPUTED_VALUE"""),42859)</f>
        <v>42859</v>
      </c>
      <c r="G2448" s="9" t="str">
        <f ca="1">IFERROR(__xludf.DUMMYFUNCTION("""COMPUTED_VALUE"""),"1 USD = 104.3373 PKR")</f>
        <v>1 USD = 104.3373 PKR</v>
      </c>
      <c r="H2448" s="9" t="str">
        <f ca="1">IFERROR(__xludf.DUMMYFUNCTION("""COMPUTED_VALUE"""),"USD PKR rate for 04/05/2017")</f>
        <v>USD PKR rate for 04/05/2017</v>
      </c>
      <c r="I2448" s="9"/>
    </row>
    <row r="2449" spans="1:9" ht="14.25" customHeight="1" x14ac:dyDescent="0.3">
      <c r="A2449" s="6">
        <v>42166</v>
      </c>
      <c r="B2449" s="7">
        <v>101.85980000000001</v>
      </c>
      <c r="C2449" s="8">
        <f t="shared" si="19"/>
        <v>122.35895577316549</v>
      </c>
      <c r="D2449" s="9">
        <f t="shared" si="18"/>
        <v>68.440344266047262</v>
      </c>
      <c r="E2449" s="9"/>
      <c r="F2449" s="9">
        <f ca="1">IFERROR(__xludf.DUMMYFUNCTION("""COMPUTED_VALUE"""),42858)</f>
        <v>42858</v>
      </c>
      <c r="G2449" s="9" t="str">
        <f ca="1">IFERROR(__xludf.DUMMYFUNCTION("""COMPUTED_VALUE"""),"1 USD = 105.0131 PKR")</f>
        <v>1 USD = 105.0131 PKR</v>
      </c>
      <c r="H2449" s="9" t="str">
        <f ca="1">IFERROR(__xludf.DUMMYFUNCTION("""COMPUTED_VALUE"""),"USD PKR rate for 03/05/2017")</f>
        <v>USD PKR rate for 03/05/2017</v>
      </c>
      <c r="I2449" s="9"/>
    </row>
    <row r="2450" spans="1:9" ht="14.25" customHeight="1" x14ac:dyDescent="0.3">
      <c r="A2450" s="6">
        <v>42167</v>
      </c>
      <c r="B2450" s="7">
        <v>101.82600000000001</v>
      </c>
      <c r="C2450" s="8">
        <f t="shared" si="19"/>
        <v>122.38083964406208</v>
      </c>
      <c r="D2450" s="9">
        <f t="shared" si="18"/>
        <v>68.443082098844528</v>
      </c>
      <c r="E2450" s="9"/>
      <c r="F2450" s="9">
        <f ca="1">IFERROR(__xludf.DUMMYFUNCTION("""COMPUTED_VALUE"""),42857)</f>
        <v>42857</v>
      </c>
      <c r="G2450" s="9" t="str">
        <f ca="1">IFERROR(__xludf.DUMMYFUNCTION("""COMPUTED_VALUE"""),"1 USD = 104.769 PKR")</f>
        <v>1 USD = 104.769 PKR</v>
      </c>
      <c r="H2450" s="9" t="str">
        <f ca="1">IFERROR(__xludf.DUMMYFUNCTION("""COMPUTED_VALUE"""),"USD PKR rate for 02/05/2017")</f>
        <v>USD PKR rate for 02/05/2017</v>
      </c>
      <c r="I2450" s="9"/>
    </row>
    <row r="2451" spans="1:9" ht="14.25" customHeight="1" x14ac:dyDescent="0.3">
      <c r="A2451" s="6">
        <v>42168</v>
      </c>
      <c r="B2451" s="7">
        <v>101.82960000000001</v>
      </c>
      <c r="C2451" s="8">
        <f t="shared" si="19"/>
        <v>122.40272742888391</v>
      </c>
      <c r="D2451" s="9">
        <f t="shared" si="18"/>
        <v>68.445819931641793</v>
      </c>
      <c r="E2451" s="9"/>
      <c r="F2451" s="9">
        <f ca="1">IFERROR(__xludf.DUMMYFUNCTION("""COMPUTED_VALUE"""),42856)</f>
        <v>42856</v>
      </c>
      <c r="G2451" s="9" t="str">
        <f ca="1">IFERROR(__xludf.DUMMYFUNCTION("""COMPUTED_VALUE"""),"1 USD = 105.0814 PKR")</f>
        <v>1 USD = 105.0814 PKR</v>
      </c>
      <c r="H2451" s="9" t="str">
        <f ca="1">IFERROR(__xludf.DUMMYFUNCTION("""COMPUTED_VALUE"""),"USD PKR rate for 01/05/2017")</f>
        <v>USD PKR rate for 01/05/2017</v>
      </c>
      <c r="I2451" s="9"/>
    </row>
    <row r="2452" spans="1:9" ht="14.25" customHeight="1" x14ac:dyDescent="0.3">
      <c r="A2452" s="6">
        <v>42169</v>
      </c>
      <c r="B2452" s="7">
        <v>101.8004</v>
      </c>
      <c r="C2452" s="8">
        <f t="shared" si="19"/>
        <v>122.42461912833097</v>
      </c>
      <c r="D2452" s="9">
        <f t="shared" si="18"/>
        <v>68.448557764439059</v>
      </c>
      <c r="E2452" s="9"/>
      <c r="F2452" s="9">
        <f ca="1">IFERROR(__xludf.DUMMYFUNCTION("""COMPUTED_VALUE"""),42855)</f>
        <v>42855</v>
      </c>
      <c r="G2452" s="9" t="str">
        <f ca="1">IFERROR(__xludf.DUMMYFUNCTION("""COMPUTED_VALUE"""),"1 USD = 105.0883 PKR")</f>
        <v>1 USD = 105.0883 PKR</v>
      </c>
      <c r="H2452" s="9" t="str">
        <f ca="1">IFERROR(__xludf.DUMMYFUNCTION("""COMPUTED_VALUE"""),"USD PKR rate for 30/04/2017")</f>
        <v>USD PKR rate for 30/04/2017</v>
      </c>
      <c r="I2452" s="9"/>
    </row>
    <row r="2453" spans="1:9" ht="14.25" customHeight="1" x14ac:dyDescent="0.3">
      <c r="A2453" s="6">
        <v>42170</v>
      </c>
      <c r="B2453" s="7">
        <v>101.77370000000002</v>
      </c>
      <c r="C2453" s="8">
        <f t="shared" si="19"/>
        <v>122.44651474310341</v>
      </c>
      <c r="D2453" s="9">
        <f t="shared" si="18"/>
        <v>68.451295597236324</v>
      </c>
      <c r="E2453" s="9"/>
      <c r="F2453" s="9">
        <f ca="1">IFERROR(__xludf.DUMMYFUNCTION("""COMPUTED_VALUE"""),42854)</f>
        <v>42854</v>
      </c>
      <c r="G2453" s="9" t="str">
        <f ca="1">IFERROR(__xludf.DUMMYFUNCTION("""COMPUTED_VALUE"""),"1 USD = 105.1539 PKR")</f>
        <v>1 USD = 105.1539 PKR</v>
      </c>
      <c r="H2453" s="9" t="str">
        <f ca="1">IFERROR(__xludf.DUMMYFUNCTION("""COMPUTED_VALUE"""),"USD PKR rate for 29/04/2017")</f>
        <v>USD PKR rate for 29/04/2017</v>
      </c>
      <c r="I2453" s="9"/>
    </row>
    <row r="2454" spans="1:9" ht="14.25" customHeight="1" x14ac:dyDescent="0.3">
      <c r="A2454" s="6">
        <v>42171</v>
      </c>
      <c r="B2454" s="7">
        <v>101.742</v>
      </c>
      <c r="C2454" s="8">
        <f t="shared" si="19"/>
        <v>122.46841427390147</v>
      </c>
      <c r="D2454" s="9">
        <f t="shared" si="18"/>
        <v>68.45403343003359</v>
      </c>
      <c r="E2454" s="9"/>
      <c r="F2454" s="9">
        <f ca="1">IFERROR(__xludf.DUMMYFUNCTION("""COMPUTED_VALUE"""),42853)</f>
        <v>42853</v>
      </c>
      <c r="G2454" s="9" t="str">
        <f ca="1">IFERROR(__xludf.DUMMYFUNCTION("""COMPUTED_VALUE"""),"1 USD = 105.1779 PKR")</f>
        <v>1 USD = 105.1779 PKR</v>
      </c>
      <c r="H2454" s="9" t="str">
        <f ca="1">IFERROR(__xludf.DUMMYFUNCTION("""COMPUTED_VALUE"""),"USD PKR rate for 28/04/2017")</f>
        <v>USD PKR rate for 28/04/2017</v>
      </c>
      <c r="I2454" s="9"/>
    </row>
    <row r="2455" spans="1:9" ht="14.25" customHeight="1" x14ac:dyDescent="0.3">
      <c r="A2455" s="6">
        <v>42172</v>
      </c>
      <c r="B2455" s="7">
        <v>101.7841</v>
      </c>
      <c r="C2455" s="8">
        <f t="shared" si="19"/>
        <v>122.49031772142554</v>
      </c>
      <c r="D2455" s="9">
        <f t="shared" si="18"/>
        <v>68.456771262830856</v>
      </c>
      <c r="E2455" s="9"/>
      <c r="F2455" s="9">
        <f ca="1">IFERROR(__xludf.DUMMYFUNCTION("""COMPUTED_VALUE"""),42852)</f>
        <v>42852</v>
      </c>
      <c r="G2455" s="9" t="str">
        <f ca="1">IFERROR(__xludf.DUMMYFUNCTION("""COMPUTED_VALUE"""),"1 USD = 105.0108 PKR")</f>
        <v>1 USD = 105.0108 PKR</v>
      </c>
      <c r="H2455" s="9" t="str">
        <f ca="1">IFERROR(__xludf.DUMMYFUNCTION("""COMPUTED_VALUE"""),"USD PKR rate for 27/04/2017")</f>
        <v>USD PKR rate for 27/04/2017</v>
      </c>
      <c r="I2455" s="9"/>
    </row>
    <row r="2456" spans="1:9" ht="14.25" customHeight="1" x14ac:dyDescent="0.3">
      <c r="A2456" s="6">
        <v>42173</v>
      </c>
      <c r="B2456" s="7">
        <v>101.8871</v>
      </c>
      <c r="C2456" s="8">
        <f t="shared" si="19"/>
        <v>122.51222508637613</v>
      </c>
      <c r="D2456" s="9">
        <f t="shared" si="18"/>
        <v>68.459509095628121</v>
      </c>
      <c r="E2456" s="9"/>
      <c r="F2456" s="9">
        <f ca="1">IFERROR(__xludf.DUMMYFUNCTION("""COMPUTED_VALUE"""),42851)</f>
        <v>42851</v>
      </c>
      <c r="G2456" s="9" t="str">
        <f ca="1">IFERROR(__xludf.DUMMYFUNCTION("""COMPUTED_VALUE"""),"1 USD = 104.5522 PKR")</f>
        <v>1 USD = 104.5522 PKR</v>
      </c>
      <c r="H2456" s="9" t="str">
        <f ca="1">IFERROR(__xludf.DUMMYFUNCTION("""COMPUTED_VALUE"""),"USD PKR rate for 26/04/2017")</f>
        <v>USD PKR rate for 26/04/2017</v>
      </c>
      <c r="I2456" s="9"/>
    </row>
    <row r="2457" spans="1:9" ht="14.25" customHeight="1" x14ac:dyDescent="0.3">
      <c r="A2457" s="6">
        <v>42174</v>
      </c>
      <c r="B2457" s="7">
        <v>101.568</v>
      </c>
      <c r="C2457" s="8">
        <f t="shared" si="19"/>
        <v>122.53413636945379</v>
      </c>
      <c r="D2457" s="9">
        <f t="shared" si="18"/>
        <v>68.462246928425387</v>
      </c>
      <c r="E2457" s="9"/>
      <c r="F2457" s="9">
        <f ca="1">IFERROR(__xludf.DUMMYFUNCTION("""COMPUTED_VALUE"""),42850)</f>
        <v>42850</v>
      </c>
      <c r="G2457" s="9" t="str">
        <f ca="1">IFERROR(__xludf.DUMMYFUNCTION("""COMPUTED_VALUE"""),"1 USD = 104.3389 PKR")</f>
        <v>1 USD = 104.3389 PKR</v>
      </c>
      <c r="H2457" s="9" t="str">
        <f ca="1">IFERROR(__xludf.DUMMYFUNCTION("""COMPUTED_VALUE"""),"USD PKR rate for 25/04/2017")</f>
        <v>USD PKR rate for 25/04/2017</v>
      </c>
      <c r="I2457" s="9"/>
    </row>
    <row r="2458" spans="1:9" ht="14.25" customHeight="1" x14ac:dyDescent="0.3">
      <c r="A2458" s="6">
        <v>42175</v>
      </c>
      <c r="B2458" s="7">
        <v>101.69620000000002</v>
      </c>
      <c r="C2458" s="8">
        <f t="shared" si="19"/>
        <v>122.55605157135943</v>
      </c>
      <c r="D2458" s="9">
        <f t="shared" si="18"/>
        <v>68.464984761222652</v>
      </c>
      <c r="E2458" s="9"/>
      <c r="F2458" s="9">
        <f ca="1">IFERROR(__xludf.DUMMYFUNCTION("""COMPUTED_VALUE"""),42849)</f>
        <v>42849</v>
      </c>
      <c r="G2458" s="9" t="str">
        <f ca="1">IFERROR(__xludf.DUMMYFUNCTION("""COMPUTED_VALUE"""),"1 USD = 104.7566 PKR")</f>
        <v>1 USD = 104.7566 PKR</v>
      </c>
      <c r="H2458" s="9" t="str">
        <f ca="1">IFERROR(__xludf.DUMMYFUNCTION("""COMPUTED_VALUE"""),"USD PKR rate for 24/04/2017")</f>
        <v>USD PKR rate for 24/04/2017</v>
      </c>
      <c r="I2458" s="9"/>
    </row>
    <row r="2459" spans="1:9" ht="14.25" customHeight="1" x14ac:dyDescent="0.3">
      <c r="A2459" s="6">
        <v>42176</v>
      </c>
      <c r="B2459" s="7">
        <v>101.6113</v>
      </c>
      <c r="C2459" s="8">
        <f t="shared" si="19"/>
        <v>122.57797069279385</v>
      </c>
      <c r="D2459" s="9">
        <f t="shared" si="18"/>
        <v>68.467722594019918</v>
      </c>
      <c r="E2459" s="9"/>
      <c r="F2459" s="9">
        <f ca="1">IFERROR(__xludf.DUMMYFUNCTION("""COMPUTED_VALUE"""),42848)</f>
        <v>42848</v>
      </c>
      <c r="G2459" s="9" t="str">
        <f ca="1">IFERROR(__xludf.DUMMYFUNCTION("""COMPUTED_VALUE"""),"1 USD = 104.543 PKR")</f>
        <v>1 USD = 104.543 PKR</v>
      </c>
      <c r="H2459" s="9" t="str">
        <f ca="1">IFERROR(__xludf.DUMMYFUNCTION("""COMPUTED_VALUE"""),"USD PKR rate for 23/04/2017")</f>
        <v>USD PKR rate for 23/04/2017</v>
      </c>
      <c r="I2459" s="9"/>
    </row>
    <row r="2460" spans="1:9" ht="14.25" customHeight="1" x14ac:dyDescent="0.3">
      <c r="A2460" s="6">
        <v>42177</v>
      </c>
      <c r="B2460" s="7">
        <v>101.7884</v>
      </c>
      <c r="C2460" s="8">
        <f t="shared" si="19"/>
        <v>122.59989373445808</v>
      </c>
      <c r="D2460" s="9">
        <f t="shared" si="18"/>
        <v>68.470460426817183</v>
      </c>
      <c r="E2460" s="9"/>
      <c r="F2460" s="9">
        <f ca="1">IFERROR(__xludf.DUMMYFUNCTION("""COMPUTED_VALUE"""),42847)</f>
        <v>42847</v>
      </c>
      <c r="G2460" s="9" t="str">
        <f ca="1">IFERROR(__xludf.DUMMYFUNCTION("""COMPUTED_VALUE"""),"1 USD = 104.5333 PKR")</f>
        <v>1 USD = 104.5333 PKR</v>
      </c>
      <c r="H2460" s="9" t="str">
        <f ca="1">IFERROR(__xludf.DUMMYFUNCTION("""COMPUTED_VALUE"""),"USD PKR rate for 22/04/2017")</f>
        <v>USD PKR rate for 22/04/2017</v>
      </c>
      <c r="I2460" s="9"/>
    </row>
    <row r="2461" spans="1:9" ht="14.25" customHeight="1" x14ac:dyDescent="0.3">
      <c r="A2461" s="6">
        <v>42178</v>
      </c>
      <c r="B2461" s="7">
        <v>101.7145</v>
      </c>
      <c r="C2461" s="8">
        <f t="shared" si="19"/>
        <v>122.62182069705322</v>
      </c>
      <c r="D2461" s="9">
        <f t="shared" si="18"/>
        <v>68.473198259614449</v>
      </c>
      <c r="E2461" s="9"/>
      <c r="F2461" s="9">
        <f ca="1">IFERROR(__xludf.DUMMYFUNCTION("""COMPUTED_VALUE"""),42846)</f>
        <v>42846</v>
      </c>
      <c r="G2461" s="9" t="str">
        <f ca="1">IFERROR(__xludf.DUMMYFUNCTION("""COMPUTED_VALUE"""),"1 USD = 104.5333 PKR")</f>
        <v>1 USD = 104.5333 PKR</v>
      </c>
      <c r="H2461" s="9" t="str">
        <f ca="1">IFERROR(__xludf.DUMMYFUNCTION("""COMPUTED_VALUE"""),"USD PKR rate for 21/04/2017")</f>
        <v>USD PKR rate for 21/04/2017</v>
      </c>
      <c r="I2461" s="9"/>
    </row>
    <row r="2462" spans="1:9" ht="14.25" customHeight="1" x14ac:dyDescent="0.3">
      <c r="A2462" s="6">
        <v>42179</v>
      </c>
      <c r="B2462" s="7">
        <v>101.77630000000001</v>
      </c>
      <c r="C2462" s="8">
        <f t="shared" si="19"/>
        <v>122.64375158128055</v>
      </c>
      <c r="D2462" s="9">
        <f t="shared" si="18"/>
        <v>68.475936092411715</v>
      </c>
      <c r="E2462" s="9"/>
      <c r="F2462" s="9">
        <f ca="1">IFERROR(__xludf.DUMMYFUNCTION("""COMPUTED_VALUE"""),42845)</f>
        <v>42845</v>
      </c>
      <c r="G2462" s="9" t="str">
        <f ca="1">IFERROR(__xludf.DUMMYFUNCTION("""COMPUTED_VALUE"""),"1 USD = 105.1401 PKR")</f>
        <v>1 USD = 105.1401 PKR</v>
      </c>
      <c r="H2462" s="9" t="str">
        <f ca="1">IFERROR(__xludf.DUMMYFUNCTION("""COMPUTED_VALUE"""),"USD PKR rate for 20/04/2017")</f>
        <v>USD PKR rate for 20/04/2017</v>
      </c>
      <c r="I2462" s="9"/>
    </row>
    <row r="2463" spans="1:9" ht="14.25" customHeight="1" x14ac:dyDescent="0.3">
      <c r="A2463" s="6">
        <v>42180</v>
      </c>
      <c r="B2463" s="7">
        <v>101.73260000000001</v>
      </c>
      <c r="C2463" s="8">
        <f t="shared" si="19"/>
        <v>122.66568638784143</v>
      </c>
      <c r="D2463" s="9">
        <f t="shared" si="18"/>
        <v>68.47867392520898</v>
      </c>
      <c r="E2463" s="9"/>
      <c r="F2463" s="9">
        <f ca="1">IFERROR(__xludf.DUMMYFUNCTION("""COMPUTED_VALUE"""),42844)</f>
        <v>42844</v>
      </c>
      <c r="G2463" s="9" t="str">
        <f ca="1">IFERROR(__xludf.DUMMYFUNCTION("""COMPUTED_VALUE"""),"1 USD = 104.9977 PKR")</f>
        <v>1 USD = 104.9977 PKR</v>
      </c>
      <c r="H2463" s="9" t="str">
        <f ca="1">IFERROR(__xludf.DUMMYFUNCTION("""COMPUTED_VALUE"""),"USD PKR rate for 19/04/2017")</f>
        <v>USD PKR rate for 19/04/2017</v>
      </c>
      <c r="I2463" s="9"/>
    </row>
    <row r="2464" spans="1:9" ht="14.25" customHeight="1" x14ac:dyDescent="0.3">
      <c r="A2464" s="6">
        <v>42181</v>
      </c>
      <c r="B2464" s="7">
        <v>101.7961</v>
      </c>
      <c r="C2464" s="8">
        <f t="shared" si="19"/>
        <v>122.68762511743741</v>
      </c>
      <c r="D2464" s="9">
        <f t="shared" si="18"/>
        <v>68.481411758006246</v>
      </c>
      <c r="E2464" s="9"/>
      <c r="F2464" s="9">
        <f ca="1">IFERROR(__xludf.DUMMYFUNCTION("""COMPUTED_VALUE"""),42843)</f>
        <v>42843</v>
      </c>
      <c r="G2464" s="9" t="str">
        <f ca="1">IFERROR(__xludf.DUMMYFUNCTION("""COMPUTED_VALUE"""),"1 USD = 104.2281 PKR")</f>
        <v>1 USD = 104.2281 PKR</v>
      </c>
      <c r="H2464" s="9" t="str">
        <f ca="1">IFERROR(__xludf.DUMMYFUNCTION("""COMPUTED_VALUE"""),"USD PKR rate for 18/04/2017")</f>
        <v>USD PKR rate for 18/04/2017</v>
      </c>
      <c r="I2464" s="9"/>
    </row>
    <row r="2465" spans="1:9" ht="14.25" customHeight="1" x14ac:dyDescent="0.3">
      <c r="A2465" s="6">
        <v>42182</v>
      </c>
      <c r="B2465" s="7">
        <v>101.8086</v>
      </c>
      <c r="C2465" s="8">
        <f t="shared" si="19"/>
        <v>122.70956777077006</v>
      </c>
      <c r="D2465" s="9">
        <f t="shared" si="18"/>
        <v>68.484149590803511</v>
      </c>
      <c r="E2465" s="9"/>
      <c r="F2465" s="9">
        <f ca="1">IFERROR(__xludf.DUMMYFUNCTION("""COMPUTED_VALUE"""),42842)</f>
        <v>42842</v>
      </c>
      <c r="G2465" s="9" t="str">
        <f ca="1">IFERROR(__xludf.DUMMYFUNCTION("""COMPUTED_VALUE"""),"1 USD = 104.7952 PKR")</f>
        <v>1 USD = 104.7952 PKR</v>
      </c>
      <c r="H2465" s="9" t="str">
        <f ca="1">IFERROR(__xludf.DUMMYFUNCTION("""COMPUTED_VALUE"""),"USD PKR rate for 17/04/2017")</f>
        <v>USD PKR rate for 17/04/2017</v>
      </c>
      <c r="I2465" s="9"/>
    </row>
    <row r="2466" spans="1:9" ht="14.25" customHeight="1" x14ac:dyDescent="0.3">
      <c r="A2466" s="6">
        <v>42183</v>
      </c>
      <c r="B2466" s="7">
        <v>101.8776</v>
      </c>
      <c r="C2466" s="8">
        <f t="shared" si="19"/>
        <v>122.73151434854111</v>
      </c>
      <c r="D2466" s="9">
        <f t="shared" si="18"/>
        <v>68.486887423600777</v>
      </c>
      <c r="E2466" s="9"/>
      <c r="F2466" s="9">
        <f ca="1">IFERROR(__xludf.DUMMYFUNCTION("""COMPUTED_VALUE"""),42841)</f>
        <v>42841</v>
      </c>
      <c r="G2466" s="9" t="str">
        <f ca="1">IFERROR(__xludf.DUMMYFUNCTION("""COMPUTED_VALUE"""),"1 USD = 105.047 PKR")</f>
        <v>1 USD = 105.047 PKR</v>
      </c>
      <c r="H2466" s="9" t="str">
        <f ca="1">IFERROR(__xludf.DUMMYFUNCTION("""COMPUTED_VALUE"""),"USD PKR rate for 16/04/2017")</f>
        <v>USD PKR rate for 16/04/2017</v>
      </c>
      <c r="I2466" s="9"/>
    </row>
    <row r="2467" spans="1:9" ht="14.25" customHeight="1" x14ac:dyDescent="0.3">
      <c r="A2467" s="6">
        <v>42184</v>
      </c>
      <c r="B2467" s="7">
        <v>101.848</v>
      </c>
      <c r="C2467" s="8">
        <f t="shared" si="19"/>
        <v>122.75346485145258</v>
      </c>
      <c r="D2467" s="9">
        <f t="shared" si="18"/>
        <v>68.489625256398043</v>
      </c>
      <c r="E2467" s="9"/>
      <c r="F2467" s="9">
        <f ca="1">IFERROR(__xludf.DUMMYFUNCTION("""COMPUTED_VALUE"""),42840)</f>
        <v>42840</v>
      </c>
      <c r="G2467" s="9" t="str">
        <f ca="1">IFERROR(__xludf.DUMMYFUNCTION("""COMPUTED_VALUE"""),"1 USD = 105.118 PKR")</f>
        <v>1 USD = 105.118 PKR</v>
      </c>
      <c r="H2467" s="9" t="str">
        <f ca="1">IFERROR(__xludf.DUMMYFUNCTION("""COMPUTED_VALUE"""),"USD PKR rate for 15/04/2017")</f>
        <v>USD PKR rate for 15/04/2017</v>
      </c>
      <c r="I2467" s="9"/>
    </row>
    <row r="2468" spans="1:9" ht="14.25" customHeight="1" x14ac:dyDescent="0.3">
      <c r="A2468" s="6">
        <v>42185</v>
      </c>
      <c r="B2468" s="7">
        <v>102.1516</v>
      </c>
      <c r="C2468" s="8">
        <f t="shared" si="19"/>
        <v>122.77541928020644</v>
      </c>
      <c r="D2468" s="9">
        <f t="shared" si="18"/>
        <v>68.492363089195308</v>
      </c>
      <c r="E2468" s="9"/>
      <c r="F2468" s="9">
        <f ca="1">IFERROR(__xludf.DUMMYFUNCTION("""COMPUTED_VALUE"""),42839)</f>
        <v>42839</v>
      </c>
      <c r="G2468" s="9" t="str">
        <f ca="1">IFERROR(__xludf.DUMMYFUNCTION("""COMPUTED_VALUE"""),"1 USD = 105.0756 PKR")</f>
        <v>1 USD = 105.0756 PKR</v>
      </c>
      <c r="H2468" s="9" t="str">
        <f ca="1">IFERROR(__xludf.DUMMYFUNCTION("""COMPUTED_VALUE"""),"USD PKR rate for 14/04/2017")</f>
        <v>USD PKR rate for 14/04/2017</v>
      </c>
      <c r="I2468" s="9"/>
    </row>
    <row r="2469" spans="1:9" ht="14.25" customHeight="1" x14ac:dyDescent="0.3">
      <c r="A2469" s="6">
        <v>42186</v>
      </c>
      <c r="B2469" s="7">
        <v>101.83150000000001</v>
      </c>
      <c r="C2469" s="8">
        <f t="shared" si="19"/>
        <v>122.79737763550479</v>
      </c>
      <c r="D2469" s="9">
        <f t="shared" si="18"/>
        <v>68.495100921992574</v>
      </c>
      <c r="E2469" s="9"/>
      <c r="F2469" s="9">
        <f ca="1">IFERROR(__xludf.DUMMYFUNCTION("""COMPUTED_VALUE"""),42838)</f>
        <v>42838</v>
      </c>
      <c r="G2469" s="9" t="str">
        <f ca="1">IFERROR(__xludf.DUMMYFUNCTION("""COMPUTED_VALUE"""),"1 USD = 104.8046 PKR")</f>
        <v>1 USD = 104.8046 PKR</v>
      </c>
      <c r="H2469" s="9" t="str">
        <f ca="1">IFERROR(__xludf.DUMMYFUNCTION("""COMPUTED_VALUE"""),"USD PKR rate for 13/04/2017")</f>
        <v>USD PKR rate for 13/04/2017</v>
      </c>
      <c r="I2469" s="9"/>
    </row>
    <row r="2470" spans="1:9" ht="14.25" customHeight="1" x14ac:dyDescent="0.3">
      <c r="A2470" s="6">
        <v>42187</v>
      </c>
      <c r="B2470" s="7">
        <v>101.82089999999999</v>
      </c>
      <c r="C2470" s="8">
        <f t="shared" si="19"/>
        <v>122.81933991804988</v>
      </c>
      <c r="D2470" s="9">
        <f t="shared" si="18"/>
        <v>68.497838754789839</v>
      </c>
      <c r="E2470" s="9"/>
      <c r="F2470" s="9">
        <f ca="1">IFERROR(__xludf.DUMMYFUNCTION("""COMPUTED_VALUE"""),42837)</f>
        <v>42837</v>
      </c>
      <c r="G2470" s="9" t="str">
        <f ca="1">IFERROR(__xludf.DUMMYFUNCTION("""COMPUTED_VALUE"""),"1 USD = 104.8335 PKR")</f>
        <v>1 USD = 104.8335 PKR</v>
      </c>
      <c r="H2470" s="9" t="str">
        <f ca="1">IFERROR(__xludf.DUMMYFUNCTION("""COMPUTED_VALUE"""),"USD PKR rate for 12/04/2017")</f>
        <v>USD PKR rate for 12/04/2017</v>
      </c>
      <c r="I2470" s="9"/>
    </row>
    <row r="2471" spans="1:9" ht="14.25" customHeight="1" x14ac:dyDescent="0.3">
      <c r="A2471" s="6">
        <v>42188</v>
      </c>
      <c r="B2471" s="7">
        <v>101.8967</v>
      </c>
      <c r="C2471" s="8">
        <f t="shared" si="19"/>
        <v>122.84130612854412</v>
      </c>
      <c r="D2471" s="9">
        <f t="shared" si="18"/>
        <v>68.500576587587105</v>
      </c>
      <c r="E2471" s="9"/>
      <c r="F2471" s="9">
        <f ca="1">IFERROR(__xludf.DUMMYFUNCTION("""COMPUTED_VALUE"""),42836)</f>
        <v>42836</v>
      </c>
      <c r="G2471" s="9" t="str">
        <f ca="1">IFERROR(__xludf.DUMMYFUNCTION("""COMPUTED_VALUE"""),"1 USD = 104.7684 PKR")</f>
        <v>1 USD = 104.7684 PKR</v>
      </c>
      <c r="H2471" s="9" t="str">
        <f ca="1">IFERROR(__xludf.DUMMYFUNCTION("""COMPUTED_VALUE"""),"USD PKR rate for 11/04/2017")</f>
        <v>USD PKR rate for 11/04/2017</v>
      </c>
      <c r="I2471" s="9"/>
    </row>
    <row r="2472" spans="1:9" ht="14.25" customHeight="1" x14ac:dyDescent="0.3">
      <c r="A2472" s="6">
        <v>42189</v>
      </c>
      <c r="B2472" s="7">
        <v>101.80459999999999</v>
      </c>
      <c r="C2472" s="8">
        <f t="shared" si="19"/>
        <v>122.86327626769003</v>
      </c>
      <c r="D2472" s="9">
        <f t="shared" si="18"/>
        <v>68.50331442038437</v>
      </c>
      <c r="E2472" s="9"/>
      <c r="F2472" s="9">
        <f ca="1">IFERROR(__xludf.DUMMYFUNCTION("""COMPUTED_VALUE"""),42835)</f>
        <v>42835</v>
      </c>
      <c r="G2472" s="9" t="str">
        <f ca="1">IFERROR(__xludf.DUMMYFUNCTION("""COMPUTED_VALUE"""),"1 USD = 104.866 PKR")</f>
        <v>1 USD = 104.866 PKR</v>
      </c>
      <c r="H2472" s="9" t="str">
        <f ca="1">IFERROR(__xludf.DUMMYFUNCTION("""COMPUTED_VALUE"""),"USD PKR rate for 10/04/2017")</f>
        <v>USD PKR rate for 10/04/2017</v>
      </c>
      <c r="I2472" s="9"/>
    </row>
    <row r="2473" spans="1:9" ht="14.25" customHeight="1" x14ac:dyDescent="0.3">
      <c r="A2473" s="6">
        <v>42190</v>
      </c>
      <c r="B2473" s="7">
        <v>101.80010000000001</v>
      </c>
      <c r="C2473" s="8">
        <f t="shared" si="19"/>
        <v>122.88525033619024</v>
      </c>
      <c r="D2473" s="9">
        <f t="shared" si="18"/>
        <v>68.506052253181636</v>
      </c>
      <c r="E2473" s="9"/>
      <c r="F2473" s="9">
        <f ca="1">IFERROR(__xludf.DUMMYFUNCTION("""COMPUTED_VALUE"""),42834)</f>
        <v>42834</v>
      </c>
      <c r="G2473" s="9" t="str">
        <f ca="1">IFERROR(__xludf.DUMMYFUNCTION("""COMPUTED_VALUE"""),"1 USD = 105.1118 PKR")</f>
        <v>1 USD = 105.1118 PKR</v>
      </c>
      <c r="H2473" s="9" t="str">
        <f ca="1">IFERROR(__xludf.DUMMYFUNCTION("""COMPUTED_VALUE"""),"USD PKR rate for 09/04/2017")</f>
        <v>USD PKR rate for 09/04/2017</v>
      </c>
      <c r="I2473" s="9"/>
    </row>
    <row r="2474" spans="1:9" ht="14.25" customHeight="1" x14ac:dyDescent="0.3">
      <c r="A2474" s="6">
        <v>42191</v>
      </c>
      <c r="B2474" s="7">
        <v>101.7974</v>
      </c>
      <c r="C2474" s="8">
        <f t="shared" si="19"/>
        <v>122.9072283347475</v>
      </c>
      <c r="D2474" s="9">
        <f t="shared" si="18"/>
        <v>68.508790085978902</v>
      </c>
      <c r="E2474" s="9"/>
      <c r="F2474" s="9">
        <f ca="1">IFERROR(__xludf.DUMMYFUNCTION("""COMPUTED_VALUE"""),42833)</f>
        <v>42833</v>
      </c>
      <c r="G2474" s="9" t="str">
        <f ca="1">IFERROR(__xludf.DUMMYFUNCTION("""COMPUTED_VALUE"""),"1 USD = 105.1833 PKR")</f>
        <v>1 USD = 105.1833 PKR</v>
      </c>
      <c r="H2474" s="9" t="str">
        <f ca="1">IFERROR(__xludf.DUMMYFUNCTION("""COMPUTED_VALUE"""),"USD PKR rate for 08/04/2017")</f>
        <v>USD PKR rate for 08/04/2017</v>
      </c>
      <c r="I2474" s="9"/>
    </row>
    <row r="2475" spans="1:9" ht="14.25" customHeight="1" x14ac:dyDescent="0.3">
      <c r="A2475" s="6">
        <v>42192</v>
      </c>
      <c r="B2475" s="7">
        <v>101.8865</v>
      </c>
      <c r="C2475" s="8">
        <f t="shared" si="19"/>
        <v>122.92921026406461</v>
      </c>
      <c r="D2475" s="9">
        <f t="shared" si="18"/>
        <v>68.511527918776167</v>
      </c>
      <c r="E2475" s="9"/>
      <c r="F2475" s="9">
        <f ca="1">IFERROR(__xludf.DUMMYFUNCTION("""COMPUTED_VALUE"""),42832)</f>
        <v>42832</v>
      </c>
      <c r="G2475" s="9" t="str">
        <f ca="1">IFERROR(__xludf.DUMMYFUNCTION("""COMPUTED_VALUE"""),"1 USD = 104.7163 PKR")</f>
        <v>1 USD = 104.7163 PKR</v>
      </c>
      <c r="H2475" s="9" t="str">
        <f ca="1">IFERROR(__xludf.DUMMYFUNCTION("""COMPUTED_VALUE"""),"USD PKR rate for 07/04/2017")</f>
        <v>USD PKR rate for 07/04/2017</v>
      </c>
      <c r="I2475" s="9"/>
    </row>
    <row r="2476" spans="1:9" ht="14.25" customHeight="1" x14ac:dyDescent="0.3">
      <c r="A2476" s="6">
        <v>42193</v>
      </c>
      <c r="B2476" s="7">
        <v>101.7212</v>
      </c>
      <c r="C2476" s="8">
        <f t="shared" si="19"/>
        <v>122.95119612484478</v>
      </c>
      <c r="D2476" s="9">
        <f t="shared" si="18"/>
        <v>68.514265751573433</v>
      </c>
      <c r="E2476" s="9"/>
      <c r="F2476" s="9">
        <f ca="1">IFERROR(__xludf.DUMMYFUNCTION("""COMPUTED_VALUE"""),42831)</f>
        <v>42831</v>
      </c>
      <c r="G2476" s="9" t="str">
        <f ca="1">IFERROR(__xludf.DUMMYFUNCTION("""COMPUTED_VALUE"""),"1 USD = 105.027 PKR")</f>
        <v>1 USD = 105.027 PKR</v>
      </c>
      <c r="H2476" s="9" t="str">
        <f ca="1">IFERROR(__xludf.DUMMYFUNCTION("""COMPUTED_VALUE"""),"USD PKR rate for 06/04/2017")</f>
        <v>USD PKR rate for 06/04/2017</v>
      </c>
      <c r="I2476" s="9"/>
    </row>
    <row r="2477" spans="1:9" ht="14.25" customHeight="1" x14ac:dyDescent="0.3">
      <c r="A2477" s="6">
        <v>42194</v>
      </c>
      <c r="B2477" s="7">
        <v>101.733</v>
      </c>
      <c r="C2477" s="8">
        <f t="shared" si="19"/>
        <v>122.97318591779107</v>
      </c>
      <c r="D2477" s="9">
        <f t="shared" si="18"/>
        <v>68.517003584370698</v>
      </c>
      <c r="E2477" s="9"/>
      <c r="F2477" s="9">
        <f ca="1">IFERROR(__xludf.DUMMYFUNCTION("""COMPUTED_VALUE"""),42830)</f>
        <v>42830</v>
      </c>
      <c r="G2477" s="9" t="str">
        <f ca="1">IFERROR(__xludf.DUMMYFUNCTION("""COMPUTED_VALUE"""),"1 USD = 104.7643 PKR")</f>
        <v>1 USD = 104.7643 PKR</v>
      </c>
      <c r="H2477" s="9" t="str">
        <f ca="1">IFERROR(__xludf.DUMMYFUNCTION("""COMPUTED_VALUE"""),"USD PKR rate for 05/04/2017")</f>
        <v>USD PKR rate for 05/04/2017</v>
      </c>
      <c r="I2477" s="9"/>
    </row>
    <row r="2478" spans="1:9" ht="14.25" customHeight="1" x14ac:dyDescent="0.3">
      <c r="A2478" s="6">
        <v>42195</v>
      </c>
      <c r="B2478" s="7">
        <v>101.7282</v>
      </c>
      <c r="C2478" s="8">
        <f t="shared" si="19"/>
        <v>122.99517964360673</v>
      </c>
      <c r="D2478" s="9">
        <f t="shared" si="18"/>
        <v>68.519741417167964</v>
      </c>
      <c r="E2478" s="9"/>
      <c r="F2478" s="9">
        <f ca="1">IFERROR(__xludf.DUMMYFUNCTION("""COMPUTED_VALUE"""),42829)</f>
        <v>42829</v>
      </c>
      <c r="G2478" s="9" t="str">
        <f ca="1">IFERROR(__xludf.DUMMYFUNCTION("""COMPUTED_VALUE"""),"1 USD = 104.7679 PKR")</f>
        <v>1 USD = 104.7679 PKR</v>
      </c>
      <c r="H2478" s="9" t="str">
        <f ca="1">IFERROR(__xludf.DUMMYFUNCTION("""COMPUTED_VALUE"""),"USD PKR rate for 04/04/2017")</f>
        <v>USD PKR rate for 04/04/2017</v>
      </c>
      <c r="I2478" s="9"/>
    </row>
    <row r="2479" spans="1:9" ht="14.25" customHeight="1" x14ac:dyDescent="0.3">
      <c r="A2479" s="6">
        <v>42196</v>
      </c>
      <c r="B2479" s="7">
        <v>101.69020000000002</v>
      </c>
      <c r="C2479" s="8">
        <f t="shared" si="19"/>
        <v>123.01717730299517</v>
      </c>
      <c r="D2479" s="9">
        <f t="shared" si="18"/>
        <v>68.52247924996523</v>
      </c>
      <c r="E2479" s="9"/>
      <c r="F2479" s="9">
        <f ca="1">IFERROR(__xludf.DUMMYFUNCTION("""COMPUTED_VALUE"""),42828)</f>
        <v>42828</v>
      </c>
      <c r="G2479" s="9" t="str">
        <f ca="1">IFERROR(__xludf.DUMMYFUNCTION("""COMPUTED_VALUE"""),"1 USD = 104.829 PKR")</f>
        <v>1 USD = 104.829 PKR</v>
      </c>
      <c r="H2479" s="9" t="str">
        <f ca="1">IFERROR(__xludf.DUMMYFUNCTION("""COMPUTED_VALUE"""),"USD PKR rate for 03/04/2017")</f>
        <v>USD PKR rate for 03/04/2017</v>
      </c>
      <c r="I2479" s="9"/>
    </row>
    <row r="2480" spans="1:9" ht="14.25" customHeight="1" x14ac:dyDescent="0.3">
      <c r="A2480" s="6">
        <v>42197</v>
      </c>
      <c r="B2480" s="7">
        <v>101.7496</v>
      </c>
      <c r="C2480" s="8">
        <f t="shared" si="19"/>
        <v>123.03917889665989</v>
      </c>
      <c r="D2480" s="9">
        <f t="shared" si="18"/>
        <v>68.525217082762495</v>
      </c>
      <c r="E2480" s="9"/>
      <c r="F2480" s="9">
        <f ca="1">IFERROR(__xludf.DUMMYFUNCTION("""COMPUTED_VALUE"""),42827)</f>
        <v>42827</v>
      </c>
      <c r="G2480" s="9" t="str">
        <f ca="1">IFERROR(__xludf.DUMMYFUNCTION("""COMPUTED_VALUE"""),"1 USD = 104.8359 PKR")</f>
        <v>1 USD = 104.8359 PKR</v>
      </c>
      <c r="H2480" s="9" t="str">
        <f ca="1">IFERROR(__xludf.DUMMYFUNCTION("""COMPUTED_VALUE"""),"USD PKR rate for 02/04/2017")</f>
        <v>USD PKR rate for 02/04/2017</v>
      </c>
      <c r="I2480" s="9"/>
    </row>
    <row r="2481" spans="1:9" ht="14.25" customHeight="1" x14ac:dyDescent="0.3">
      <c r="A2481" s="6">
        <v>42198</v>
      </c>
      <c r="B2481" s="7">
        <v>101.8075</v>
      </c>
      <c r="C2481" s="8">
        <f t="shared" si="19"/>
        <v>123.06118442530453</v>
      </c>
      <c r="D2481" s="9">
        <f t="shared" si="18"/>
        <v>68.527954915559761</v>
      </c>
      <c r="E2481" s="9"/>
      <c r="F2481" s="9">
        <f ca="1">IFERROR(__xludf.DUMMYFUNCTION("""COMPUTED_VALUE"""),42826)</f>
        <v>42826</v>
      </c>
      <c r="G2481" s="9" t="str">
        <f ca="1">IFERROR(__xludf.DUMMYFUNCTION("""COMPUTED_VALUE"""),"1 USD = 104.8165 PKR")</f>
        <v>1 USD = 104.8165 PKR</v>
      </c>
      <c r="H2481" s="9" t="str">
        <f ca="1">IFERROR(__xludf.DUMMYFUNCTION("""COMPUTED_VALUE"""),"USD PKR rate for 01/04/2017")</f>
        <v>USD PKR rate for 01/04/2017</v>
      </c>
      <c r="I2481" s="9"/>
    </row>
    <row r="2482" spans="1:9" ht="14.25" customHeight="1" x14ac:dyDescent="0.3">
      <c r="A2482" s="6">
        <v>42199</v>
      </c>
      <c r="B2482" s="7">
        <v>101.8442</v>
      </c>
      <c r="C2482" s="8">
        <f t="shared" si="19"/>
        <v>123.08319388963288</v>
      </c>
      <c r="D2482" s="9">
        <f t="shared" si="18"/>
        <v>68.530692748357026</v>
      </c>
      <c r="E2482" s="9"/>
      <c r="F2482" s="9">
        <f ca="1">IFERROR(__xludf.DUMMYFUNCTION("""COMPUTED_VALUE"""),42825)</f>
        <v>42825</v>
      </c>
      <c r="G2482" s="9" t="str">
        <f ca="1">IFERROR(__xludf.DUMMYFUNCTION("""COMPUTED_VALUE"""),"1 USD = 104.8165 PKR")</f>
        <v>1 USD = 104.8165 PKR</v>
      </c>
      <c r="H2482" s="9" t="str">
        <f ca="1">IFERROR(__xludf.DUMMYFUNCTION("""COMPUTED_VALUE"""),"USD PKR rate for 31/03/2017")</f>
        <v>USD PKR rate for 31/03/2017</v>
      </c>
      <c r="I2482" s="9"/>
    </row>
    <row r="2483" spans="1:9" ht="14.25" customHeight="1" x14ac:dyDescent="0.3">
      <c r="A2483" s="6">
        <v>42200</v>
      </c>
      <c r="B2483" s="7">
        <v>101.93230000000001</v>
      </c>
      <c r="C2483" s="8">
        <f t="shared" si="19"/>
        <v>123.10520729034882</v>
      </c>
      <c r="D2483" s="9">
        <f t="shared" si="18"/>
        <v>68.533430581154292</v>
      </c>
      <c r="E2483" s="9"/>
      <c r="F2483" s="9">
        <f ca="1">IFERROR(__xludf.DUMMYFUNCTION("""COMPUTED_VALUE"""),42824)</f>
        <v>42824</v>
      </c>
      <c r="G2483" s="9" t="str">
        <f ca="1">IFERROR(__xludf.DUMMYFUNCTION("""COMPUTED_VALUE"""),"1 USD = 105.3259 PKR")</f>
        <v>1 USD = 105.3259 PKR</v>
      </c>
      <c r="H2483" s="9" t="str">
        <f ca="1">IFERROR(__xludf.DUMMYFUNCTION("""COMPUTED_VALUE"""),"USD PKR rate for 30/03/2017")</f>
        <v>USD PKR rate for 30/03/2017</v>
      </c>
      <c r="I2483" s="9"/>
    </row>
    <row r="2484" spans="1:9" ht="14.25" customHeight="1" x14ac:dyDescent="0.3">
      <c r="A2484" s="6">
        <v>42201</v>
      </c>
      <c r="B2484" s="7">
        <v>101.8394</v>
      </c>
      <c r="C2484" s="8">
        <f t="shared" si="19"/>
        <v>123.12722462815628</v>
      </c>
      <c r="D2484" s="9">
        <f t="shared" si="18"/>
        <v>68.536168413951557</v>
      </c>
      <c r="E2484" s="9"/>
      <c r="F2484" s="9">
        <f ca="1">IFERROR(__xludf.DUMMYFUNCTION("""COMPUTED_VALUE"""),42823)</f>
        <v>42823</v>
      </c>
      <c r="G2484" s="9" t="str">
        <f ca="1">IFERROR(__xludf.DUMMYFUNCTION("""COMPUTED_VALUE"""),"1 USD = 104.7976 PKR")</f>
        <v>1 USD = 104.7976 PKR</v>
      </c>
      <c r="H2484" s="9" t="str">
        <f ca="1">IFERROR(__xludf.DUMMYFUNCTION("""COMPUTED_VALUE"""),"USD PKR rate for 29/03/2017")</f>
        <v>USD PKR rate for 29/03/2017</v>
      </c>
      <c r="I2484" s="9"/>
    </row>
    <row r="2485" spans="1:9" ht="14.25" customHeight="1" x14ac:dyDescent="0.3">
      <c r="A2485" s="6">
        <v>42202</v>
      </c>
      <c r="B2485" s="7">
        <v>101.90940000000001</v>
      </c>
      <c r="C2485" s="8">
        <f t="shared" si="19"/>
        <v>123.14924590375961</v>
      </c>
      <c r="D2485" s="9">
        <f t="shared" si="18"/>
        <v>68.538906246748823</v>
      </c>
      <c r="E2485" s="9"/>
      <c r="F2485" s="9">
        <f ca="1">IFERROR(__xludf.DUMMYFUNCTION("""COMPUTED_VALUE"""),42822)</f>
        <v>42822</v>
      </c>
      <c r="G2485" s="9" t="str">
        <f ca="1">IFERROR(__xludf.DUMMYFUNCTION("""COMPUTED_VALUE"""),"1 USD = 104.826 PKR")</f>
        <v>1 USD = 104.826 PKR</v>
      </c>
      <c r="H2485" s="9" t="str">
        <f ca="1">IFERROR(__xludf.DUMMYFUNCTION("""COMPUTED_VALUE"""),"USD PKR rate for 28/03/2017")</f>
        <v>USD PKR rate for 28/03/2017</v>
      </c>
      <c r="I2485" s="9"/>
    </row>
    <row r="2486" spans="1:9" ht="14.25" customHeight="1" x14ac:dyDescent="0.3">
      <c r="A2486" s="6">
        <v>42203</v>
      </c>
      <c r="B2486" s="7">
        <v>101.8477</v>
      </c>
      <c r="C2486" s="8">
        <f t="shared" si="19"/>
        <v>123.17127111786299</v>
      </c>
      <c r="D2486" s="9">
        <f t="shared" si="18"/>
        <v>68.541644079546089</v>
      </c>
      <c r="E2486" s="9"/>
      <c r="F2486" s="9">
        <f ca="1">IFERROR(__xludf.DUMMYFUNCTION("""COMPUTED_VALUE"""),42821)</f>
        <v>42821</v>
      </c>
      <c r="G2486" s="9" t="str">
        <f ca="1">IFERROR(__xludf.DUMMYFUNCTION("""COMPUTED_VALUE"""),"1 USD = 104.8176 PKR")</f>
        <v>1 USD = 104.8176 PKR</v>
      </c>
      <c r="H2486" s="9" t="str">
        <f ca="1">IFERROR(__xludf.DUMMYFUNCTION("""COMPUTED_VALUE"""),"USD PKR rate for 27/03/2017")</f>
        <v>USD PKR rate for 27/03/2017</v>
      </c>
      <c r="I2486" s="9"/>
    </row>
    <row r="2487" spans="1:9" ht="14.25" customHeight="1" x14ac:dyDescent="0.3">
      <c r="A2487" s="6">
        <v>42204</v>
      </c>
      <c r="B2487" s="7">
        <v>101.82559999999999</v>
      </c>
      <c r="C2487" s="8">
        <f t="shared" si="19"/>
        <v>123.1933002711708</v>
      </c>
      <c r="D2487" s="9">
        <f t="shared" si="18"/>
        <v>68.544381912343354</v>
      </c>
      <c r="E2487" s="9"/>
      <c r="F2487" s="9">
        <f ca="1">IFERROR(__xludf.DUMMYFUNCTION("""COMPUTED_VALUE"""),42820)</f>
        <v>42820</v>
      </c>
      <c r="G2487" s="9" t="str">
        <f ca="1">IFERROR(__xludf.DUMMYFUNCTION("""COMPUTED_VALUE"""),"1 USD = 104.8046 PKR")</f>
        <v>1 USD = 104.8046 PKR</v>
      </c>
      <c r="H2487" s="9" t="str">
        <f ca="1">IFERROR(__xludf.DUMMYFUNCTION("""COMPUTED_VALUE"""),"USD PKR rate for 26/03/2017")</f>
        <v>USD PKR rate for 26/03/2017</v>
      </c>
      <c r="I2487" s="9"/>
    </row>
    <row r="2488" spans="1:9" ht="14.25" customHeight="1" x14ac:dyDescent="0.3">
      <c r="A2488" s="6">
        <v>42205</v>
      </c>
      <c r="B2488" s="7">
        <v>101.8471</v>
      </c>
      <c r="C2488" s="8">
        <f t="shared" si="19"/>
        <v>123.21533336438758</v>
      </c>
      <c r="D2488" s="9">
        <f t="shared" si="18"/>
        <v>68.54711974514062</v>
      </c>
      <c r="E2488" s="9"/>
      <c r="F2488" s="9">
        <f ca="1">IFERROR(__xludf.DUMMYFUNCTION("""COMPUTED_VALUE"""),42819)</f>
        <v>42819</v>
      </c>
      <c r="G2488" s="9" t="str">
        <f ca="1">IFERROR(__xludf.DUMMYFUNCTION("""COMPUTED_VALUE"""),"1 USD = 104.8926 PKR")</f>
        <v>1 USD = 104.8926 PKR</v>
      </c>
      <c r="H2488" s="9" t="str">
        <f ca="1">IFERROR(__xludf.DUMMYFUNCTION("""COMPUTED_VALUE"""),"USD PKR rate for 25/03/2017")</f>
        <v>USD PKR rate for 25/03/2017</v>
      </c>
      <c r="I2488" s="9"/>
    </row>
    <row r="2489" spans="1:9" ht="14.25" customHeight="1" x14ac:dyDescent="0.3">
      <c r="A2489" s="6">
        <v>42206</v>
      </c>
      <c r="B2489" s="7">
        <v>101.9093</v>
      </c>
      <c r="C2489" s="8">
        <f t="shared" si="19"/>
        <v>123.23737039821798</v>
      </c>
      <c r="D2489" s="9">
        <f t="shared" si="18"/>
        <v>68.549857577937885</v>
      </c>
      <c r="E2489" s="9"/>
      <c r="F2489" s="9">
        <f ca="1">IFERROR(__xludf.DUMMYFUNCTION("""COMPUTED_VALUE"""),42818)</f>
        <v>42818</v>
      </c>
      <c r="G2489" s="9" t="str">
        <f ca="1">IFERROR(__xludf.DUMMYFUNCTION("""COMPUTED_VALUE"""),"1 USD = 104.8758 PKR")</f>
        <v>1 USD = 104.8758 PKR</v>
      </c>
      <c r="H2489" s="9" t="str">
        <f ca="1">IFERROR(__xludf.DUMMYFUNCTION("""COMPUTED_VALUE"""),"USD PKR rate for 24/03/2017")</f>
        <v>USD PKR rate for 24/03/2017</v>
      </c>
      <c r="I2489" s="9"/>
    </row>
    <row r="2490" spans="1:9" ht="14.25" customHeight="1" x14ac:dyDescent="0.3">
      <c r="A2490" s="6">
        <v>42207</v>
      </c>
      <c r="B2490" s="7">
        <v>101.8154</v>
      </c>
      <c r="C2490" s="8">
        <f t="shared" si="19"/>
        <v>123.25941137336677</v>
      </c>
      <c r="D2490" s="9">
        <f t="shared" si="18"/>
        <v>68.552595410735151</v>
      </c>
      <c r="E2490" s="9"/>
      <c r="F2490" s="9">
        <f ca="1">IFERROR(__xludf.DUMMYFUNCTION("""COMPUTED_VALUE"""),42817)</f>
        <v>42817</v>
      </c>
      <c r="G2490" s="9" t="str">
        <f ca="1">IFERROR(__xludf.DUMMYFUNCTION("""COMPUTED_VALUE"""),"1 USD = 104.7785 PKR")</f>
        <v>1 USD = 104.7785 PKR</v>
      </c>
      <c r="H2490" s="9" t="str">
        <f ca="1">IFERROR(__xludf.DUMMYFUNCTION("""COMPUTED_VALUE"""),"USD PKR rate for 23/03/2017")</f>
        <v>USD PKR rate for 23/03/2017</v>
      </c>
      <c r="I2490" s="9"/>
    </row>
    <row r="2491" spans="1:9" ht="14.25" customHeight="1" x14ac:dyDescent="0.3">
      <c r="A2491" s="6">
        <v>42208</v>
      </c>
      <c r="B2491" s="7">
        <v>101.78830000000001</v>
      </c>
      <c r="C2491" s="8">
        <f t="shared" si="19"/>
        <v>123.28145629053886</v>
      </c>
      <c r="D2491" s="9">
        <f t="shared" si="18"/>
        <v>68.555333243532417</v>
      </c>
      <c r="E2491" s="9"/>
      <c r="F2491" s="9">
        <f ca="1">IFERROR(__xludf.DUMMYFUNCTION("""COMPUTED_VALUE"""),42816)</f>
        <v>42816</v>
      </c>
      <c r="G2491" s="9" t="str">
        <f ca="1">IFERROR(__xludf.DUMMYFUNCTION("""COMPUTED_VALUE"""),"1 USD = 104.7835 PKR")</f>
        <v>1 USD = 104.7835 PKR</v>
      </c>
      <c r="H2491" s="9" t="str">
        <f ca="1">IFERROR(__xludf.DUMMYFUNCTION("""COMPUTED_VALUE"""),"USD PKR rate for 22/03/2017")</f>
        <v>USD PKR rate for 22/03/2017</v>
      </c>
      <c r="I2491" s="9"/>
    </row>
    <row r="2492" spans="1:9" ht="14.25" customHeight="1" x14ac:dyDescent="0.3">
      <c r="A2492" s="6">
        <v>42209</v>
      </c>
      <c r="B2492" s="7">
        <v>101.84690000000001</v>
      </c>
      <c r="C2492" s="8">
        <f t="shared" si="19"/>
        <v>123.30350515043928</v>
      </c>
      <c r="D2492" s="9">
        <f t="shared" si="18"/>
        <v>68.558071076329682</v>
      </c>
      <c r="E2492" s="9"/>
      <c r="F2492" s="9">
        <f ca="1">IFERROR(__xludf.DUMMYFUNCTION("""COMPUTED_VALUE"""),42815)</f>
        <v>42815</v>
      </c>
      <c r="G2492" s="9" t="str">
        <f ca="1">IFERROR(__xludf.DUMMYFUNCTION("""COMPUTED_VALUE"""),"1 USD = 104.7995 PKR")</f>
        <v>1 USD = 104.7995 PKR</v>
      </c>
      <c r="H2492" s="9" t="str">
        <f ca="1">IFERROR(__xludf.DUMMYFUNCTION("""COMPUTED_VALUE"""),"USD PKR rate for 21/03/2017")</f>
        <v>USD PKR rate for 21/03/2017</v>
      </c>
      <c r="I2492" s="9"/>
    </row>
    <row r="2493" spans="1:9" ht="14.25" customHeight="1" x14ac:dyDescent="0.3">
      <c r="A2493" s="6">
        <v>42210</v>
      </c>
      <c r="B2493" s="7">
        <v>101.8415</v>
      </c>
      <c r="C2493" s="8">
        <f t="shared" si="19"/>
        <v>123.32555795377318</v>
      </c>
      <c r="D2493" s="9">
        <f t="shared" si="18"/>
        <v>68.560808909126948</v>
      </c>
      <c r="E2493" s="9"/>
      <c r="F2493" s="9">
        <f ca="1">IFERROR(__xludf.DUMMYFUNCTION("""COMPUTED_VALUE"""),42814)</f>
        <v>42814</v>
      </c>
      <c r="G2493" s="9" t="str">
        <f ca="1">IFERROR(__xludf.DUMMYFUNCTION("""COMPUTED_VALUE"""),"1 USD = 104.9222 PKR")</f>
        <v>1 USD = 104.9222 PKR</v>
      </c>
      <c r="H2493" s="9" t="str">
        <f ca="1">IFERROR(__xludf.DUMMYFUNCTION("""COMPUTED_VALUE"""),"USD PKR rate for 20/03/2017")</f>
        <v>USD PKR rate for 20/03/2017</v>
      </c>
      <c r="I2493" s="9"/>
    </row>
    <row r="2494" spans="1:9" ht="14.25" customHeight="1" x14ac:dyDescent="0.3">
      <c r="A2494" s="6">
        <v>42211</v>
      </c>
      <c r="B2494" s="7">
        <v>101.83450000000001</v>
      </c>
      <c r="C2494" s="8">
        <f t="shared" si="19"/>
        <v>123.34761470124576</v>
      </c>
      <c r="D2494" s="9">
        <f t="shared" si="18"/>
        <v>68.563546741924213</v>
      </c>
      <c r="E2494" s="9"/>
      <c r="F2494" s="9">
        <f ca="1">IFERROR(__xludf.DUMMYFUNCTION("""COMPUTED_VALUE"""),42813)</f>
        <v>42813</v>
      </c>
      <c r="G2494" s="9" t="str">
        <f ca="1">IFERROR(__xludf.DUMMYFUNCTION("""COMPUTED_VALUE"""),"1 USD = 104.7971 PKR")</f>
        <v>1 USD = 104.7971 PKR</v>
      </c>
      <c r="H2494" s="9" t="str">
        <f ca="1">IFERROR(__xludf.DUMMYFUNCTION("""COMPUTED_VALUE"""),"USD PKR rate for 19/03/2017")</f>
        <v>USD PKR rate for 19/03/2017</v>
      </c>
      <c r="I2494" s="9"/>
    </row>
    <row r="2495" spans="1:9" ht="14.25" customHeight="1" x14ac:dyDescent="0.3">
      <c r="A2495" s="6">
        <v>42212</v>
      </c>
      <c r="B2495" s="7">
        <v>101.8257</v>
      </c>
      <c r="C2495" s="8">
        <f t="shared" si="19"/>
        <v>123.3696753935626</v>
      </c>
      <c r="D2495" s="9">
        <f t="shared" si="18"/>
        <v>68.566284574721479</v>
      </c>
      <c r="E2495" s="9"/>
      <c r="F2495" s="9">
        <f ca="1">IFERROR(__xludf.DUMMYFUNCTION("""COMPUTED_VALUE"""),42812)</f>
        <v>42812</v>
      </c>
      <c r="G2495" s="9" t="str">
        <f ca="1">IFERROR(__xludf.DUMMYFUNCTION("""COMPUTED_VALUE"""),"1 USD = 104.7483 PKR")</f>
        <v>1 USD = 104.7483 PKR</v>
      </c>
      <c r="H2495" s="9" t="str">
        <f ca="1">IFERROR(__xludf.DUMMYFUNCTION("""COMPUTED_VALUE"""),"USD PKR rate for 18/03/2017")</f>
        <v>USD PKR rate for 18/03/2017</v>
      </c>
      <c r="I2495" s="9"/>
    </row>
    <row r="2496" spans="1:9" ht="14.25" customHeight="1" x14ac:dyDescent="0.3">
      <c r="A2496" s="6">
        <v>42213</v>
      </c>
      <c r="B2496" s="7">
        <v>101.7723</v>
      </c>
      <c r="C2496" s="8">
        <f t="shared" si="19"/>
        <v>123.39174003142917</v>
      </c>
      <c r="D2496" s="9">
        <f t="shared" si="18"/>
        <v>68.569022407518744</v>
      </c>
      <c r="E2496" s="9"/>
      <c r="F2496" s="9">
        <f ca="1">IFERROR(__xludf.DUMMYFUNCTION("""COMPUTED_VALUE"""),42811)</f>
        <v>42811</v>
      </c>
      <c r="G2496" s="9" t="str">
        <f ca="1">IFERROR(__xludf.DUMMYFUNCTION("""COMPUTED_VALUE"""),"1 USD = 104.8042 PKR")</f>
        <v>1 USD = 104.8042 PKR</v>
      </c>
      <c r="H2496" s="9" t="str">
        <f ca="1">IFERROR(__xludf.DUMMYFUNCTION("""COMPUTED_VALUE"""),"USD PKR rate for 17/03/2017")</f>
        <v>USD PKR rate for 17/03/2017</v>
      </c>
      <c r="I2496" s="9"/>
    </row>
    <row r="2497" spans="1:9" ht="14.25" customHeight="1" x14ac:dyDescent="0.3">
      <c r="A2497" s="6">
        <v>42214</v>
      </c>
      <c r="B2497" s="7">
        <v>101.7694</v>
      </c>
      <c r="C2497" s="8">
        <f t="shared" si="19"/>
        <v>123.41380861555109</v>
      </c>
      <c r="D2497" s="9">
        <f t="shared" si="18"/>
        <v>68.57176024031601</v>
      </c>
      <c r="E2497" s="9"/>
      <c r="F2497" s="9">
        <f ca="1">IFERROR(__xludf.DUMMYFUNCTION("""COMPUTED_VALUE"""),42810)</f>
        <v>42810</v>
      </c>
      <c r="G2497" s="9" t="str">
        <f ca="1">IFERROR(__xludf.DUMMYFUNCTION("""COMPUTED_VALUE"""),"1 USD = 104.3615 PKR")</f>
        <v>1 USD = 104.3615 PKR</v>
      </c>
      <c r="H2497" s="9" t="str">
        <f ca="1">IFERROR(__xludf.DUMMYFUNCTION("""COMPUTED_VALUE"""),"USD PKR rate for 16/03/2017")</f>
        <v>USD PKR rate for 16/03/2017</v>
      </c>
      <c r="I2497" s="9"/>
    </row>
    <row r="2498" spans="1:9" ht="14.25" customHeight="1" x14ac:dyDescent="0.3">
      <c r="A2498" s="6">
        <v>42215</v>
      </c>
      <c r="B2498" s="7">
        <v>101.7942</v>
      </c>
      <c r="C2498" s="8">
        <f t="shared" si="19"/>
        <v>123.43588114663419</v>
      </c>
      <c r="D2498" s="9">
        <f t="shared" si="18"/>
        <v>68.574498073113276</v>
      </c>
      <c r="E2498" s="9"/>
      <c r="F2498" s="9">
        <f ca="1">IFERROR(__xludf.DUMMYFUNCTION("""COMPUTED_VALUE"""),42809)</f>
        <v>42809</v>
      </c>
      <c r="G2498" s="9" t="str">
        <f ca="1">IFERROR(__xludf.DUMMYFUNCTION("""COMPUTED_VALUE"""),"1 USD = 103.7373 PKR")</f>
        <v>1 USD = 103.7373 PKR</v>
      </c>
      <c r="H2498" s="9" t="str">
        <f ca="1">IFERROR(__xludf.DUMMYFUNCTION("""COMPUTED_VALUE"""),"USD PKR rate for 15/03/2017")</f>
        <v>USD PKR rate for 15/03/2017</v>
      </c>
      <c r="I2498" s="9"/>
    </row>
    <row r="2499" spans="1:9" ht="14.25" customHeight="1" x14ac:dyDescent="0.3">
      <c r="A2499" s="6">
        <v>42216</v>
      </c>
      <c r="B2499" s="7">
        <v>101.812</v>
      </c>
      <c r="C2499" s="8">
        <f t="shared" si="19"/>
        <v>123.45795762538435</v>
      </c>
      <c r="D2499" s="9">
        <f t="shared" si="18"/>
        <v>68.577235905910541</v>
      </c>
      <c r="E2499" s="9"/>
      <c r="F2499" s="9">
        <f ca="1">IFERROR(__xludf.DUMMYFUNCTION("""COMPUTED_VALUE"""),42808)</f>
        <v>42808</v>
      </c>
      <c r="G2499" s="9" t="str">
        <f ca="1">IFERROR(__xludf.DUMMYFUNCTION("""COMPUTED_VALUE"""),"1 USD = 104.8086 PKR")</f>
        <v>1 USD = 104.8086 PKR</v>
      </c>
      <c r="H2499" s="9" t="str">
        <f ca="1">IFERROR(__xludf.DUMMYFUNCTION("""COMPUTED_VALUE"""),"USD PKR rate for 14/03/2017")</f>
        <v>USD PKR rate for 14/03/2017</v>
      </c>
      <c r="I2499" s="9"/>
    </row>
    <row r="2500" spans="1:9" ht="14.25" customHeight="1" x14ac:dyDescent="0.3">
      <c r="A2500" s="6">
        <v>42217</v>
      </c>
      <c r="B2500" s="7">
        <v>101.81489999999999</v>
      </c>
      <c r="C2500" s="8">
        <f t="shared" si="19"/>
        <v>123.48003805250762</v>
      </c>
      <c r="D2500" s="9">
        <f t="shared" si="18"/>
        <v>68.579973738707807</v>
      </c>
      <c r="E2500" s="9"/>
      <c r="F2500" s="9">
        <f ca="1">IFERROR(__xludf.DUMMYFUNCTION("""COMPUTED_VALUE"""),42807)</f>
        <v>42807</v>
      </c>
      <c r="G2500" s="9" t="str">
        <f ca="1">IFERROR(__xludf.DUMMYFUNCTION("""COMPUTED_VALUE"""),"1 USD = 104.7939 PKR")</f>
        <v>1 USD = 104.7939 PKR</v>
      </c>
      <c r="H2500" s="9" t="str">
        <f ca="1">IFERROR(__xludf.DUMMYFUNCTION("""COMPUTED_VALUE"""),"USD PKR rate for 13/03/2017")</f>
        <v>USD PKR rate for 13/03/2017</v>
      </c>
      <c r="I2500" s="9"/>
    </row>
    <row r="2501" spans="1:9" ht="14.25" customHeight="1" x14ac:dyDescent="0.3">
      <c r="A2501" s="6">
        <v>42218</v>
      </c>
      <c r="B2501" s="7">
        <v>101.7664</v>
      </c>
      <c r="C2501" s="8">
        <f t="shared" si="19"/>
        <v>123.50212242871018</v>
      </c>
      <c r="D2501" s="9">
        <f t="shared" si="18"/>
        <v>68.582711571505072</v>
      </c>
      <c r="E2501" s="9"/>
      <c r="F2501" s="9">
        <f ca="1">IFERROR(__xludf.DUMMYFUNCTION("""COMPUTED_VALUE"""),42806)</f>
        <v>42806</v>
      </c>
      <c r="G2501" s="9" t="str">
        <f ca="1">IFERROR(__xludf.DUMMYFUNCTION("""COMPUTED_VALUE"""),"1 USD = 104.3488 PKR")</f>
        <v>1 USD = 104.3488 PKR</v>
      </c>
      <c r="H2501" s="9" t="str">
        <f ca="1">IFERROR(__xludf.DUMMYFUNCTION("""COMPUTED_VALUE"""),"USD PKR rate for 12/03/2017")</f>
        <v>USD PKR rate for 12/03/2017</v>
      </c>
      <c r="I2501" s="9"/>
    </row>
    <row r="2502" spans="1:9" ht="14.25" customHeight="1" x14ac:dyDescent="0.3">
      <c r="A2502" s="6">
        <v>42219</v>
      </c>
      <c r="B2502" s="7">
        <v>101.8313</v>
      </c>
      <c r="C2502" s="8">
        <f t="shared" si="19"/>
        <v>123.52421075469829</v>
      </c>
      <c r="D2502" s="9">
        <f t="shared" si="18"/>
        <v>68.585449404302338</v>
      </c>
      <c r="E2502" s="9"/>
      <c r="F2502" s="9">
        <f ca="1">IFERROR(__xludf.DUMMYFUNCTION("""COMPUTED_VALUE"""),42805)</f>
        <v>42805</v>
      </c>
      <c r="G2502" s="9" t="str">
        <f ca="1">IFERROR(__xludf.DUMMYFUNCTION("""COMPUTED_VALUE"""),"1 USD = 104.1538 PKR")</f>
        <v>1 USD = 104.1538 PKR</v>
      </c>
      <c r="H2502" s="9" t="str">
        <f ca="1">IFERROR(__xludf.DUMMYFUNCTION("""COMPUTED_VALUE"""),"USD PKR rate for 11/03/2017")</f>
        <v>USD PKR rate for 11/03/2017</v>
      </c>
      <c r="I2502" s="9"/>
    </row>
    <row r="2503" spans="1:9" ht="14.25" customHeight="1" x14ac:dyDescent="0.3">
      <c r="A2503" s="6">
        <v>42220</v>
      </c>
      <c r="B2503" s="7">
        <v>101.8027</v>
      </c>
      <c r="C2503" s="8">
        <f t="shared" si="19"/>
        <v>123.54630303117828</v>
      </c>
      <c r="D2503" s="9">
        <f t="shared" si="18"/>
        <v>68.588187237099604</v>
      </c>
      <c r="E2503" s="9"/>
      <c r="F2503" s="9">
        <f ca="1">IFERROR(__xludf.DUMMYFUNCTION("""COMPUTED_VALUE"""),42804)</f>
        <v>42804</v>
      </c>
      <c r="G2503" s="9" t="str">
        <f ca="1">IFERROR(__xludf.DUMMYFUNCTION("""COMPUTED_VALUE"""),"1 USD = 104.1486 PKR")</f>
        <v>1 USD = 104.1486 PKR</v>
      </c>
      <c r="H2503" s="9" t="str">
        <f ca="1">IFERROR(__xludf.DUMMYFUNCTION("""COMPUTED_VALUE"""),"USD PKR rate for 10/03/2017")</f>
        <v>USD PKR rate for 10/03/2017</v>
      </c>
      <c r="I2503" s="9"/>
    </row>
    <row r="2504" spans="1:9" ht="14.25" customHeight="1" x14ac:dyDescent="0.3">
      <c r="A2504" s="6">
        <v>42221</v>
      </c>
      <c r="B2504" s="7">
        <v>101.8189</v>
      </c>
      <c r="C2504" s="8">
        <f t="shared" si="19"/>
        <v>123.56839925885691</v>
      </c>
      <c r="D2504" s="9">
        <f t="shared" si="18"/>
        <v>68.590925069896869</v>
      </c>
      <c r="E2504" s="9"/>
      <c r="F2504" s="9">
        <f ca="1">IFERROR(__xludf.DUMMYFUNCTION("""COMPUTED_VALUE"""),42803)</f>
        <v>42803</v>
      </c>
      <c r="G2504" s="9" t="str">
        <f ca="1">IFERROR(__xludf.DUMMYFUNCTION("""COMPUTED_VALUE"""),"1 USD = 104.679 PKR")</f>
        <v>1 USD = 104.679 PKR</v>
      </c>
      <c r="H2504" s="9" t="str">
        <f ca="1">IFERROR(__xludf.DUMMYFUNCTION("""COMPUTED_VALUE"""),"USD PKR rate for 09/03/2017")</f>
        <v>USD PKR rate for 09/03/2017</v>
      </c>
      <c r="I2504" s="9"/>
    </row>
    <row r="2505" spans="1:9" ht="14.25" customHeight="1" x14ac:dyDescent="0.3">
      <c r="A2505" s="6">
        <v>42222</v>
      </c>
      <c r="B2505" s="7">
        <v>101.9164</v>
      </c>
      <c r="C2505" s="8">
        <f t="shared" si="19"/>
        <v>123.59049943844077</v>
      </c>
      <c r="D2505" s="9">
        <f t="shared" si="18"/>
        <v>68.593662902694135</v>
      </c>
      <c r="E2505" s="9"/>
      <c r="F2505" s="9">
        <f ca="1">IFERROR(__xludf.DUMMYFUNCTION("""COMPUTED_VALUE"""),42802)</f>
        <v>42802</v>
      </c>
      <c r="G2505" s="9" t="str">
        <f ca="1">IFERROR(__xludf.DUMMYFUNCTION("""COMPUTED_VALUE"""),"1 USD = 104.7324 PKR")</f>
        <v>1 USD = 104.7324 PKR</v>
      </c>
      <c r="H2505" s="9" t="str">
        <f ca="1">IFERROR(__xludf.DUMMYFUNCTION("""COMPUTED_VALUE"""),"USD PKR rate for 08/03/2017")</f>
        <v>USD PKR rate for 08/03/2017</v>
      </c>
      <c r="I2505" s="9"/>
    </row>
    <row r="2506" spans="1:9" ht="14.25" customHeight="1" x14ac:dyDescent="0.3">
      <c r="A2506" s="6">
        <v>42223</v>
      </c>
      <c r="B2506" s="7">
        <v>101.8165</v>
      </c>
      <c r="C2506" s="8">
        <f t="shared" si="19"/>
        <v>123.61260357063659</v>
      </c>
      <c r="D2506" s="9">
        <f t="shared" si="18"/>
        <v>68.5964007354914</v>
      </c>
      <c r="E2506" s="9"/>
      <c r="F2506" s="9">
        <f ca="1">IFERROR(__xludf.DUMMYFUNCTION("""COMPUTED_VALUE"""),42801)</f>
        <v>42801</v>
      </c>
      <c r="G2506" s="9" t="str">
        <f ca="1">IFERROR(__xludf.DUMMYFUNCTION("""COMPUTED_VALUE"""),"1 USD = 104.8913 PKR")</f>
        <v>1 USD = 104.8913 PKR</v>
      </c>
      <c r="H2506" s="9" t="str">
        <f ca="1">IFERROR(__xludf.DUMMYFUNCTION("""COMPUTED_VALUE"""),"USD PKR rate for 07/03/2017")</f>
        <v>USD PKR rate for 07/03/2017</v>
      </c>
      <c r="I2506" s="9"/>
    </row>
    <row r="2507" spans="1:9" ht="14.25" customHeight="1" x14ac:dyDescent="0.3">
      <c r="A2507" s="6">
        <v>42224</v>
      </c>
      <c r="B2507" s="7">
        <v>101.8353</v>
      </c>
      <c r="C2507" s="8">
        <f t="shared" si="19"/>
        <v>123.63471165615137</v>
      </c>
      <c r="D2507" s="9">
        <f t="shared" si="18"/>
        <v>68.599138568288666</v>
      </c>
      <c r="E2507" s="9"/>
      <c r="F2507" s="9">
        <f ca="1">IFERROR(__xludf.DUMMYFUNCTION("""COMPUTED_VALUE"""),42800)</f>
        <v>42800</v>
      </c>
      <c r="G2507" s="9" t="str">
        <f ca="1">IFERROR(__xludf.DUMMYFUNCTION("""COMPUTED_VALUE"""),"1 USD = 104.7795 PKR")</f>
        <v>1 USD = 104.7795 PKR</v>
      </c>
      <c r="H2507" s="9" t="str">
        <f ca="1">IFERROR(__xludf.DUMMYFUNCTION("""COMPUTED_VALUE"""),"USD PKR rate for 06/03/2017")</f>
        <v>USD PKR rate for 06/03/2017</v>
      </c>
      <c r="I2507" s="9"/>
    </row>
    <row r="2508" spans="1:9" ht="14.25" customHeight="1" x14ac:dyDescent="0.3">
      <c r="A2508" s="6">
        <v>42225</v>
      </c>
      <c r="B2508" s="7">
        <v>101.81</v>
      </c>
      <c r="C2508" s="8">
        <f t="shared" si="19"/>
        <v>123.65682369569208</v>
      </c>
      <c r="D2508" s="9">
        <f t="shared" si="18"/>
        <v>68.601876401085931</v>
      </c>
      <c r="E2508" s="9"/>
      <c r="F2508" s="9">
        <f ca="1">IFERROR(__xludf.DUMMYFUNCTION("""COMPUTED_VALUE"""),42799)</f>
        <v>42799</v>
      </c>
      <c r="G2508" s="9" t="str">
        <f ca="1">IFERROR(__xludf.DUMMYFUNCTION("""COMPUTED_VALUE"""),"1 USD = 104.2155 PKR")</f>
        <v>1 USD = 104.2155 PKR</v>
      </c>
      <c r="H2508" s="9" t="str">
        <f ca="1">IFERROR(__xludf.DUMMYFUNCTION("""COMPUTED_VALUE"""),"USD PKR rate for 05/03/2017")</f>
        <v>USD PKR rate for 05/03/2017</v>
      </c>
      <c r="I2508" s="9"/>
    </row>
    <row r="2509" spans="1:9" ht="14.25" customHeight="1" x14ac:dyDescent="0.3">
      <c r="A2509" s="6">
        <v>42226</v>
      </c>
      <c r="B2509" s="7">
        <v>101.8412</v>
      </c>
      <c r="C2509" s="8">
        <f t="shared" si="19"/>
        <v>123.67893968996599</v>
      </c>
      <c r="D2509" s="9">
        <f t="shared" si="18"/>
        <v>68.604614233883197</v>
      </c>
      <c r="E2509" s="9"/>
      <c r="F2509" s="9">
        <f ca="1">IFERROR(__xludf.DUMMYFUNCTION("""COMPUTED_VALUE"""),42798)</f>
        <v>42798</v>
      </c>
      <c r="G2509" s="9" t="str">
        <f ca="1">IFERROR(__xludf.DUMMYFUNCTION("""COMPUTED_VALUE"""),"1 USD = 104.8031 PKR")</f>
        <v>1 USD = 104.8031 PKR</v>
      </c>
      <c r="H2509" s="9" t="str">
        <f ca="1">IFERROR(__xludf.DUMMYFUNCTION("""COMPUTED_VALUE"""),"USD PKR rate for 04/03/2017")</f>
        <v>USD PKR rate for 04/03/2017</v>
      </c>
      <c r="I2509" s="9"/>
    </row>
    <row r="2510" spans="1:9" ht="14.25" customHeight="1" x14ac:dyDescent="0.3">
      <c r="A2510" s="6">
        <v>42227</v>
      </c>
      <c r="B2510" s="7">
        <v>101.7718</v>
      </c>
      <c r="C2510" s="8">
        <f t="shared" si="19"/>
        <v>123.70105963968031</v>
      </c>
      <c r="D2510" s="9">
        <f t="shared" si="18"/>
        <v>68.607352066680463</v>
      </c>
      <c r="E2510" s="9"/>
      <c r="F2510" s="9">
        <f ca="1">IFERROR(__xludf.DUMMYFUNCTION("""COMPUTED_VALUE"""),42797)</f>
        <v>42797</v>
      </c>
      <c r="G2510" s="9" t="str">
        <f ca="1">IFERROR(__xludf.DUMMYFUNCTION("""COMPUTED_VALUE"""),"1 USD = 104.8172 PKR")</f>
        <v>1 USD = 104.8172 PKR</v>
      </c>
      <c r="H2510" s="9" t="str">
        <f ca="1">IFERROR(__xludf.DUMMYFUNCTION("""COMPUTED_VALUE"""),"USD PKR rate for 03/03/2017")</f>
        <v>USD PKR rate for 03/03/2017</v>
      </c>
      <c r="I2510" s="9"/>
    </row>
    <row r="2511" spans="1:9" ht="14.25" customHeight="1" x14ac:dyDescent="0.3">
      <c r="A2511" s="6">
        <v>42228</v>
      </c>
      <c r="B2511" s="7">
        <v>101.77679999999999</v>
      </c>
      <c r="C2511" s="8">
        <f t="shared" si="19"/>
        <v>123.72318354554254</v>
      </c>
      <c r="D2511" s="9">
        <f t="shared" si="18"/>
        <v>68.610089899477728</v>
      </c>
      <c r="E2511" s="9"/>
      <c r="F2511" s="9">
        <f ca="1">IFERROR(__xludf.DUMMYFUNCTION("""COMPUTED_VALUE"""),42796)</f>
        <v>42796</v>
      </c>
      <c r="G2511" s="9" t="str">
        <f ca="1">IFERROR(__xludf.DUMMYFUNCTION("""COMPUTED_VALUE"""),"1 USD = 104.9374 PKR")</f>
        <v>1 USD = 104.9374 PKR</v>
      </c>
      <c r="H2511" s="9" t="str">
        <f ca="1">IFERROR(__xludf.DUMMYFUNCTION("""COMPUTED_VALUE"""),"USD PKR rate for 02/03/2017")</f>
        <v>USD PKR rate for 02/03/2017</v>
      </c>
      <c r="I2511" s="9"/>
    </row>
    <row r="2512" spans="1:9" ht="14.25" customHeight="1" x14ac:dyDescent="0.3">
      <c r="A2512" s="6">
        <v>42229</v>
      </c>
      <c r="B2512" s="7">
        <v>101.83680000000001</v>
      </c>
      <c r="C2512" s="8">
        <f t="shared" si="19"/>
        <v>123.74531140826008</v>
      </c>
      <c r="D2512" s="9">
        <f t="shared" si="18"/>
        <v>68.612827732274994</v>
      </c>
      <c r="E2512" s="9"/>
      <c r="F2512" s="9">
        <f ca="1">IFERROR(__xludf.DUMMYFUNCTION("""COMPUTED_VALUE"""),42795)</f>
        <v>42795</v>
      </c>
      <c r="G2512" s="9" t="str">
        <f ca="1">IFERROR(__xludf.DUMMYFUNCTION("""COMPUTED_VALUE"""),"1 USD = 104.7571 PKR")</f>
        <v>1 USD = 104.7571 PKR</v>
      </c>
      <c r="H2512" s="9" t="str">
        <f ca="1">IFERROR(__xludf.DUMMYFUNCTION("""COMPUTED_VALUE"""),"USD PKR rate for 01/03/2017")</f>
        <v>USD PKR rate for 01/03/2017</v>
      </c>
      <c r="I2512" s="9"/>
    </row>
    <row r="2513" spans="1:9" ht="14.25" customHeight="1" x14ac:dyDescent="0.3">
      <c r="A2513" s="6">
        <v>42230</v>
      </c>
      <c r="B2513" s="7">
        <v>101.7997</v>
      </c>
      <c r="C2513" s="8">
        <f t="shared" si="19"/>
        <v>123.76744322854084</v>
      </c>
      <c r="D2513" s="9">
        <f t="shared" si="18"/>
        <v>68.615565565072259</v>
      </c>
      <c r="E2513" s="9"/>
      <c r="F2513" s="9">
        <f ca="1">IFERROR(__xludf.DUMMYFUNCTION("""COMPUTED_VALUE"""),42794)</f>
        <v>42794</v>
      </c>
      <c r="G2513" s="9" t="str">
        <f ca="1">IFERROR(__xludf.DUMMYFUNCTION("""COMPUTED_VALUE"""),"1 USD = 104.7974 PKR")</f>
        <v>1 USD = 104.7974 PKR</v>
      </c>
      <c r="H2513" s="9" t="str">
        <f ca="1">IFERROR(__xludf.DUMMYFUNCTION("""COMPUTED_VALUE"""),"USD PKR rate for 28/02/2017")</f>
        <v>USD PKR rate for 28/02/2017</v>
      </c>
      <c r="I2513" s="9"/>
    </row>
    <row r="2514" spans="1:9" ht="14.25" customHeight="1" x14ac:dyDescent="0.3">
      <c r="A2514" s="6">
        <v>42231</v>
      </c>
      <c r="B2514" s="7">
        <v>101.7724</v>
      </c>
      <c r="C2514" s="8">
        <f t="shared" si="19"/>
        <v>123.78957900709256</v>
      </c>
      <c r="D2514" s="9">
        <f t="shared" si="18"/>
        <v>68.618303397869525</v>
      </c>
      <c r="E2514" s="9"/>
      <c r="F2514" s="9">
        <f ca="1">IFERROR(__xludf.DUMMYFUNCTION("""COMPUTED_VALUE"""),42793)</f>
        <v>42793</v>
      </c>
      <c r="G2514" s="9" t="str">
        <f ca="1">IFERROR(__xludf.DUMMYFUNCTION("""COMPUTED_VALUE"""),"1 USD = 104.7889 PKR")</f>
        <v>1 USD = 104.7889 PKR</v>
      </c>
      <c r="H2514" s="9" t="str">
        <f ca="1">IFERROR(__xludf.DUMMYFUNCTION("""COMPUTED_VALUE"""),"USD PKR rate for 27/02/2017")</f>
        <v>USD PKR rate for 27/02/2017</v>
      </c>
      <c r="I2514" s="9"/>
    </row>
    <row r="2515" spans="1:9" ht="14.25" customHeight="1" x14ac:dyDescent="0.3">
      <c r="A2515" s="6">
        <v>42232</v>
      </c>
      <c r="B2515" s="7">
        <v>101.75930000000001</v>
      </c>
      <c r="C2515" s="8">
        <f t="shared" si="19"/>
        <v>123.81171874462312</v>
      </c>
      <c r="D2515" s="9">
        <f t="shared" si="18"/>
        <v>68.621041230666791</v>
      </c>
      <c r="E2515" s="9"/>
      <c r="F2515" s="9">
        <f ca="1">IFERROR(__xludf.DUMMYFUNCTION("""COMPUTED_VALUE"""),42792)</f>
        <v>42792</v>
      </c>
      <c r="G2515" s="9" t="str">
        <f ca="1">IFERROR(__xludf.DUMMYFUNCTION("""COMPUTED_VALUE"""),"1 USD = 105.2246 PKR")</f>
        <v>1 USD = 105.2246 PKR</v>
      </c>
      <c r="H2515" s="9" t="str">
        <f ca="1">IFERROR(__xludf.DUMMYFUNCTION("""COMPUTED_VALUE"""),"USD PKR rate for 26/02/2017")</f>
        <v>USD PKR rate for 26/02/2017</v>
      </c>
      <c r="I2515" s="9"/>
    </row>
    <row r="2516" spans="1:9" ht="14.25" customHeight="1" x14ac:dyDescent="0.3">
      <c r="A2516" s="6">
        <v>42233</v>
      </c>
      <c r="B2516" s="7">
        <v>101.9166</v>
      </c>
      <c r="C2516" s="8">
        <f t="shared" si="19"/>
        <v>123.83386244184064</v>
      </c>
      <c r="D2516" s="9">
        <f t="shared" si="18"/>
        <v>68.623779063464056</v>
      </c>
      <c r="E2516" s="9"/>
      <c r="F2516" s="9">
        <f ca="1">IFERROR(__xludf.DUMMYFUNCTION("""COMPUTED_VALUE"""),42791)</f>
        <v>42791</v>
      </c>
      <c r="G2516" s="9" t="str">
        <f ca="1">IFERROR(__xludf.DUMMYFUNCTION("""COMPUTED_VALUE"""),"1 USD = 105.3285 PKR")</f>
        <v>1 USD = 105.3285 PKR</v>
      </c>
      <c r="H2516" s="9" t="str">
        <f ca="1">IFERROR(__xludf.DUMMYFUNCTION("""COMPUTED_VALUE"""),"USD PKR rate for 25/02/2017")</f>
        <v>USD PKR rate for 25/02/2017</v>
      </c>
      <c r="I2516" s="9"/>
    </row>
    <row r="2517" spans="1:9" ht="14.25" customHeight="1" x14ac:dyDescent="0.3">
      <c r="A2517" s="6">
        <v>42234</v>
      </c>
      <c r="B2517" s="7">
        <v>102.00790000000001</v>
      </c>
      <c r="C2517" s="8">
        <f t="shared" si="19"/>
        <v>123.85601009945327</v>
      </c>
      <c r="D2517" s="9">
        <f t="shared" si="18"/>
        <v>68.626516896261322</v>
      </c>
      <c r="E2517" s="9"/>
      <c r="F2517" s="9">
        <f ca="1">IFERROR(__xludf.DUMMYFUNCTION("""COMPUTED_VALUE"""),42790)</f>
        <v>42790</v>
      </c>
      <c r="G2517" s="9" t="str">
        <f ca="1">IFERROR(__xludf.DUMMYFUNCTION("""COMPUTED_VALUE"""),"1 USD = 104.8925 PKR")</f>
        <v>1 USD = 104.8925 PKR</v>
      </c>
      <c r="H2517" s="9" t="str">
        <f ca="1">IFERROR(__xludf.DUMMYFUNCTION("""COMPUTED_VALUE"""),"USD PKR rate for 24/02/2017")</f>
        <v>USD PKR rate for 24/02/2017</v>
      </c>
      <c r="I2517" s="9"/>
    </row>
    <row r="2518" spans="1:9" ht="14.25" customHeight="1" x14ac:dyDescent="0.3">
      <c r="A2518" s="6">
        <v>42235</v>
      </c>
      <c r="B2518" s="7">
        <v>101.9076</v>
      </c>
      <c r="C2518" s="8">
        <f t="shared" si="19"/>
        <v>123.87816171816931</v>
      </c>
      <c r="D2518" s="9">
        <f t="shared" si="18"/>
        <v>68.629254729058587</v>
      </c>
      <c r="E2518" s="9"/>
      <c r="F2518" s="9">
        <f ca="1">IFERROR(__xludf.DUMMYFUNCTION("""COMPUTED_VALUE"""),42789)</f>
        <v>42789</v>
      </c>
      <c r="G2518" s="9" t="str">
        <f ca="1">IFERROR(__xludf.DUMMYFUNCTION("""COMPUTED_VALUE"""),"1 USD = 104.7922 PKR")</f>
        <v>1 USD = 104.7922 PKR</v>
      </c>
      <c r="H2518" s="9" t="str">
        <f ca="1">IFERROR(__xludf.DUMMYFUNCTION("""COMPUTED_VALUE"""),"USD PKR rate for 23/02/2017")</f>
        <v>USD PKR rate for 23/02/2017</v>
      </c>
      <c r="I2518" s="9"/>
    </row>
    <row r="2519" spans="1:9" ht="14.25" customHeight="1" x14ac:dyDescent="0.3">
      <c r="A2519" s="6">
        <v>42236</v>
      </c>
      <c r="B2519" s="7">
        <v>101.9589</v>
      </c>
      <c r="C2519" s="8">
        <f t="shared" si="19"/>
        <v>123.90031729869726</v>
      </c>
      <c r="D2519" s="9">
        <f t="shared" si="18"/>
        <v>68.631992561855853</v>
      </c>
      <c r="E2519" s="9"/>
      <c r="F2519" s="9">
        <f ca="1">IFERROR(__xludf.DUMMYFUNCTION("""COMPUTED_VALUE"""),42788)</f>
        <v>42788</v>
      </c>
      <c r="G2519" s="9" t="str">
        <f ca="1">IFERROR(__xludf.DUMMYFUNCTION("""COMPUTED_VALUE"""),"1 USD = 104.3 PKR")</f>
        <v>1 USD = 104.3 PKR</v>
      </c>
      <c r="H2519" s="9" t="str">
        <f ca="1">IFERROR(__xludf.DUMMYFUNCTION("""COMPUTED_VALUE"""),"USD PKR rate for 22/02/2017")</f>
        <v>USD PKR rate for 22/02/2017</v>
      </c>
      <c r="I2519" s="9"/>
    </row>
    <row r="2520" spans="1:9" ht="14.25" customHeight="1" x14ac:dyDescent="0.3">
      <c r="A2520" s="6">
        <v>42237</v>
      </c>
      <c r="B2520" s="7">
        <v>101.75069999999999</v>
      </c>
      <c r="C2520" s="8">
        <f t="shared" si="19"/>
        <v>123.92247684174563</v>
      </c>
      <c r="D2520" s="9">
        <f t="shared" si="18"/>
        <v>68.634730394653118</v>
      </c>
      <c r="E2520" s="9"/>
      <c r="F2520" s="9">
        <f ca="1">IFERROR(__xludf.DUMMYFUNCTION("""COMPUTED_VALUE"""),42787)</f>
        <v>42787</v>
      </c>
      <c r="G2520" s="9" t="str">
        <f ca="1">IFERROR(__xludf.DUMMYFUNCTION("""COMPUTED_VALUE"""),"1 USD = 104.8437 PKR")</f>
        <v>1 USD = 104.8437 PKR</v>
      </c>
      <c r="H2520" s="9" t="str">
        <f ca="1">IFERROR(__xludf.DUMMYFUNCTION("""COMPUTED_VALUE"""),"USD PKR rate for 21/02/2017")</f>
        <v>USD PKR rate for 21/02/2017</v>
      </c>
      <c r="I2520" s="9"/>
    </row>
    <row r="2521" spans="1:9" ht="14.25" customHeight="1" x14ac:dyDescent="0.3">
      <c r="A2521" s="6">
        <v>42238</v>
      </c>
      <c r="B2521" s="7">
        <v>101.78230000000001</v>
      </c>
      <c r="C2521" s="8">
        <f t="shared" si="19"/>
        <v>123.94464034802303</v>
      </c>
      <c r="D2521" s="9">
        <f t="shared" si="18"/>
        <v>68.637468227450384</v>
      </c>
      <c r="E2521" s="9"/>
      <c r="F2521" s="9">
        <f ca="1">IFERROR(__xludf.DUMMYFUNCTION("""COMPUTED_VALUE"""),42786)</f>
        <v>42786</v>
      </c>
      <c r="G2521" s="9" t="str">
        <f ca="1">IFERROR(__xludf.DUMMYFUNCTION("""COMPUTED_VALUE"""),"1 USD = 104.895 PKR")</f>
        <v>1 USD = 104.895 PKR</v>
      </c>
      <c r="H2521" s="9" t="str">
        <f ca="1">IFERROR(__xludf.DUMMYFUNCTION("""COMPUTED_VALUE"""),"USD PKR rate for 20/02/2017")</f>
        <v>USD PKR rate for 20/02/2017</v>
      </c>
      <c r="I2521" s="9"/>
    </row>
    <row r="2522" spans="1:9" ht="14.25" customHeight="1" x14ac:dyDescent="0.3">
      <c r="A2522" s="6">
        <v>42239</v>
      </c>
      <c r="B2522" s="7">
        <v>102.0963</v>
      </c>
      <c r="C2522" s="8">
        <f t="shared" si="19"/>
        <v>123.96680781823851</v>
      </c>
      <c r="D2522" s="9">
        <f t="shared" si="18"/>
        <v>68.64020606024765</v>
      </c>
      <c r="E2522" s="9"/>
      <c r="F2522" s="9">
        <f ca="1">IFERROR(__xludf.DUMMYFUNCTION("""COMPUTED_VALUE"""),42785)</f>
        <v>42785</v>
      </c>
      <c r="G2522" s="9" t="str">
        <f ca="1">IFERROR(__xludf.DUMMYFUNCTION("""COMPUTED_VALUE"""),"1 USD = 105.1074 PKR")</f>
        <v>1 USD = 105.1074 PKR</v>
      </c>
      <c r="H2522" s="9" t="str">
        <f ca="1">IFERROR(__xludf.DUMMYFUNCTION("""COMPUTED_VALUE"""),"USD PKR rate for 19/02/2017")</f>
        <v>USD PKR rate for 19/02/2017</v>
      </c>
      <c r="I2522" s="9"/>
    </row>
    <row r="2523" spans="1:9" ht="14.25" customHeight="1" x14ac:dyDescent="0.3">
      <c r="A2523" s="6">
        <v>42240</v>
      </c>
      <c r="B2523" s="7">
        <v>103.473</v>
      </c>
      <c r="C2523" s="8">
        <f t="shared" si="19"/>
        <v>123.98897925310092</v>
      </c>
      <c r="D2523" s="9">
        <f t="shared" si="18"/>
        <v>68.642943893044915</v>
      </c>
      <c r="E2523" s="9"/>
      <c r="F2523" s="9">
        <f ca="1">IFERROR(__xludf.DUMMYFUNCTION("""COMPUTED_VALUE"""),42784)</f>
        <v>42784</v>
      </c>
      <c r="G2523" s="9" t="str">
        <f ca="1">IFERROR(__xludf.DUMMYFUNCTION("""COMPUTED_VALUE"""),"1 USD = 105.0815 PKR")</f>
        <v>1 USD = 105.0815 PKR</v>
      </c>
      <c r="H2523" s="9" t="str">
        <f ca="1">IFERROR(__xludf.DUMMYFUNCTION("""COMPUTED_VALUE"""),"USD PKR rate for 18/02/2017")</f>
        <v>USD PKR rate for 18/02/2017</v>
      </c>
      <c r="I2523" s="9"/>
    </row>
    <row r="2524" spans="1:9" ht="14.25" customHeight="1" x14ac:dyDescent="0.3">
      <c r="A2524" s="6">
        <v>42241</v>
      </c>
      <c r="B2524" s="7">
        <v>103.625</v>
      </c>
      <c r="C2524" s="8">
        <f t="shared" si="19"/>
        <v>124.01115465331928</v>
      </c>
      <c r="D2524" s="9">
        <f t="shared" si="18"/>
        <v>68.645681725842181</v>
      </c>
      <c r="E2524" s="9"/>
      <c r="F2524" s="9">
        <f ca="1">IFERROR(__xludf.DUMMYFUNCTION("""COMPUTED_VALUE"""),42783)</f>
        <v>42783</v>
      </c>
      <c r="G2524" s="9" t="str">
        <f ca="1">IFERROR(__xludf.DUMMYFUNCTION("""COMPUTED_VALUE"""),"1 USD = 104.7874 PKR")</f>
        <v>1 USD = 104.7874 PKR</v>
      </c>
      <c r="H2524" s="9" t="str">
        <f ca="1">IFERROR(__xludf.DUMMYFUNCTION("""COMPUTED_VALUE"""),"USD PKR rate for 17/02/2017")</f>
        <v>USD PKR rate for 17/02/2017</v>
      </c>
      <c r="I2524" s="9"/>
    </row>
    <row r="2525" spans="1:9" ht="14.25" customHeight="1" x14ac:dyDescent="0.3">
      <c r="A2525" s="6">
        <v>42242</v>
      </c>
      <c r="B2525" s="7">
        <v>103.7496</v>
      </c>
      <c r="C2525" s="8">
        <f t="shared" si="19"/>
        <v>124.03333401960286</v>
      </c>
      <c r="D2525" s="9">
        <f t="shared" si="18"/>
        <v>68.648419558639446</v>
      </c>
      <c r="E2525" s="9"/>
      <c r="F2525" s="9">
        <f ca="1">IFERROR(__xludf.DUMMYFUNCTION("""COMPUTED_VALUE"""),42782)</f>
        <v>42782</v>
      </c>
      <c r="G2525" s="9" t="str">
        <f ca="1">IFERROR(__xludf.DUMMYFUNCTION("""COMPUTED_VALUE"""),"1 USD = 104.3936 PKR")</f>
        <v>1 USD = 104.3936 PKR</v>
      </c>
      <c r="H2525" s="9" t="str">
        <f ca="1">IFERROR(__xludf.DUMMYFUNCTION("""COMPUTED_VALUE"""),"USD PKR rate for 16/02/2017")</f>
        <v>USD PKR rate for 16/02/2017</v>
      </c>
      <c r="I2525" s="9"/>
    </row>
    <row r="2526" spans="1:9" ht="14.25" customHeight="1" x14ac:dyDescent="0.3">
      <c r="A2526" s="6">
        <v>42243</v>
      </c>
      <c r="B2526" s="7">
        <v>103.8514</v>
      </c>
      <c r="C2526" s="8">
        <f t="shared" si="19"/>
        <v>124.05551735266097</v>
      </c>
      <c r="D2526" s="9">
        <f t="shared" si="18"/>
        <v>68.651157391436712</v>
      </c>
      <c r="E2526" s="9"/>
      <c r="F2526" s="9">
        <f ca="1">IFERROR(__xludf.DUMMYFUNCTION("""COMPUTED_VALUE"""),42781)</f>
        <v>42781</v>
      </c>
      <c r="G2526" s="9" t="str">
        <f ca="1">IFERROR(__xludf.DUMMYFUNCTION("""COMPUTED_VALUE"""),"1 USD = 104.3522 PKR")</f>
        <v>1 USD = 104.3522 PKR</v>
      </c>
      <c r="H2526" s="9" t="str">
        <f ca="1">IFERROR(__xludf.DUMMYFUNCTION("""COMPUTED_VALUE"""),"USD PKR rate for 15/02/2017")</f>
        <v>USD PKR rate for 15/02/2017</v>
      </c>
      <c r="I2526" s="9"/>
    </row>
    <row r="2527" spans="1:9" ht="14.25" customHeight="1" x14ac:dyDescent="0.3">
      <c r="A2527" s="6">
        <v>42244</v>
      </c>
      <c r="B2527" s="7">
        <v>104.2026</v>
      </c>
      <c r="C2527" s="8">
        <f t="shared" si="19"/>
        <v>124.07770465320304</v>
      </c>
      <c r="D2527" s="9">
        <f t="shared" si="18"/>
        <v>68.653895224233978</v>
      </c>
      <c r="E2527" s="9"/>
      <c r="F2527" s="9">
        <f ca="1">IFERROR(__xludf.DUMMYFUNCTION("""COMPUTED_VALUE"""),42780)</f>
        <v>42780</v>
      </c>
      <c r="G2527" s="9" t="str">
        <f ca="1">IFERROR(__xludf.DUMMYFUNCTION("""COMPUTED_VALUE"""),"1 USD = 105.2872 PKR")</f>
        <v>1 USD = 105.2872 PKR</v>
      </c>
      <c r="H2527" s="9" t="str">
        <f ca="1">IFERROR(__xludf.DUMMYFUNCTION("""COMPUTED_VALUE"""),"USD PKR rate for 14/02/2017")</f>
        <v>USD PKR rate for 14/02/2017</v>
      </c>
      <c r="I2527" s="9"/>
    </row>
    <row r="2528" spans="1:9" ht="14.25" customHeight="1" x14ac:dyDescent="0.3">
      <c r="A2528" s="6">
        <v>42245</v>
      </c>
      <c r="B2528" s="7">
        <v>104.1503</v>
      </c>
      <c r="C2528" s="8">
        <f t="shared" si="19"/>
        <v>124.09989592193868</v>
      </c>
      <c r="D2528" s="9">
        <f t="shared" si="18"/>
        <v>68.656633057031243</v>
      </c>
      <c r="E2528" s="9"/>
      <c r="F2528" s="9">
        <f ca="1">IFERROR(__xludf.DUMMYFUNCTION("""COMPUTED_VALUE"""),42779)</f>
        <v>42779</v>
      </c>
      <c r="G2528" s="9" t="str">
        <f ca="1">IFERROR(__xludf.DUMMYFUNCTION("""COMPUTED_VALUE"""),"1 USD = 105.3353 PKR")</f>
        <v>1 USD = 105.3353 PKR</v>
      </c>
      <c r="H2528" s="9" t="str">
        <f ca="1">IFERROR(__xludf.DUMMYFUNCTION("""COMPUTED_VALUE"""),"USD PKR rate for 13/02/2017")</f>
        <v>USD PKR rate for 13/02/2017</v>
      </c>
      <c r="I2528" s="9"/>
    </row>
    <row r="2529" spans="1:9" ht="14.25" customHeight="1" x14ac:dyDescent="0.3">
      <c r="A2529" s="6">
        <v>42246</v>
      </c>
      <c r="B2529" s="7">
        <v>103.9272</v>
      </c>
      <c r="C2529" s="8">
        <f t="shared" si="19"/>
        <v>124.12209115957759</v>
      </c>
      <c r="D2529" s="9">
        <f t="shared" si="18"/>
        <v>68.659370889828509</v>
      </c>
      <c r="E2529" s="9"/>
      <c r="F2529" s="9">
        <f ca="1">IFERROR(__xludf.DUMMYFUNCTION("""COMPUTED_VALUE"""),42778)</f>
        <v>42778</v>
      </c>
      <c r="G2529" s="9" t="str">
        <f ca="1">IFERROR(__xludf.DUMMYFUNCTION("""COMPUTED_VALUE"""),"1 USD = 104.7742 PKR")</f>
        <v>1 USD = 104.7742 PKR</v>
      </c>
      <c r="H2529" s="9" t="str">
        <f ca="1">IFERROR(__xludf.DUMMYFUNCTION("""COMPUTED_VALUE"""),"USD PKR rate for 12/02/2017")</f>
        <v>USD PKR rate for 12/02/2017</v>
      </c>
      <c r="I2529" s="9"/>
    </row>
    <row r="2530" spans="1:9" ht="14.25" customHeight="1" x14ac:dyDescent="0.3">
      <c r="A2530" s="6">
        <v>42247</v>
      </c>
      <c r="B2530" s="7">
        <v>104.0865</v>
      </c>
      <c r="C2530" s="8">
        <f t="shared" si="19"/>
        <v>124.14429036682951</v>
      </c>
      <c r="D2530" s="9">
        <f t="shared" si="18"/>
        <v>68.662108722625774</v>
      </c>
      <c r="E2530" s="9"/>
      <c r="F2530" s="9">
        <f ca="1">IFERROR(__xludf.DUMMYFUNCTION("""COMPUTED_VALUE"""),42777)</f>
        <v>42777</v>
      </c>
      <c r="G2530" s="9" t="str">
        <f ca="1">IFERROR(__xludf.DUMMYFUNCTION("""COMPUTED_VALUE"""),"1 USD = 104.7738 PKR")</f>
        <v>1 USD = 104.7738 PKR</v>
      </c>
      <c r="H2530" s="9" t="str">
        <f ca="1">IFERROR(__xludf.DUMMYFUNCTION("""COMPUTED_VALUE"""),"USD PKR rate for 11/02/2017")</f>
        <v>USD PKR rate for 11/02/2017</v>
      </c>
      <c r="I2530" s="9"/>
    </row>
    <row r="2531" spans="1:9" ht="14.25" customHeight="1" x14ac:dyDescent="0.3">
      <c r="A2531" s="6">
        <v>42248</v>
      </c>
      <c r="B2531" s="7">
        <v>104.21639999999999</v>
      </c>
      <c r="C2531" s="8">
        <f t="shared" si="19"/>
        <v>124.1664935444046</v>
      </c>
      <c r="D2531" s="9">
        <f t="shared" si="18"/>
        <v>68.66484655542304</v>
      </c>
      <c r="E2531" s="9"/>
      <c r="F2531" s="9">
        <f ca="1">IFERROR(__xludf.DUMMYFUNCTION("""COMPUTED_VALUE"""),42776)</f>
        <v>42776</v>
      </c>
      <c r="G2531" s="9" t="str">
        <f ca="1">IFERROR(__xludf.DUMMYFUNCTION("""COMPUTED_VALUE"""),"1 USD = 104.7697 PKR")</f>
        <v>1 USD = 104.7697 PKR</v>
      </c>
      <c r="H2531" s="9" t="str">
        <f ca="1">IFERROR(__xludf.DUMMYFUNCTION("""COMPUTED_VALUE"""),"USD PKR rate for 10/02/2017")</f>
        <v>USD PKR rate for 10/02/2017</v>
      </c>
      <c r="I2531" s="9"/>
    </row>
    <row r="2532" spans="1:9" ht="14.25" customHeight="1" x14ac:dyDescent="0.3">
      <c r="A2532" s="6">
        <v>42249</v>
      </c>
      <c r="B2532" s="7">
        <v>104.15009999999999</v>
      </c>
      <c r="C2532" s="8">
        <f t="shared" si="19"/>
        <v>124.18870069301288</v>
      </c>
      <c r="D2532" s="9">
        <f t="shared" si="18"/>
        <v>68.667584388220305</v>
      </c>
      <c r="E2532" s="9"/>
      <c r="F2532" s="9">
        <f ca="1">IFERROR(__xludf.DUMMYFUNCTION("""COMPUTED_VALUE"""),42775)</f>
        <v>42775</v>
      </c>
      <c r="G2532" s="9" t="str">
        <f ca="1">IFERROR(__xludf.DUMMYFUNCTION("""COMPUTED_VALUE"""),"1 USD = 104.9564 PKR")</f>
        <v>1 USD = 104.9564 PKR</v>
      </c>
      <c r="H2532" s="9" t="str">
        <f ca="1">IFERROR(__xludf.DUMMYFUNCTION("""COMPUTED_VALUE"""),"USD PKR rate for 09/02/2017")</f>
        <v>USD PKR rate for 09/02/2017</v>
      </c>
      <c r="I2532" s="9"/>
    </row>
    <row r="2533" spans="1:9" ht="14.25" customHeight="1" x14ac:dyDescent="0.3">
      <c r="A2533" s="6">
        <v>42250</v>
      </c>
      <c r="B2533" s="7">
        <v>104.161</v>
      </c>
      <c r="C2533" s="8">
        <f t="shared" si="19"/>
        <v>124.21091181336452</v>
      </c>
      <c r="D2533" s="9">
        <f t="shared" si="18"/>
        <v>68.670322221017571</v>
      </c>
      <c r="E2533" s="9"/>
      <c r="F2533" s="9">
        <f ca="1">IFERROR(__xludf.DUMMYFUNCTION("""COMPUTED_VALUE"""),42774)</f>
        <v>42774</v>
      </c>
      <c r="G2533" s="9" t="str">
        <f ca="1">IFERROR(__xludf.DUMMYFUNCTION("""COMPUTED_VALUE"""),"1 USD = 104.4049 PKR")</f>
        <v>1 USD = 104.4049 PKR</v>
      </c>
      <c r="H2533" s="9" t="str">
        <f ca="1">IFERROR(__xludf.DUMMYFUNCTION("""COMPUTED_VALUE"""),"USD PKR rate for 08/02/2017")</f>
        <v>USD PKR rate for 08/02/2017</v>
      </c>
      <c r="I2533" s="9"/>
    </row>
    <row r="2534" spans="1:9" ht="14.25" customHeight="1" x14ac:dyDescent="0.3">
      <c r="A2534" s="6">
        <v>42251</v>
      </c>
      <c r="B2534" s="7">
        <v>104.2281</v>
      </c>
      <c r="C2534" s="8">
        <f t="shared" si="19"/>
        <v>124.2331269061699</v>
      </c>
      <c r="D2534" s="9">
        <f t="shared" si="18"/>
        <v>68.673060053814837</v>
      </c>
      <c r="E2534" s="9"/>
      <c r="F2534" s="9">
        <f ca="1">IFERROR(__xludf.DUMMYFUNCTION("""COMPUTED_VALUE"""),42773)</f>
        <v>42773</v>
      </c>
      <c r="G2534" s="9" t="str">
        <f ca="1">IFERROR(__xludf.DUMMYFUNCTION("""COMPUTED_VALUE"""),"1 USD = 104.8599 PKR")</f>
        <v>1 USD = 104.8599 PKR</v>
      </c>
      <c r="H2534" s="9" t="str">
        <f ca="1">IFERROR(__xludf.DUMMYFUNCTION("""COMPUTED_VALUE"""),"USD PKR rate for 07/02/2017")</f>
        <v>USD PKR rate for 07/02/2017</v>
      </c>
      <c r="I2534" s="9"/>
    </row>
    <row r="2535" spans="1:9" ht="14.25" customHeight="1" x14ac:dyDescent="0.3">
      <c r="A2535" s="6">
        <v>42252</v>
      </c>
      <c r="B2535" s="7">
        <v>104.277</v>
      </c>
      <c r="C2535" s="8">
        <f t="shared" si="19"/>
        <v>124.25534597213947</v>
      </c>
      <c r="D2535" s="9">
        <f t="shared" si="18"/>
        <v>68.675797886612102</v>
      </c>
      <c r="E2535" s="9"/>
      <c r="F2535" s="9">
        <f ca="1">IFERROR(__xludf.DUMMYFUNCTION("""COMPUTED_VALUE"""),42772)</f>
        <v>42772</v>
      </c>
      <c r="G2535" s="9" t="str">
        <f ca="1">IFERROR(__xludf.DUMMYFUNCTION("""COMPUTED_VALUE"""),"1 USD = 104.7517 PKR")</f>
        <v>1 USD = 104.7517 PKR</v>
      </c>
      <c r="H2535" s="9" t="str">
        <f ca="1">IFERROR(__xludf.DUMMYFUNCTION("""COMPUTED_VALUE"""),"USD PKR rate for 06/02/2017")</f>
        <v>USD PKR rate for 06/02/2017</v>
      </c>
      <c r="I2535" s="9"/>
    </row>
    <row r="2536" spans="1:9" ht="14.25" customHeight="1" x14ac:dyDescent="0.3">
      <c r="A2536" s="6">
        <v>42253</v>
      </c>
      <c r="B2536" s="7">
        <v>104.2</v>
      </c>
      <c r="C2536" s="8">
        <f t="shared" si="19"/>
        <v>124.27756901198386</v>
      </c>
      <c r="D2536" s="9">
        <f t="shared" si="18"/>
        <v>68.678535719409368</v>
      </c>
      <c r="E2536" s="9"/>
      <c r="F2536" s="9">
        <f ca="1">IFERROR(__xludf.DUMMYFUNCTION("""COMPUTED_VALUE"""),42771)</f>
        <v>42771</v>
      </c>
      <c r="G2536" s="9" t="str">
        <f ca="1">IFERROR(__xludf.DUMMYFUNCTION("""COMPUTED_VALUE"""),"1 USD = 104.3144 PKR")</f>
        <v>1 USD = 104.3144 PKR</v>
      </c>
      <c r="H2536" s="9" t="str">
        <f ca="1">IFERROR(__xludf.DUMMYFUNCTION("""COMPUTED_VALUE"""),"USD PKR rate for 05/02/2017")</f>
        <v>USD PKR rate for 05/02/2017</v>
      </c>
      <c r="I2536" s="9"/>
    </row>
    <row r="2537" spans="1:9" ht="14.25" customHeight="1" x14ac:dyDescent="0.3">
      <c r="A2537" s="6">
        <v>42254</v>
      </c>
      <c r="B2537" s="7">
        <v>104.22029999999999</v>
      </c>
      <c r="C2537" s="8">
        <f t="shared" si="19"/>
        <v>124.29979602641377</v>
      </c>
      <c r="D2537" s="9">
        <f t="shared" si="18"/>
        <v>68.681273552206633</v>
      </c>
      <c r="E2537" s="9"/>
      <c r="F2537" s="9">
        <f ca="1">IFERROR(__xludf.DUMMYFUNCTION("""COMPUTED_VALUE"""),42770)</f>
        <v>42770</v>
      </c>
      <c r="G2537" s="9" t="str">
        <f ca="1">IFERROR(__xludf.DUMMYFUNCTION("""COMPUTED_VALUE"""),"1 USD = 104.682 PKR")</f>
        <v>1 USD = 104.682 PKR</v>
      </c>
      <c r="H2537" s="9" t="str">
        <f ca="1">IFERROR(__xludf.DUMMYFUNCTION("""COMPUTED_VALUE"""),"USD PKR rate for 04/02/2017")</f>
        <v>USD PKR rate for 04/02/2017</v>
      </c>
      <c r="I2537" s="9"/>
    </row>
    <row r="2538" spans="1:9" ht="14.25" customHeight="1" x14ac:dyDescent="0.3">
      <c r="A2538" s="6">
        <v>42255</v>
      </c>
      <c r="B2538" s="7">
        <v>103.97680000000001</v>
      </c>
      <c r="C2538" s="8">
        <f t="shared" si="19"/>
        <v>124.32202701614005</v>
      </c>
      <c r="D2538" s="9">
        <f t="shared" si="18"/>
        <v>68.684011385003899</v>
      </c>
      <c r="E2538" s="9"/>
      <c r="F2538" s="9">
        <f ca="1">IFERROR(__xludf.DUMMYFUNCTION("""COMPUTED_VALUE"""),42769)</f>
        <v>42769</v>
      </c>
      <c r="G2538" s="9" t="str">
        <f ca="1">IFERROR(__xludf.DUMMYFUNCTION("""COMPUTED_VALUE"""),"1 USD = 104.6816 PKR")</f>
        <v>1 USD = 104.6816 PKR</v>
      </c>
      <c r="H2538" s="9" t="str">
        <f ca="1">IFERROR(__xludf.DUMMYFUNCTION("""COMPUTED_VALUE"""),"USD PKR rate for 03/02/2017")</f>
        <v>USD PKR rate for 03/02/2017</v>
      </c>
      <c r="I2538" s="9"/>
    </row>
    <row r="2539" spans="1:9" ht="14.25" customHeight="1" x14ac:dyDescent="0.3">
      <c r="A2539" s="6">
        <v>42256</v>
      </c>
      <c r="B2539" s="7">
        <v>104.3496</v>
      </c>
      <c r="C2539" s="8">
        <f t="shared" si="19"/>
        <v>124.34426198187361</v>
      </c>
      <c r="D2539" s="9">
        <f t="shared" si="18"/>
        <v>68.686749217801164</v>
      </c>
      <c r="E2539" s="9"/>
      <c r="F2539" s="9">
        <f ca="1">IFERROR(__xludf.DUMMYFUNCTION("""COMPUTED_VALUE"""),42768)</f>
        <v>42768</v>
      </c>
      <c r="G2539" s="9" t="str">
        <f ca="1">IFERROR(__xludf.DUMMYFUNCTION("""COMPUTED_VALUE"""),"1 USD = 104.8205 PKR")</f>
        <v>1 USD = 104.8205 PKR</v>
      </c>
      <c r="H2539" s="9" t="str">
        <f ca="1">IFERROR(__xludf.DUMMYFUNCTION("""COMPUTED_VALUE"""),"USD PKR rate for 02/02/2017")</f>
        <v>USD PKR rate for 02/02/2017</v>
      </c>
      <c r="I2539" s="9"/>
    </row>
    <row r="2540" spans="1:9" ht="14.25" customHeight="1" x14ac:dyDescent="0.3">
      <c r="A2540" s="6">
        <v>42257</v>
      </c>
      <c r="B2540" s="7">
        <v>104.3323</v>
      </c>
      <c r="C2540" s="8">
        <f t="shared" si="19"/>
        <v>124.36650092432573</v>
      </c>
      <c r="D2540" s="9">
        <f t="shared" si="18"/>
        <v>68.68948705059843</v>
      </c>
      <c r="E2540" s="9"/>
      <c r="F2540" s="9">
        <f ca="1">IFERROR(__xludf.DUMMYFUNCTION("""COMPUTED_VALUE"""),42767)</f>
        <v>42767</v>
      </c>
      <c r="G2540" s="9" t="str">
        <f ca="1">IFERROR(__xludf.DUMMYFUNCTION("""COMPUTED_VALUE"""),"1 USD = 104.8309 PKR")</f>
        <v>1 USD = 104.8309 PKR</v>
      </c>
      <c r="H2540" s="9" t="str">
        <f ca="1">IFERROR(__xludf.DUMMYFUNCTION("""COMPUTED_VALUE"""),"USD PKR rate for 01/02/2017")</f>
        <v>USD PKR rate for 01/02/2017</v>
      </c>
      <c r="I2540" s="9"/>
    </row>
    <row r="2541" spans="1:9" ht="14.25" customHeight="1" x14ac:dyDescent="0.3">
      <c r="A2541" s="6">
        <v>42258</v>
      </c>
      <c r="B2541" s="7">
        <v>104.3848</v>
      </c>
      <c r="C2541" s="8">
        <f t="shared" si="19"/>
        <v>124.38874384420757</v>
      </c>
      <c r="D2541" s="9">
        <f t="shared" si="18"/>
        <v>68.692224883395696</v>
      </c>
      <c r="E2541" s="9"/>
      <c r="F2541" s="9">
        <f ca="1">IFERROR(__xludf.DUMMYFUNCTION("""COMPUTED_VALUE"""),42766)</f>
        <v>42766</v>
      </c>
      <c r="G2541" s="9" t="str">
        <f ca="1">IFERROR(__xludf.DUMMYFUNCTION("""COMPUTED_VALUE"""),"1 USD = 104.3958 PKR")</f>
        <v>1 USD = 104.3958 PKR</v>
      </c>
      <c r="H2541" s="9" t="str">
        <f ca="1">IFERROR(__xludf.DUMMYFUNCTION("""COMPUTED_VALUE"""),"USD PKR rate for 31/01/2017")</f>
        <v>USD PKR rate for 31/01/2017</v>
      </c>
      <c r="I2541" s="9"/>
    </row>
    <row r="2542" spans="1:9" ht="14.25" customHeight="1" x14ac:dyDescent="0.3">
      <c r="A2542" s="6">
        <v>42259</v>
      </c>
      <c r="B2542" s="7">
        <v>104.4592</v>
      </c>
      <c r="C2542" s="8">
        <f t="shared" si="19"/>
        <v>124.41099074223047</v>
      </c>
      <c r="D2542" s="9">
        <f t="shared" si="18"/>
        <v>68.694962716192961</v>
      </c>
      <c r="E2542" s="9"/>
      <c r="F2542" s="9">
        <f ca="1">IFERROR(__xludf.DUMMYFUNCTION("""COMPUTED_VALUE"""),42765)</f>
        <v>42765</v>
      </c>
      <c r="G2542" s="9" t="str">
        <f ca="1">IFERROR(__xludf.DUMMYFUNCTION("""COMPUTED_VALUE"""),"1 USD = 104.4435 PKR")</f>
        <v>1 USD = 104.4435 PKR</v>
      </c>
      <c r="H2542" s="9" t="str">
        <f ca="1">IFERROR(__xludf.DUMMYFUNCTION("""COMPUTED_VALUE"""),"USD PKR rate for 30/01/2017")</f>
        <v>USD PKR rate for 30/01/2017</v>
      </c>
      <c r="I2542" s="9"/>
    </row>
    <row r="2543" spans="1:9" ht="14.25" customHeight="1" x14ac:dyDescent="0.3">
      <c r="A2543" s="6">
        <v>42260</v>
      </c>
      <c r="B2543" s="7">
        <v>104.4367</v>
      </c>
      <c r="C2543" s="8">
        <f t="shared" si="19"/>
        <v>124.43324161910593</v>
      </c>
      <c r="D2543" s="9">
        <f t="shared" si="18"/>
        <v>68.697700548990227</v>
      </c>
      <c r="E2543" s="9"/>
      <c r="F2543" s="9">
        <f ca="1">IFERROR(__xludf.DUMMYFUNCTION("""COMPUTED_VALUE"""),42764)</f>
        <v>42764</v>
      </c>
      <c r="G2543" s="9" t="str">
        <f ca="1">IFERROR(__xludf.DUMMYFUNCTION("""COMPUTED_VALUE"""),"1 USD = 104.8103 PKR")</f>
        <v>1 USD = 104.8103 PKR</v>
      </c>
      <c r="H2543" s="9" t="str">
        <f ca="1">IFERROR(__xludf.DUMMYFUNCTION("""COMPUTED_VALUE"""),"USD PKR rate for 29/01/2017")</f>
        <v>USD PKR rate for 29/01/2017</v>
      </c>
      <c r="I2543" s="9"/>
    </row>
    <row r="2544" spans="1:9" ht="14.25" customHeight="1" x14ac:dyDescent="0.3">
      <c r="A2544" s="6">
        <v>42261</v>
      </c>
      <c r="B2544" s="7">
        <v>104.39790000000001</v>
      </c>
      <c r="C2544" s="8">
        <f t="shared" si="19"/>
        <v>124.45549647554556</v>
      </c>
      <c r="D2544" s="9">
        <f t="shared" si="18"/>
        <v>68.700438381787492</v>
      </c>
      <c r="E2544" s="9"/>
      <c r="F2544" s="9">
        <f ca="1">IFERROR(__xludf.DUMMYFUNCTION("""COMPUTED_VALUE"""),42763)</f>
        <v>42763</v>
      </c>
      <c r="G2544" s="9" t="str">
        <f ca="1">IFERROR(__xludf.DUMMYFUNCTION("""COMPUTED_VALUE"""),"1 USD = 104.7814 PKR")</f>
        <v>1 USD = 104.7814 PKR</v>
      </c>
      <c r="H2544" s="9" t="str">
        <f ca="1">IFERROR(__xludf.DUMMYFUNCTION("""COMPUTED_VALUE"""),"USD PKR rate for 28/01/2017")</f>
        <v>USD PKR rate for 28/01/2017</v>
      </c>
      <c r="I2544" s="9"/>
    </row>
    <row r="2545" spans="1:9" ht="14.25" customHeight="1" x14ac:dyDescent="0.3">
      <c r="A2545" s="6">
        <v>42262</v>
      </c>
      <c r="B2545" s="7">
        <v>104.2736</v>
      </c>
      <c r="C2545" s="8">
        <f t="shared" si="19"/>
        <v>124.47775531226112</v>
      </c>
      <c r="D2545" s="9">
        <f t="shared" si="18"/>
        <v>68.703176214584758</v>
      </c>
      <c r="E2545" s="9"/>
      <c r="F2545" s="9">
        <f ca="1">IFERROR(__xludf.DUMMYFUNCTION("""COMPUTED_VALUE"""),42762)</f>
        <v>42762</v>
      </c>
      <c r="G2545" s="9" t="str">
        <f ca="1">IFERROR(__xludf.DUMMYFUNCTION("""COMPUTED_VALUE"""),"1 USD = 104.7996 PKR")</f>
        <v>1 USD = 104.7996 PKR</v>
      </c>
      <c r="H2545" s="9" t="str">
        <f ca="1">IFERROR(__xludf.DUMMYFUNCTION("""COMPUTED_VALUE"""),"USD PKR rate for 27/01/2017")</f>
        <v>USD PKR rate for 27/01/2017</v>
      </c>
      <c r="I2545" s="9"/>
    </row>
    <row r="2546" spans="1:9" ht="14.25" customHeight="1" x14ac:dyDescent="0.3">
      <c r="A2546" s="6">
        <v>42263</v>
      </c>
      <c r="B2546" s="7">
        <v>104.33620000000002</v>
      </c>
      <c r="C2546" s="8">
        <f t="shared" si="19"/>
        <v>124.50001812996446</v>
      </c>
      <c r="D2546" s="9">
        <f t="shared" si="18"/>
        <v>68.705914047382024</v>
      </c>
      <c r="E2546" s="9"/>
      <c r="F2546" s="9">
        <f ca="1">IFERROR(__xludf.DUMMYFUNCTION("""COMPUTED_VALUE"""),42761)</f>
        <v>42761</v>
      </c>
      <c r="G2546" s="9" t="str">
        <f ca="1">IFERROR(__xludf.DUMMYFUNCTION("""COMPUTED_VALUE"""),"1 USD = 105.2658 PKR")</f>
        <v>1 USD = 105.2658 PKR</v>
      </c>
      <c r="H2546" s="9" t="str">
        <f ca="1">IFERROR(__xludf.DUMMYFUNCTION("""COMPUTED_VALUE"""),"USD PKR rate for 26/01/2017")</f>
        <v>USD PKR rate for 26/01/2017</v>
      </c>
      <c r="I2546" s="9"/>
    </row>
    <row r="2547" spans="1:9" ht="14.25" customHeight="1" x14ac:dyDescent="0.3">
      <c r="A2547" s="6">
        <v>42264</v>
      </c>
      <c r="B2547" s="7">
        <v>104.41160000000001</v>
      </c>
      <c r="C2547" s="8">
        <f t="shared" si="19"/>
        <v>124.52228492936759</v>
      </c>
      <c r="D2547" s="9">
        <f t="shared" si="18"/>
        <v>68.708651880179289</v>
      </c>
      <c r="E2547" s="9"/>
      <c r="F2547" s="9">
        <f ca="1">IFERROR(__xludf.DUMMYFUNCTION("""COMPUTED_VALUE"""),42760)</f>
        <v>42760</v>
      </c>
      <c r="G2547" s="9" t="str">
        <f ca="1">IFERROR(__xludf.DUMMYFUNCTION("""COMPUTED_VALUE"""),"1 USD = 104.8113 PKR")</f>
        <v>1 USD = 104.8113 PKR</v>
      </c>
      <c r="H2547" s="9" t="str">
        <f ca="1">IFERROR(__xludf.DUMMYFUNCTION("""COMPUTED_VALUE"""),"USD PKR rate for 25/01/2017")</f>
        <v>USD PKR rate for 25/01/2017</v>
      </c>
      <c r="I2547" s="9"/>
    </row>
    <row r="2548" spans="1:9" ht="14.25" customHeight="1" x14ac:dyDescent="0.3">
      <c r="A2548" s="6">
        <v>42265</v>
      </c>
      <c r="B2548" s="7">
        <v>104.3497</v>
      </c>
      <c r="C2548" s="8">
        <f t="shared" si="19"/>
        <v>124.54455571118253</v>
      </c>
      <c r="D2548" s="9">
        <f t="shared" si="18"/>
        <v>68.711389712976555</v>
      </c>
      <c r="E2548" s="9"/>
      <c r="F2548" s="9">
        <f ca="1">IFERROR(__xludf.DUMMYFUNCTION("""COMPUTED_VALUE"""),42759)</f>
        <v>42759</v>
      </c>
      <c r="G2548" s="9" t="str">
        <f ca="1">IFERROR(__xludf.DUMMYFUNCTION("""COMPUTED_VALUE"""),"1 USD = 104.8122 PKR")</f>
        <v>1 USD = 104.8122 PKR</v>
      </c>
      <c r="H2548" s="9" t="str">
        <f ca="1">IFERROR(__xludf.DUMMYFUNCTION("""COMPUTED_VALUE"""),"USD PKR rate for 24/01/2017")</f>
        <v>USD PKR rate for 24/01/2017</v>
      </c>
      <c r="I2548" s="9"/>
    </row>
    <row r="2549" spans="1:9" ht="14.25" customHeight="1" x14ac:dyDescent="0.3">
      <c r="A2549" s="6">
        <v>42266</v>
      </c>
      <c r="B2549" s="7">
        <v>104.32859999999999</v>
      </c>
      <c r="C2549" s="8">
        <f t="shared" si="19"/>
        <v>124.56683047612174</v>
      </c>
      <c r="D2549" s="9">
        <f t="shared" si="18"/>
        <v>68.71412754577382</v>
      </c>
      <c r="E2549" s="9"/>
      <c r="F2549" s="9">
        <f ca="1">IFERROR(__xludf.DUMMYFUNCTION("""COMPUTED_VALUE"""),42758)</f>
        <v>42758</v>
      </c>
      <c r="G2549" s="9" t="str">
        <f ca="1">IFERROR(__xludf.DUMMYFUNCTION("""COMPUTED_VALUE"""),"1 USD = 104.4889 PKR")</f>
        <v>1 USD = 104.4889 PKR</v>
      </c>
      <c r="H2549" s="9" t="str">
        <f ca="1">IFERROR(__xludf.DUMMYFUNCTION("""COMPUTED_VALUE"""),"USD PKR rate for 23/01/2017")</f>
        <v>USD PKR rate for 23/01/2017</v>
      </c>
      <c r="I2549" s="9"/>
    </row>
    <row r="2550" spans="1:9" ht="14.25" customHeight="1" x14ac:dyDescent="0.3">
      <c r="A2550" s="6">
        <v>42267</v>
      </c>
      <c r="B2550" s="7">
        <v>104.45010000000001</v>
      </c>
      <c r="C2550" s="8">
        <f t="shared" si="19"/>
        <v>124.58910922489751</v>
      </c>
      <c r="D2550" s="9">
        <f t="shared" si="18"/>
        <v>68.716865378571086</v>
      </c>
      <c r="E2550" s="9"/>
      <c r="F2550" s="9">
        <f ca="1">IFERROR(__xludf.DUMMYFUNCTION("""COMPUTED_VALUE"""),42757)</f>
        <v>42757</v>
      </c>
      <c r="G2550" s="9" t="str">
        <f ca="1">IFERROR(__xludf.DUMMYFUNCTION("""COMPUTED_VALUE"""),"1 USD = 104.295 PKR")</f>
        <v>1 USD = 104.295 PKR</v>
      </c>
      <c r="H2550" s="9" t="str">
        <f ca="1">IFERROR(__xludf.DUMMYFUNCTION("""COMPUTED_VALUE"""),"USD PKR rate for 22/01/2017")</f>
        <v>USD PKR rate for 22/01/2017</v>
      </c>
      <c r="I2550" s="9"/>
    </row>
    <row r="2551" spans="1:9" ht="14.25" customHeight="1" x14ac:dyDescent="0.3">
      <c r="A2551" s="6">
        <v>42268</v>
      </c>
      <c r="B2551" s="7">
        <v>104.3532</v>
      </c>
      <c r="C2551" s="8">
        <f t="shared" si="19"/>
        <v>124.61139195822234</v>
      </c>
      <c r="D2551" s="9">
        <f t="shared" si="18"/>
        <v>68.719603211368351</v>
      </c>
      <c r="E2551" s="9"/>
      <c r="F2551" s="9">
        <f ca="1">IFERROR(__xludf.DUMMYFUNCTION("""COMPUTED_VALUE"""),42756)</f>
        <v>42756</v>
      </c>
      <c r="G2551" s="9" t="str">
        <f ca="1">IFERROR(__xludf.DUMMYFUNCTION("""COMPUTED_VALUE"""),"1 USD = 104.3059 PKR")</f>
        <v>1 USD = 104.3059 PKR</v>
      </c>
      <c r="H2551" s="9" t="str">
        <f ca="1">IFERROR(__xludf.DUMMYFUNCTION("""COMPUTED_VALUE"""),"USD PKR rate for 21/01/2017")</f>
        <v>USD PKR rate for 21/01/2017</v>
      </c>
      <c r="I2551" s="9"/>
    </row>
    <row r="2552" spans="1:9" ht="14.25" customHeight="1" x14ac:dyDescent="0.3">
      <c r="A2552" s="6">
        <v>42269</v>
      </c>
      <c r="B2552" s="7">
        <v>104.50270000000002</v>
      </c>
      <c r="C2552" s="8">
        <f t="shared" si="19"/>
        <v>124.63367867680884</v>
      </c>
      <c r="D2552" s="9">
        <f t="shared" si="18"/>
        <v>68.722341044165617</v>
      </c>
      <c r="E2552" s="9"/>
      <c r="F2552" s="9">
        <f ca="1">IFERROR(__xludf.DUMMYFUNCTION("""COMPUTED_VALUE"""),42755)</f>
        <v>42755</v>
      </c>
      <c r="G2552" s="9" t="str">
        <f ca="1">IFERROR(__xludf.DUMMYFUNCTION("""COMPUTED_VALUE"""),"1 USD = 104.2128 PKR")</f>
        <v>1 USD = 104.2128 PKR</v>
      </c>
      <c r="H2552" s="9" t="str">
        <f ca="1">IFERROR(__xludf.DUMMYFUNCTION("""COMPUTED_VALUE"""),"USD PKR rate for 20/01/2017")</f>
        <v>USD PKR rate for 20/01/2017</v>
      </c>
      <c r="I2552" s="9"/>
    </row>
    <row r="2553" spans="1:9" ht="14.25" customHeight="1" x14ac:dyDescent="0.3">
      <c r="A2553" s="6">
        <v>42270</v>
      </c>
      <c r="B2553" s="7">
        <v>104.3918</v>
      </c>
      <c r="C2553" s="8">
        <f t="shared" si="19"/>
        <v>124.65596938136983</v>
      </c>
      <c r="D2553" s="9">
        <f t="shared" ref="D2553:D2807" si="20">(A2553-$A$3)/365.2524</f>
        <v>68.725078876962883</v>
      </c>
      <c r="E2553" s="9"/>
      <c r="F2553" s="9">
        <f ca="1">IFERROR(__xludf.DUMMYFUNCTION("""COMPUTED_VALUE"""),42754)</f>
        <v>42754</v>
      </c>
      <c r="G2553" s="9" t="str">
        <f ca="1">IFERROR(__xludf.DUMMYFUNCTION("""COMPUTED_VALUE"""),"1 USD = 104.7947 PKR")</f>
        <v>1 USD = 104.7947 PKR</v>
      </c>
      <c r="H2553" s="9" t="str">
        <f ca="1">IFERROR(__xludf.DUMMYFUNCTION("""COMPUTED_VALUE"""),"USD PKR rate for 19/01/2017")</f>
        <v>USD PKR rate for 19/01/2017</v>
      </c>
      <c r="I2553" s="9"/>
    </row>
    <row r="2554" spans="1:9" ht="14.25" customHeight="1" x14ac:dyDescent="0.3">
      <c r="A2554" s="6">
        <v>42271</v>
      </c>
      <c r="B2554" s="7">
        <v>104.4307</v>
      </c>
      <c r="C2554" s="8">
        <f t="shared" ref="C2554:C2808" si="21">(1+$C$1)^D2554*$C$3</f>
        <v>124.67826407261815</v>
      </c>
      <c r="D2554" s="9">
        <f t="shared" si="20"/>
        <v>68.727816709760148</v>
      </c>
      <c r="E2554" s="9"/>
      <c r="F2554" s="9">
        <f ca="1">IFERROR(__xludf.DUMMYFUNCTION("""COMPUTED_VALUE"""),42753)</f>
        <v>42753</v>
      </c>
      <c r="G2554" s="9" t="str">
        <f ca="1">IFERROR(__xludf.DUMMYFUNCTION("""COMPUTED_VALUE"""),"1 USD = 104.7814 PKR")</f>
        <v>1 USD = 104.7814 PKR</v>
      </c>
      <c r="H2554" s="9" t="str">
        <f ca="1">IFERROR(__xludf.DUMMYFUNCTION("""COMPUTED_VALUE"""),"USD PKR rate for 18/01/2017")</f>
        <v>USD PKR rate for 18/01/2017</v>
      </c>
      <c r="I2554" s="9"/>
    </row>
    <row r="2555" spans="1:9" ht="14.25" customHeight="1" x14ac:dyDescent="0.3">
      <c r="A2555" s="6">
        <v>42272</v>
      </c>
      <c r="B2555" s="7">
        <v>104.4015</v>
      </c>
      <c r="C2555" s="8">
        <f t="shared" si="21"/>
        <v>124.70056275126683</v>
      </c>
      <c r="D2555" s="9">
        <f t="shared" si="20"/>
        <v>68.730554542557414</v>
      </c>
      <c r="E2555" s="9"/>
      <c r="F2555" s="9">
        <f ca="1">IFERROR(__xludf.DUMMYFUNCTION("""COMPUTED_VALUE"""),42752)</f>
        <v>42752</v>
      </c>
      <c r="G2555" s="9" t="str">
        <f ca="1">IFERROR(__xludf.DUMMYFUNCTION("""COMPUTED_VALUE"""),"1 USD = 104.8357 PKR")</f>
        <v>1 USD = 104.8357 PKR</v>
      </c>
      <c r="H2555" s="9" t="str">
        <f ca="1">IFERROR(__xludf.DUMMYFUNCTION("""COMPUTED_VALUE"""),"USD PKR rate for 17/01/2017")</f>
        <v>USD PKR rate for 17/01/2017</v>
      </c>
      <c r="I2555" s="9"/>
    </row>
    <row r="2556" spans="1:9" ht="14.25" customHeight="1" x14ac:dyDescent="0.3">
      <c r="A2556" s="6">
        <v>42273</v>
      </c>
      <c r="B2556" s="7">
        <v>104.48739999999999</v>
      </c>
      <c r="C2556" s="8">
        <f t="shared" si="21"/>
        <v>124.72286541802904</v>
      </c>
      <c r="D2556" s="9">
        <f t="shared" si="20"/>
        <v>68.733292375354679</v>
      </c>
      <c r="E2556" s="9"/>
      <c r="F2556" s="9">
        <f ca="1">IFERROR(__xludf.DUMMYFUNCTION("""COMPUTED_VALUE"""),42751)</f>
        <v>42751</v>
      </c>
      <c r="G2556" s="9" t="str">
        <f ca="1">IFERROR(__xludf.DUMMYFUNCTION("""COMPUTED_VALUE"""),"1 USD = 104.6889 PKR")</f>
        <v>1 USD = 104.6889 PKR</v>
      </c>
      <c r="H2556" s="9" t="str">
        <f ca="1">IFERROR(__xludf.DUMMYFUNCTION("""COMPUTED_VALUE"""),"USD PKR rate for 16/01/2017")</f>
        <v>USD PKR rate for 16/01/2017</v>
      </c>
      <c r="I2556" s="9"/>
    </row>
    <row r="2557" spans="1:9" ht="14.25" customHeight="1" x14ac:dyDescent="0.3">
      <c r="A2557" s="6">
        <v>42274</v>
      </c>
      <c r="B2557" s="7">
        <v>104.4015</v>
      </c>
      <c r="C2557" s="8">
        <f t="shared" si="21"/>
        <v>124.74517207361791</v>
      </c>
      <c r="D2557" s="9">
        <f t="shared" si="20"/>
        <v>68.736030208151945</v>
      </c>
      <c r="E2557" s="9"/>
      <c r="F2557" s="9">
        <f ca="1">IFERROR(__xludf.DUMMYFUNCTION("""COMPUTED_VALUE"""),42750)</f>
        <v>42750</v>
      </c>
      <c r="G2557" s="9" t="str">
        <f ca="1">IFERROR(__xludf.DUMMYFUNCTION("""COMPUTED_VALUE"""),"1 USD = 104.8 PKR")</f>
        <v>1 USD = 104.8 PKR</v>
      </c>
      <c r="H2557" s="9" t="str">
        <f ca="1">IFERROR(__xludf.DUMMYFUNCTION("""COMPUTED_VALUE"""),"USD PKR rate for 15/01/2017")</f>
        <v>USD PKR rate for 15/01/2017</v>
      </c>
      <c r="I2557" s="9"/>
    </row>
    <row r="2558" spans="1:9" ht="14.25" customHeight="1" x14ac:dyDescent="0.3">
      <c r="A2558" s="6">
        <v>42275</v>
      </c>
      <c r="B2558" s="7">
        <v>104.4676</v>
      </c>
      <c r="C2558" s="8">
        <f t="shared" si="21"/>
        <v>124.76748271874708</v>
      </c>
      <c r="D2558" s="9">
        <f t="shared" si="20"/>
        <v>68.738768040949211</v>
      </c>
      <c r="E2558" s="9"/>
      <c r="F2558" s="9">
        <f ca="1">IFERROR(__xludf.DUMMYFUNCTION("""COMPUTED_VALUE"""),42749)</f>
        <v>42749</v>
      </c>
      <c r="G2558" s="9" t="str">
        <f ca="1">IFERROR(__xludf.DUMMYFUNCTION("""COMPUTED_VALUE"""),"1 USD = 104.8643 PKR")</f>
        <v>1 USD = 104.8643 PKR</v>
      </c>
      <c r="H2558" s="9" t="str">
        <f ca="1">IFERROR(__xludf.DUMMYFUNCTION("""COMPUTED_VALUE"""),"USD PKR rate for 14/01/2017")</f>
        <v>USD PKR rate for 14/01/2017</v>
      </c>
      <c r="I2558" s="9"/>
    </row>
    <row r="2559" spans="1:9" ht="14.25" customHeight="1" x14ac:dyDescent="0.3">
      <c r="A2559" s="6">
        <v>42276</v>
      </c>
      <c r="B2559" s="7">
        <v>104.4371</v>
      </c>
      <c r="C2559" s="8">
        <f t="shared" si="21"/>
        <v>124.78979735412995</v>
      </c>
      <c r="D2559" s="9">
        <f t="shared" si="20"/>
        <v>68.741505873746476</v>
      </c>
      <c r="E2559" s="9"/>
      <c r="F2559" s="9">
        <f ca="1">IFERROR(__xludf.DUMMYFUNCTION("""COMPUTED_VALUE"""),42748)</f>
        <v>42748</v>
      </c>
      <c r="G2559" s="9" t="str">
        <f ca="1">IFERROR(__xludf.DUMMYFUNCTION("""COMPUTED_VALUE"""),"1 USD = 104.779 PKR")</f>
        <v>1 USD = 104.779 PKR</v>
      </c>
      <c r="H2559" s="9" t="str">
        <f ca="1">IFERROR(__xludf.DUMMYFUNCTION("""COMPUTED_VALUE"""),"USD PKR rate for 13/01/2017")</f>
        <v>USD PKR rate for 13/01/2017</v>
      </c>
      <c r="I2559" s="9"/>
    </row>
    <row r="2560" spans="1:9" ht="14.25" customHeight="1" x14ac:dyDescent="0.3">
      <c r="A2560" s="6">
        <v>42277</v>
      </c>
      <c r="B2560" s="7">
        <v>104.42690000000002</v>
      </c>
      <c r="C2560" s="8">
        <f t="shared" si="21"/>
        <v>124.81211598048021</v>
      </c>
      <c r="D2560" s="9">
        <f t="shared" si="20"/>
        <v>68.744243706543742</v>
      </c>
      <c r="E2560" s="9"/>
      <c r="F2560" s="9">
        <f ca="1">IFERROR(__xludf.DUMMYFUNCTION("""COMPUTED_VALUE"""),42747)</f>
        <v>42747</v>
      </c>
      <c r="G2560" s="9" t="str">
        <f ca="1">IFERROR(__xludf.DUMMYFUNCTION("""COMPUTED_VALUE"""),"1 USD = 105.0649 PKR")</f>
        <v>1 USD = 105.0649 PKR</v>
      </c>
      <c r="H2560" s="9" t="str">
        <f ca="1">IFERROR(__xludf.DUMMYFUNCTION("""COMPUTED_VALUE"""),"USD PKR rate for 12/01/2017")</f>
        <v>USD PKR rate for 12/01/2017</v>
      </c>
      <c r="I2560" s="9"/>
    </row>
    <row r="2561" spans="1:9" ht="14.25" customHeight="1" x14ac:dyDescent="0.3">
      <c r="A2561" s="6">
        <v>42278</v>
      </c>
      <c r="B2561" s="7">
        <v>104.4772</v>
      </c>
      <c r="C2561" s="8">
        <f t="shared" si="21"/>
        <v>124.83443859851162</v>
      </c>
      <c r="D2561" s="9">
        <f t="shared" si="20"/>
        <v>68.746981539341007</v>
      </c>
      <c r="E2561" s="9"/>
      <c r="F2561" s="9">
        <f ca="1">IFERROR(__xludf.DUMMYFUNCTION("""COMPUTED_VALUE"""),42746)</f>
        <v>42746</v>
      </c>
      <c r="G2561" s="9" t="str">
        <f ca="1">IFERROR(__xludf.DUMMYFUNCTION("""COMPUTED_VALUE"""),"1 USD = 104.2155 PKR")</f>
        <v>1 USD = 104.2155 PKR</v>
      </c>
      <c r="H2561" s="9" t="str">
        <f ca="1">IFERROR(__xludf.DUMMYFUNCTION("""COMPUTED_VALUE"""),"USD PKR rate for 11/01/2017")</f>
        <v>USD PKR rate for 11/01/2017</v>
      </c>
      <c r="I2561" s="9"/>
    </row>
    <row r="2562" spans="1:9" ht="14.25" customHeight="1" x14ac:dyDescent="0.3">
      <c r="A2562" s="6">
        <v>42279</v>
      </c>
      <c r="B2562" s="7">
        <v>104.4973</v>
      </c>
      <c r="C2562" s="8">
        <f t="shared" si="21"/>
        <v>124.85676520893807</v>
      </c>
      <c r="D2562" s="9">
        <f t="shared" si="20"/>
        <v>68.749719372138273</v>
      </c>
      <c r="E2562" s="9"/>
      <c r="F2562" s="9">
        <f ca="1">IFERROR(__xludf.DUMMYFUNCTION("""COMPUTED_VALUE"""),42745)</f>
        <v>42745</v>
      </c>
      <c r="G2562" s="9" t="str">
        <f ca="1">IFERROR(__xludf.DUMMYFUNCTION("""COMPUTED_VALUE"""),"1 USD = 104.7773 PKR")</f>
        <v>1 USD = 104.7773 PKR</v>
      </c>
      <c r="H2562" s="9" t="str">
        <f ca="1">IFERROR(__xludf.DUMMYFUNCTION("""COMPUTED_VALUE"""),"USD PKR rate for 10/01/2017")</f>
        <v>USD PKR rate for 10/01/2017</v>
      </c>
      <c r="I2562" s="9"/>
    </row>
    <row r="2563" spans="1:9" ht="14.25" customHeight="1" x14ac:dyDescent="0.3">
      <c r="A2563" s="6">
        <v>42280</v>
      </c>
      <c r="B2563" s="7">
        <v>104.41250000000001</v>
      </c>
      <c r="C2563" s="8">
        <f t="shared" si="21"/>
        <v>124.87909581247365</v>
      </c>
      <c r="D2563" s="9">
        <f t="shared" si="20"/>
        <v>68.752457204935538</v>
      </c>
      <c r="E2563" s="9"/>
      <c r="F2563" s="9">
        <f ca="1">IFERROR(__xludf.DUMMYFUNCTION("""COMPUTED_VALUE"""),42744)</f>
        <v>42744</v>
      </c>
      <c r="G2563" s="9" t="str">
        <f ca="1">IFERROR(__xludf.DUMMYFUNCTION("""COMPUTED_VALUE"""),"1 USD = 104.1436 PKR")</f>
        <v>1 USD = 104.1436 PKR</v>
      </c>
      <c r="H2563" s="9" t="str">
        <f ca="1">IFERROR(__xludf.DUMMYFUNCTION("""COMPUTED_VALUE"""),"USD PKR rate for 09/01/2017")</f>
        <v>USD PKR rate for 09/01/2017</v>
      </c>
      <c r="I2563" s="9"/>
    </row>
    <row r="2564" spans="1:9" ht="14.25" customHeight="1" x14ac:dyDescent="0.3">
      <c r="A2564" s="6">
        <v>42281</v>
      </c>
      <c r="B2564" s="7">
        <v>104.4541</v>
      </c>
      <c r="C2564" s="8">
        <f t="shared" si="21"/>
        <v>124.90143040983249</v>
      </c>
      <c r="D2564" s="9">
        <f t="shared" si="20"/>
        <v>68.755195037732804</v>
      </c>
      <c r="E2564" s="9"/>
      <c r="F2564" s="9">
        <f ca="1">IFERROR(__xludf.DUMMYFUNCTION("""COMPUTED_VALUE"""),42743)</f>
        <v>42743</v>
      </c>
      <c r="G2564" s="9" t="str">
        <f ca="1">IFERROR(__xludf.DUMMYFUNCTION("""COMPUTED_VALUE"""),"1 USD = 105.1775 PKR")</f>
        <v>1 USD = 105.1775 PKR</v>
      </c>
      <c r="H2564" s="9" t="str">
        <f ca="1">IFERROR(__xludf.DUMMYFUNCTION("""COMPUTED_VALUE"""),"USD PKR rate for 08/01/2017")</f>
        <v>USD PKR rate for 08/01/2017</v>
      </c>
      <c r="I2564" s="9"/>
    </row>
    <row r="2565" spans="1:9" ht="14.25" customHeight="1" x14ac:dyDescent="0.3">
      <c r="A2565" s="6">
        <v>42282</v>
      </c>
      <c r="B2565" s="7">
        <v>104.48820000000002</v>
      </c>
      <c r="C2565" s="8">
        <f t="shared" si="21"/>
        <v>124.9237690017289</v>
      </c>
      <c r="D2565" s="9">
        <f t="shared" si="20"/>
        <v>68.75793287053007</v>
      </c>
      <c r="E2565" s="9"/>
      <c r="F2565" s="9">
        <f ca="1">IFERROR(__xludf.DUMMYFUNCTION("""COMPUTED_VALUE"""),42742)</f>
        <v>42742</v>
      </c>
      <c r="G2565" s="9" t="str">
        <f ca="1">IFERROR(__xludf.DUMMYFUNCTION("""COMPUTED_VALUE"""),"1 USD = 104.7997 PKR")</f>
        <v>1 USD = 104.7997 PKR</v>
      </c>
      <c r="H2565" s="9" t="str">
        <f ca="1">IFERROR(__xludf.DUMMYFUNCTION("""COMPUTED_VALUE"""),"USD PKR rate for 07/01/2017")</f>
        <v>USD PKR rate for 07/01/2017</v>
      </c>
      <c r="I2565" s="9"/>
    </row>
    <row r="2566" spans="1:9" ht="14.25" customHeight="1" x14ac:dyDescent="0.3">
      <c r="A2566" s="6">
        <v>42283</v>
      </c>
      <c r="B2566" s="7">
        <v>104.4264</v>
      </c>
      <c r="C2566" s="8">
        <f t="shared" si="21"/>
        <v>124.94611158887717</v>
      </c>
      <c r="D2566" s="9">
        <f t="shared" si="20"/>
        <v>68.760670703327335</v>
      </c>
      <c r="E2566" s="9"/>
      <c r="F2566" s="9">
        <f ca="1">IFERROR(__xludf.DUMMYFUNCTION("""COMPUTED_VALUE"""),42741)</f>
        <v>42741</v>
      </c>
      <c r="G2566" s="9" t="str">
        <f ca="1">IFERROR(__xludf.DUMMYFUNCTION("""COMPUTED_VALUE"""),"1 USD = 104.8256 PKR")</f>
        <v>1 USD = 104.8256 PKR</v>
      </c>
      <c r="H2566" s="9" t="str">
        <f ca="1">IFERROR(__xludf.DUMMYFUNCTION("""COMPUTED_VALUE"""),"USD PKR rate for 06/01/2017")</f>
        <v>USD PKR rate for 06/01/2017</v>
      </c>
      <c r="I2566" s="9"/>
    </row>
    <row r="2567" spans="1:9" ht="14.25" customHeight="1" x14ac:dyDescent="0.3">
      <c r="A2567" s="6">
        <v>42284</v>
      </c>
      <c r="B2567" s="7">
        <v>104.5168</v>
      </c>
      <c r="C2567" s="8">
        <f t="shared" si="21"/>
        <v>124.9684581719921</v>
      </c>
      <c r="D2567" s="9">
        <f t="shared" si="20"/>
        <v>68.763408536124601</v>
      </c>
      <c r="E2567" s="9"/>
      <c r="F2567" s="9">
        <f ca="1">IFERROR(__xludf.DUMMYFUNCTION("""COMPUTED_VALUE"""),42740)</f>
        <v>42740</v>
      </c>
      <c r="G2567" s="9" t="str">
        <f ca="1">IFERROR(__xludf.DUMMYFUNCTION("""COMPUTED_VALUE"""),"1 USD = 103.6969 PKR")</f>
        <v>1 USD = 103.6969 PKR</v>
      </c>
      <c r="H2567" s="9" t="str">
        <f ca="1">IFERROR(__xludf.DUMMYFUNCTION("""COMPUTED_VALUE"""),"USD PKR rate for 05/01/2017")</f>
        <v>USD PKR rate for 05/01/2017</v>
      </c>
      <c r="I2567" s="9"/>
    </row>
    <row r="2568" spans="1:9" ht="14.25" customHeight="1" x14ac:dyDescent="0.3">
      <c r="A2568" s="6">
        <v>42285</v>
      </c>
      <c r="B2568" s="7">
        <v>104.4764</v>
      </c>
      <c r="C2568" s="8">
        <f t="shared" si="21"/>
        <v>124.99080875178824</v>
      </c>
      <c r="D2568" s="9">
        <f t="shared" si="20"/>
        <v>68.766146368921866</v>
      </c>
      <c r="E2568" s="9"/>
      <c r="F2568" s="9">
        <f ca="1">IFERROR(__xludf.DUMMYFUNCTION("""COMPUTED_VALUE"""),42739)</f>
        <v>42739</v>
      </c>
      <c r="G2568" s="9" t="str">
        <f ca="1">IFERROR(__xludf.DUMMYFUNCTION("""COMPUTED_VALUE"""),"1 USD = 104.198 PKR")</f>
        <v>1 USD = 104.198 PKR</v>
      </c>
      <c r="H2568" s="9" t="str">
        <f ca="1">IFERROR(__xludf.DUMMYFUNCTION("""COMPUTED_VALUE"""),"USD PKR rate for 04/01/2017")</f>
        <v>USD PKR rate for 04/01/2017</v>
      </c>
      <c r="I2568" s="9"/>
    </row>
    <row r="2569" spans="1:9" ht="14.25" customHeight="1" x14ac:dyDescent="0.3">
      <c r="A2569" s="6">
        <v>42286</v>
      </c>
      <c r="B2569" s="7">
        <v>104.4461</v>
      </c>
      <c r="C2569" s="8">
        <f t="shared" si="21"/>
        <v>125.0131633289804</v>
      </c>
      <c r="D2569" s="9">
        <f t="shared" si="20"/>
        <v>68.768884201719132</v>
      </c>
      <c r="E2569" s="9"/>
      <c r="F2569" s="9">
        <f ca="1">IFERROR(__xludf.DUMMYFUNCTION("""COMPUTED_VALUE"""),42738)</f>
        <v>42738</v>
      </c>
      <c r="G2569" s="9" t="str">
        <f ca="1">IFERROR(__xludf.DUMMYFUNCTION("""COMPUTED_VALUE"""),"1 USD = 104.692 PKR")</f>
        <v>1 USD = 104.692 PKR</v>
      </c>
      <c r="H2569" s="9" t="str">
        <f ca="1">IFERROR(__xludf.DUMMYFUNCTION("""COMPUTED_VALUE"""),"USD PKR rate for 03/01/2017")</f>
        <v>USD PKR rate for 03/01/2017</v>
      </c>
      <c r="I2569" s="9"/>
    </row>
    <row r="2570" spans="1:9" ht="14.25" customHeight="1" x14ac:dyDescent="0.3">
      <c r="A2570" s="6">
        <v>42287</v>
      </c>
      <c r="B2570" s="7">
        <v>104.4404</v>
      </c>
      <c r="C2570" s="8">
        <f t="shared" si="21"/>
        <v>125.03552190428351</v>
      </c>
      <c r="D2570" s="9">
        <f t="shared" si="20"/>
        <v>68.771622034516398</v>
      </c>
      <c r="E2570" s="9"/>
      <c r="F2570" s="9">
        <f ca="1">IFERROR(__xludf.DUMMYFUNCTION("""COMPUTED_VALUE"""),42737)</f>
        <v>42737</v>
      </c>
      <c r="G2570" s="9" t="str">
        <f ca="1">IFERROR(__xludf.DUMMYFUNCTION("""COMPUTED_VALUE"""),"1 USD = 104.4954 PKR")</f>
        <v>1 USD = 104.4954 PKR</v>
      </c>
      <c r="H2570" s="9" t="str">
        <f ca="1">IFERROR(__xludf.DUMMYFUNCTION("""COMPUTED_VALUE"""),"USD PKR rate for 02/01/2017")</f>
        <v>USD PKR rate for 02/01/2017</v>
      </c>
      <c r="I2570" s="9"/>
    </row>
    <row r="2571" spans="1:9" ht="14.25" customHeight="1" x14ac:dyDescent="0.3">
      <c r="A2571" s="6">
        <v>42288</v>
      </c>
      <c r="B2571" s="7">
        <v>104.4336</v>
      </c>
      <c r="C2571" s="8">
        <f t="shared" si="21"/>
        <v>125.05788447841263</v>
      </c>
      <c r="D2571" s="9">
        <f t="shared" si="20"/>
        <v>68.774359867313663</v>
      </c>
      <c r="E2571" s="9"/>
      <c r="F2571" s="9">
        <f ca="1">IFERROR(__xludf.DUMMYFUNCTION("""COMPUTED_VALUE"""),42736)</f>
        <v>42736</v>
      </c>
      <c r="G2571" s="9" t="str">
        <f ca="1">IFERROR(__xludf.DUMMYFUNCTION("""COMPUTED_VALUE"""),"1 USD = 104.7085 PKR")</f>
        <v>1 USD = 104.7085 PKR</v>
      </c>
      <c r="H2571" s="9" t="str">
        <f ca="1">IFERROR(__xludf.DUMMYFUNCTION("""COMPUTED_VALUE"""),"USD PKR rate for 01/01/2017")</f>
        <v>USD PKR rate for 01/01/2017</v>
      </c>
      <c r="I2571" s="9"/>
    </row>
    <row r="2572" spans="1:9" ht="14.25" customHeight="1" x14ac:dyDescent="0.3">
      <c r="A2572" s="6">
        <v>42289</v>
      </c>
      <c r="B2572" s="7">
        <v>104.4102</v>
      </c>
      <c r="C2572" s="8">
        <f t="shared" si="21"/>
        <v>125.08025105208296</v>
      </c>
      <c r="D2572" s="9">
        <f t="shared" si="20"/>
        <v>68.777097700110929</v>
      </c>
      <c r="E2572" s="9"/>
      <c r="F2572" s="9">
        <f ca="1">IFERROR(__xludf.DUMMYFUNCTION("""COMPUTED_VALUE"""),42735)</f>
        <v>42735</v>
      </c>
      <c r="G2572" s="9" t="str">
        <f ca="1">IFERROR(__xludf.DUMMYFUNCTION("""COMPUTED_VALUE"""),"1 USD = 104.7135 PKR")</f>
        <v>1 USD = 104.7135 PKR</v>
      </c>
      <c r="H2572" s="9" t="str">
        <f ca="1">IFERROR(__xludf.DUMMYFUNCTION("""COMPUTED_VALUE"""),"USD PKR rate for 31/12/2016")</f>
        <v>USD PKR rate for 31/12/2016</v>
      </c>
      <c r="I2572" s="9"/>
    </row>
    <row r="2573" spans="1:9" ht="14.25" customHeight="1" x14ac:dyDescent="0.3">
      <c r="A2573" s="6">
        <v>42290</v>
      </c>
      <c r="B2573" s="7">
        <v>104.41840000000001</v>
      </c>
      <c r="C2573" s="8">
        <f t="shared" si="21"/>
        <v>125.10262162600981</v>
      </c>
      <c r="D2573" s="9">
        <f t="shared" si="20"/>
        <v>68.779835532908194</v>
      </c>
      <c r="E2573" s="9"/>
      <c r="F2573" s="9">
        <f ca="1">IFERROR(__xludf.DUMMYFUNCTION("""COMPUTED_VALUE"""),42734)</f>
        <v>42734</v>
      </c>
      <c r="G2573" s="9" t="str">
        <f ca="1">IFERROR(__xludf.DUMMYFUNCTION("""COMPUTED_VALUE"""),"1 USD = 104.6638 PKR")</f>
        <v>1 USD = 104.6638 PKR</v>
      </c>
      <c r="H2573" s="9" t="str">
        <f ca="1">IFERROR(__xludf.DUMMYFUNCTION("""COMPUTED_VALUE"""),"USD PKR rate for 30/12/2016")</f>
        <v>USD PKR rate for 30/12/2016</v>
      </c>
      <c r="I2573" s="9"/>
    </row>
    <row r="2574" spans="1:9" ht="14.25" customHeight="1" x14ac:dyDescent="0.3">
      <c r="A2574" s="6">
        <v>42291</v>
      </c>
      <c r="B2574" s="7">
        <v>104.47539999999999</v>
      </c>
      <c r="C2574" s="8">
        <f t="shared" si="21"/>
        <v>125.12499620090863</v>
      </c>
      <c r="D2574" s="9">
        <f t="shared" si="20"/>
        <v>68.78257336570546</v>
      </c>
      <c r="E2574" s="9"/>
      <c r="F2574" s="9">
        <f ca="1">IFERROR(__xludf.DUMMYFUNCTION("""COMPUTED_VALUE"""),42733)</f>
        <v>42733</v>
      </c>
      <c r="G2574" s="9" t="str">
        <f ca="1">IFERROR(__xludf.DUMMYFUNCTION("""COMPUTED_VALUE"""),"1 USD = 104.4996 PKR")</f>
        <v>1 USD = 104.4996 PKR</v>
      </c>
      <c r="H2574" s="9" t="str">
        <f ca="1">IFERROR(__xludf.DUMMYFUNCTION("""COMPUTED_VALUE"""),"USD PKR rate for 29/12/2016")</f>
        <v>USD PKR rate for 29/12/2016</v>
      </c>
      <c r="I2574" s="9"/>
    </row>
    <row r="2575" spans="1:9" ht="14.25" customHeight="1" x14ac:dyDescent="0.3">
      <c r="A2575" s="6">
        <v>42292</v>
      </c>
      <c r="B2575" s="7">
        <v>104.337</v>
      </c>
      <c r="C2575" s="8">
        <f t="shared" si="21"/>
        <v>125.14737477749486</v>
      </c>
      <c r="D2575" s="9">
        <f t="shared" si="20"/>
        <v>68.785311198502725</v>
      </c>
      <c r="E2575" s="9"/>
      <c r="F2575" s="9">
        <f ca="1">IFERROR(__xludf.DUMMYFUNCTION("""COMPUTED_VALUE"""),42732)</f>
        <v>42732</v>
      </c>
      <c r="G2575" s="9" t="str">
        <f ca="1">IFERROR(__xludf.DUMMYFUNCTION("""COMPUTED_VALUE"""),"1 USD = 104.8548 PKR")</f>
        <v>1 USD = 104.8548 PKR</v>
      </c>
      <c r="H2575" s="9" t="str">
        <f ca="1">IFERROR(__xludf.DUMMYFUNCTION("""COMPUTED_VALUE"""),"USD PKR rate for 28/12/2016")</f>
        <v>USD PKR rate for 28/12/2016</v>
      </c>
      <c r="I2575" s="9"/>
    </row>
    <row r="2576" spans="1:9" ht="14.25" customHeight="1" x14ac:dyDescent="0.3">
      <c r="A2576" s="6">
        <v>42293</v>
      </c>
      <c r="B2576" s="7">
        <v>104.4393</v>
      </c>
      <c r="C2576" s="8">
        <f t="shared" si="21"/>
        <v>125.16975735648445</v>
      </c>
      <c r="D2576" s="9">
        <f t="shared" si="20"/>
        <v>68.788049031299991</v>
      </c>
      <c r="E2576" s="9"/>
      <c r="F2576" s="9">
        <f ca="1">IFERROR(__xludf.DUMMYFUNCTION("""COMPUTED_VALUE"""),42731)</f>
        <v>42731</v>
      </c>
      <c r="G2576" s="9" t="str">
        <f ca="1">IFERROR(__xludf.DUMMYFUNCTION("""COMPUTED_VALUE"""),"1 USD = 104.7275 PKR")</f>
        <v>1 USD = 104.7275 PKR</v>
      </c>
      <c r="H2576" s="9" t="str">
        <f ca="1">IFERROR(__xludf.DUMMYFUNCTION("""COMPUTED_VALUE"""),"USD PKR rate for 27/12/2016")</f>
        <v>USD PKR rate for 27/12/2016</v>
      </c>
      <c r="I2576" s="9"/>
    </row>
    <row r="2577" spans="1:9" ht="14.25" customHeight="1" x14ac:dyDescent="0.3">
      <c r="A2577" s="6">
        <v>42294</v>
      </c>
      <c r="B2577" s="7">
        <v>104.43340000000001</v>
      </c>
      <c r="C2577" s="8">
        <f t="shared" si="21"/>
        <v>125.19214393859312</v>
      </c>
      <c r="D2577" s="9">
        <f t="shared" si="20"/>
        <v>68.790786864097257</v>
      </c>
      <c r="E2577" s="9"/>
      <c r="F2577" s="9">
        <f ca="1">IFERROR(__xludf.DUMMYFUNCTION("""COMPUTED_VALUE"""),42730)</f>
        <v>42730</v>
      </c>
      <c r="G2577" s="9" t="str">
        <f ca="1">IFERROR(__xludf.DUMMYFUNCTION("""COMPUTED_VALUE"""),"1 USD = 104.7197 PKR")</f>
        <v>1 USD = 104.7197 PKR</v>
      </c>
      <c r="H2577" s="9" t="str">
        <f ca="1">IFERROR(__xludf.DUMMYFUNCTION("""COMPUTED_VALUE"""),"USD PKR rate for 26/12/2016")</f>
        <v>USD PKR rate for 26/12/2016</v>
      </c>
      <c r="I2577" s="9"/>
    </row>
    <row r="2578" spans="1:9" ht="14.25" customHeight="1" x14ac:dyDescent="0.3">
      <c r="A2578" s="6">
        <v>42295</v>
      </c>
      <c r="B2578" s="7">
        <v>104.3738</v>
      </c>
      <c r="C2578" s="8">
        <f t="shared" si="21"/>
        <v>125.21453452453679</v>
      </c>
      <c r="D2578" s="9">
        <f t="shared" si="20"/>
        <v>68.793524696894522</v>
      </c>
      <c r="E2578" s="9"/>
      <c r="F2578" s="9">
        <f ca="1">IFERROR(__xludf.DUMMYFUNCTION("""COMPUTED_VALUE"""),42729)</f>
        <v>42729</v>
      </c>
      <c r="G2578" s="9" t="str">
        <f ca="1">IFERROR(__xludf.DUMMYFUNCTION("""COMPUTED_VALUE"""),"1 USD = 104.8154 PKR")</f>
        <v>1 USD = 104.8154 PKR</v>
      </c>
      <c r="H2578" s="9" t="str">
        <f ca="1">IFERROR(__xludf.DUMMYFUNCTION("""COMPUTED_VALUE"""),"USD PKR rate for 25/12/2016")</f>
        <v>USD PKR rate for 25/12/2016</v>
      </c>
      <c r="I2578" s="9"/>
    </row>
    <row r="2579" spans="1:9" ht="14.25" customHeight="1" x14ac:dyDescent="0.3">
      <c r="A2579" s="6">
        <v>42296</v>
      </c>
      <c r="B2579" s="7">
        <v>104.41970000000002</v>
      </c>
      <c r="C2579" s="8">
        <f t="shared" si="21"/>
        <v>125.23692911503159</v>
      </c>
      <c r="D2579" s="9">
        <f t="shared" si="20"/>
        <v>68.796262529691788</v>
      </c>
      <c r="E2579" s="9"/>
      <c r="F2579" s="9">
        <f ca="1">IFERROR(__xludf.DUMMYFUNCTION("""COMPUTED_VALUE"""),42728)</f>
        <v>42728</v>
      </c>
      <c r="G2579" s="9" t="str">
        <f ca="1">IFERROR(__xludf.DUMMYFUNCTION("""COMPUTED_VALUE"""),"1 USD = 104.8669 PKR")</f>
        <v>1 USD = 104.8669 PKR</v>
      </c>
      <c r="H2579" s="9" t="str">
        <f ca="1">IFERROR(__xludf.DUMMYFUNCTION("""COMPUTED_VALUE"""),"USD PKR rate for 24/12/2016")</f>
        <v>USD PKR rate for 24/12/2016</v>
      </c>
      <c r="I2579" s="9"/>
    </row>
    <row r="2580" spans="1:9" ht="14.25" customHeight="1" x14ac:dyDescent="0.3">
      <c r="A2580" s="6">
        <v>42297</v>
      </c>
      <c r="B2580" s="7">
        <v>104.3913</v>
      </c>
      <c r="C2580" s="8">
        <f t="shared" si="21"/>
        <v>125.2593277107937</v>
      </c>
      <c r="D2580" s="9">
        <f t="shared" si="20"/>
        <v>68.799000362489053</v>
      </c>
      <c r="E2580" s="9"/>
      <c r="F2580" s="9">
        <f ca="1">IFERROR(__xludf.DUMMYFUNCTION("""COMPUTED_VALUE"""),42727)</f>
        <v>42727</v>
      </c>
      <c r="G2580" s="9" t="str">
        <f ca="1">IFERROR(__xludf.DUMMYFUNCTION("""COMPUTED_VALUE"""),"1 USD = 104.8569 PKR")</f>
        <v>1 USD = 104.8569 PKR</v>
      </c>
      <c r="H2580" s="9" t="str">
        <f ca="1">IFERROR(__xludf.DUMMYFUNCTION("""COMPUTED_VALUE"""),"USD PKR rate for 23/12/2016")</f>
        <v>USD PKR rate for 23/12/2016</v>
      </c>
      <c r="I2580" s="9"/>
    </row>
    <row r="2581" spans="1:9" ht="14.25" customHeight="1" x14ac:dyDescent="0.3">
      <c r="A2581" s="6">
        <v>42298</v>
      </c>
      <c r="B2581" s="7">
        <v>104.416</v>
      </c>
      <c r="C2581" s="8">
        <f t="shared" si="21"/>
        <v>125.28173031253948</v>
      </c>
      <c r="D2581" s="9">
        <f t="shared" si="20"/>
        <v>68.801738195286319</v>
      </c>
      <c r="E2581" s="9"/>
      <c r="F2581" s="9">
        <f ca="1">IFERROR(__xludf.DUMMYFUNCTION("""COMPUTED_VALUE"""),42726)</f>
        <v>42726</v>
      </c>
      <c r="G2581" s="9" t="str">
        <f ca="1">IFERROR(__xludf.DUMMYFUNCTION("""COMPUTED_VALUE"""),"1 USD = 104.9698 PKR")</f>
        <v>1 USD = 104.9698 PKR</v>
      </c>
      <c r="H2581" s="9" t="str">
        <f ca="1">IFERROR(__xludf.DUMMYFUNCTION("""COMPUTED_VALUE"""),"USD PKR rate for 22/12/2016")</f>
        <v>USD PKR rate for 22/12/2016</v>
      </c>
      <c r="I2581" s="9"/>
    </row>
    <row r="2582" spans="1:9" ht="14.25" customHeight="1" x14ac:dyDescent="0.3">
      <c r="A2582" s="6">
        <v>42299</v>
      </c>
      <c r="B2582" s="7">
        <v>104.4391</v>
      </c>
      <c r="C2582" s="8">
        <f t="shared" si="21"/>
        <v>125.30413692098539</v>
      </c>
      <c r="D2582" s="9">
        <f t="shared" si="20"/>
        <v>68.804476028083585</v>
      </c>
      <c r="E2582" s="9"/>
      <c r="F2582" s="9">
        <f ca="1">IFERROR(__xludf.DUMMYFUNCTION("""COMPUTED_VALUE"""),42725)</f>
        <v>42725</v>
      </c>
      <c r="G2582" s="9" t="str">
        <f ca="1">IFERROR(__xludf.DUMMYFUNCTION("""COMPUTED_VALUE"""),"1 USD = 104.6894 PKR")</f>
        <v>1 USD = 104.6894 PKR</v>
      </c>
      <c r="H2582" s="9" t="str">
        <f ca="1">IFERROR(__xludf.DUMMYFUNCTION("""COMPUTED_VALUE"""),"USD PKR rate for 21/12/2016")</f>
        <v>USD PKR rate for 21/12/2016</v>
      </c>
      <c r="I2582" s="9"/>
    </row>
    <row r="2583" spans="1:9" ht="14.25" customHeight="1" x14ac:dyDescent="0.3">
      <c r="A2583" s="6">
        <v>42300</v>
      </c>
      <c r="B2583" s="7">
        <v>104.4465</v>
      </c>
      <c r="C2583" s="8">
        <f t="shared" si="21"/>
        <v>125.32654753684801</v>
      </c>
      <c r="D2583" s="9">
        <f t="shared" si="20"/>
        <v>68.80721386088085</v>
      </c>
      <c r="E2583" s="9"/>
      <c r="F2583" s="9">
        <f ca="1">IFERROR(__xludf.DUMMYFUNCTION("""COMPUTED_VALUE"""),42724)</f>
        <v>42724</v>
      </c>
      <c r="G2583" s="9" t="str">
        <f ca="1">IFERROR(__xludf.DUMMYFUNCTION("""COMPUTED_VALUE"""),"1 USD = 104.7221 PKR")</f>
        <v>1 USD = 104.7221 PKR</v>
      </c>
      <c r="H2583" s="9" t="str">
        <f ca="1">IFERROR(__xludf.DUMMYFUNCTION("""COMPUTED_VALUE"""),"USD PKR rate for 20/12/2016")</f>
        <v>USD PKR rate for 20/12/2016</v>
      </c>
      <c r="I2583" s="9"/>
    </row>
    <row r="2584" spans="1:9" ht="14.25" customHeight="1" x14ac:dyDescent="0.3">
      <c r="A2584" s="6">
        <v>42301</v>
      </c>
      <c r="B2584" s="7">
        <v>104.461</v>
      </c>
      <c r="C2584" s="8">
        <f t="shared" si="21"/>
        <v>125.34896216084401</v>
      </c>
      <c r="D2584" s="9">
        <f t="shared" si="20"/>
        <v>68.809951693678116</v>
      </c>
      <c r="E2584" s="9"/>
      <c r="F2584" s="9">
        <f ca="1">IFERROR(__xludf.DUMMYFUNCTION("""COMPUTED_VALUE"""),42723)</f>
        <v>42723</v>
      </c>
      <c r="G2584" s="9" t="str">
        <f ca="1">IFERROR(__xludf.DUMMYFUNCTION("""COMPUTED_VALUE"""),"1 USD = 104.8224 PKR")</f>
        <v>1 USD = 104.8224 PKR</v>
      </c>
      <c r="H2584" s="9" t="str">
        <f ca="1">IFERROR(__xludf.DUMMYFUNCTION("""COMPUTED_VALUE"""),"USD PKR rate for 19/12/2016")</f>
        <v>USD PKR rate for 19/12/2016</v>
      </c>
      <c r="I2584" s="9"/>
    </row>
    <row r="2585" spans="1:9" ht="14.25" customHeight="1" x14ac:dyDescent="0.3">
      <c r="A2585" s="6">
        <v>42302</v>
      </c>
      <c r="B2585" s="7">
        <v>104.44110000000001</v>
      </c>
      <c r="C2585" s="8">
        <f t="shared" si="21"/>
        <v>125.37138079369041</v>
      </c>
      <c r="D2585" s="9">
        <f t="shared" si="20"/>
        <v>68.812689526475381</v>
      </c>
      <c r="E2585" s="9"/>
      <c r="F2585" s="9">
        <f ca="1">IFERROR(__xludf.DUMMYFUNCTION("""COMPUTED_VALUE"""),42722)</f>
        <v>42722</v>
      </c>
      <c r="G2585" s="9" t="str">
        <f ca="1">IFERROR(__xludf.DUMMYFUNCTION("""COMPUTED_VALUE"""),"1 USD = 104.8123 PKR")</f>
        <v>1 USD = 104.8123 PKR</v>
      </c>
      <c r="H2585" s="9" t="str">
        <f ca="1">IFERROR(__xludf.DUMMYFUNCTION("""COMPUTED_VALUE"""),"USD PKR rate for 18/12/2016")</f>
        <v>USD PKR rate for 18/12/2016</v>
      </c>
      <c r="I2585" s="9"/>
    </row>
    <row r="2586" spans="1:9" ht="14.25" customHeight="1" x14ac:dyDescent="0.3">
      <c r="A2586" s="6">
        <v>42303</v>
      </c>
      <c r="B2586" s="7">
        <v>104.4742</v>
      </c>
      <c r="C2586" s="8">
        <f t="shared" si="21"/>
        <v>125.39380343610411</v>
      </c>
      <c r="D2586" s="9">
        <f t="shared" si="20"/>
        <v>68.815427359272647</v>
      </c>
      <c r="E2586" s="9"/>
      <c r="F2586" s="9">
        <f ca="1">IFERROR(__xludf.DUMMYFUNCTION("""COMPUTED_VALUE"""),42721)</f>
        <v>42721</v>
      </c>
      <c r="G2586" s="9" t="str">
        <f ca="1">IFERROR(__xludf.DUMMYFUNCTION("""COMPUTED_VALUE"""),"1 USD = 104.7344 PKR")</f>
        <v>1 USD = 104.7344 PKR</v>
      </c>
      <c r="H2586" s="9" t="str">
        <f ca="1">IFERROR(__xludf.DUMMYFUNCTION("""COMPUTED_VALUE"""),"USD PKR rate for 17/12/2016")</f>
        <v>USD PKR rate for 17/12/2016</v>
      </c>
      <c r="I2586" s="9"/>
    </row>
    <row r="2587" spans="1:9" ht="14.25" customHeight="1" x14ac:dyDescent="0.3">
      <c r="A2587" s="6">
        <v>42304</v>
      </c>
      <c r="B2587" s="7">
        <v>104.8173</v>
      </c>
      <c r="C2587" s="8">
        <f t="shared" si="21"/>
        <v>125.41623008880219</v>
      </c>
      <c r="D2587" s="9">
        <f t="shared" si="20"/>
        <v>68.818165192069912</v>
      </c>
      <c r="E2587" s="9"/>
      <c r="F2587" s="9">
        <f ca="1">IFERROR(__xludf.DUMMYFUNCTION("""COMPUTED_VALUE"""),42720)</f>
        <v>42720</v>
      </c>
      <c r="G2587" s="9" t="str">
        <f ca="1">IFERROR(__xludf.DUMMYFUNCTION("""COMPUTED_VALUE"""),"1 USD = 104.7344 PKR")</f>
        <v>1 USD = 104.7344 PKR</v>
      </c>
      <c r="H2587" s="9" t="str">
        <f ca="1">IFERROR(__xludf.DUMMYFUNCTION("""COMPUTED_VALUE"""),"USD PKR rate for 16/12/2016")</f>
        <v>USD PKR rate for 16/12/2016</v>
      </c>
      <c r="I2587" s="9"/>
    </row>
    <row r="2588" spans="1:9" ht="14.25" customHeight="1" x14ac:dyDescent="0.3">
      <c r="A2588" s="6">
        <v>42305</v>
      </c>
      <c r="B2588" s="7">
        <v>104.98009999999999</v>
      </c>
      <c r="C2588" s="8">
        <f t="shared" si="21"/>
        <v>125.43866075250193</v>
      </c>
      <c r="D2588" s="9">
        <f t="shared" si="20"/>
        <v>68.820903024867178</v>
      </c>
      <c r="E2588" s="9"/>
      <c r="F2588" s="9">
        <f ca="1">IFERROR(__xludf.DUMMYFUNCTION("""COMPUTED_VALUE"""),42719)</f>
        <v>42719</v>
      </c>
      <c r="G2588" s="9" t="str">
        <f ca="1">IFERROR(__xludf.DUMMYFUNCTION("""COMPUTED_VALUE"""),"1 USD = 104.7245 PKR")</f>
        <v>1 USD = 104.7245 PKR</v>
      </c>
      <c r="H2588" s="9" t="str">
        <f ca="1">IFERROR(__xludf.DUMMYFUNCTION("""COMPUTED_VALUE"""),"USD PKR rate for 15/12/2016")</f>
        <v>USD PKR rate for 15/12/2016</v>
      </c>
      <c r="I2588" s="9"/>
    </row>
    <row r="2589" spans="1:9" ht="14.25" customHeight="1" x14ac:dyDescent="0.3">
      <c r="A2589" s="6">
        <v>42306</v>
      </c>
      <c r="B2589" s="7">
        <v>105.34829999999999</v>
      </c>
      <c r="C2589" s="8">
        <f t="shared" si="21"/>
        <v>125.46109542792068</v>
      </c>
      <c r="D2589" s="9">
        <f t="shared" si="20"/>
        <v>68.823640857664444</v>
      </c>
      <c r="E2589" s="9"/>
      <c r="F2589" s="9">
        <f ca="1">IFERROR(__xludf.DUMMYFUNCTION("""COMPUTED_VALUE"""),42718)</f>
        <v>42718</v>
      </c>
      <c r="G2589" s="9" t="str">
        <f ca="1">IFERROR(__xludf.DUMMYFUNCTION("""COMPUTED_VALUE"""),"1 USD = 104.8644 PKR")</f>
        <v>1 USD = 104.8644 PKR</v>
      </c>
      <c r="H2589" s="9" t="str">
        <f ca="1">IFERROR(__xludf.DUMMYFUNCTION("""COMPUTED_VALUE"""),"USD PKR rate for 14/12/2016")</f>
        <v>USD PKR rate for 14/12/2016</v>
      </c>
      <c r="I2589" s="9"/>
    </row>
    <row r="2590" spans="1:9" ht="14.25" customHeight="1" x14ac:dyDescent="0.3">
      <c r="A2590" s="6">
        <v>42307</v>
      </c>
      <c r="B2590" s="7">
        <v>105.55929999999999</v>
      </c>
      <c r="C2590" s="8">
        <f t="shared" si="21"/>
        <v>125.48353411577592</v>
      </c>
      <c r="D2590" s="9">
        <f t="shared" si="20"/>
        <v>68.826378690461709</v>
      </c>
      <c r="E2590" s="9"/>
      <c r="F2590" s="9">
        <f ca="1">IFERROR(__xludf.DUMMYFUNCTION("""COMPUTED_VALUE"""),42717)</f>
        <v>42717</v>
      </c>
      <c r="G2590" s="9" t="str">
        <f ca="1">IFERROR(__xludf.DUMMYFUNCTION("""COMPUTED_VALUE"""),"1 USD = 104.7593 PKR")</f>
        <v>1 USD = 104.7593 PKR</v>
      </c>
      <c r="H2590" s="9" t="str">
        <f ca="1">IFERROR(__xludf.DUMMYFUNCTION("""COMPUTED_VALUE"""),"USD PKR rate for 13/12/2016")</f>
        <v>USD PKR rate for 13/12/2016</v>
      </c>
      <c r="I2590" s="9"/>
    </row>
    <row r="2591" spans="1:9" ht="14.25" customHeight="1" x14ac:dyDescent="0.3">
      <c r="A2591" s="6">
        <v>42308</v>
      </c>
      <c r="B2591" s="7">
        <v>105.55929999999999</v>
      </c>
      <c r="C2591" s="8">
        <f t="shared" si="21"/>
        <v>125.50597681678531</v>
      </c>
      <c r="D2591" s="9">
        <f t="shared" si="20"/>
        <v>68.829116523258975</v>
      </c>
      <c r="E2591" s="9"/>
      <c r="F2591" s="9">
        <f ca="1">IFERROR(__xludf.DUMMYFUNCTION("""COMPUTED_VALUE"""),42716)</f>
        <v>42716</v>
      </c>
      <c r="G2591" s="9" t="str">
        <f ca="1">IFERROR(__xludf.DUMMYFUNCTION("""COMPUTED_VALUE"""),"1 USD = 104.7557 PKR")</f>
        <v>1 USD = 104.7557 PKR</v>
      </c>
      <c r="H2591" s="9" t="str">
        <f ca="1">IFERROR(__xludf.DUMMYFUNCTION("""COMPUTED_VALUE"""),"USD PKR rate for 12/12/2016")</f>
        <v>USD PKR rate for 12/12/2016</v>
      </c>
      <c r="I2591" s="9"/>
    </row>
    <row r="2592" spans="1:9" ht="14.25" customHeight="1" x14ac:dyDescent="0.3">
      <c r="A2592" s="6">
        <v>42309</v>
      </c>
      <c r="B2592" s="7">
        <v>105.3442</v>
      </c>
      <c r="C2592" s="8">
        <f t="shared" si="21"/>
        <v>125.52842353166655</v>
      </c>
      <c r="D2592" s="9">
        <f t="shared" si="20"/>
        <v>68.83185435605624</v>
      </c>
      <c r="E2592" s="9"/>
      <c r="F2592" s="9">
        <f ca="1">IFERROR(__xludf.DUMMYFUNCTION("""COMPUTED_VALUE"""),42715)</f>
        <v>42715</v>
      </c>
      <c r="G2592" s="9" t="str">
        <f ca="1">IFERROR(__xludf.DUMMYFUNCTION("""COMPUTED_VALUE"""),"1 USD = 104.8415 PKR")</f>
        <v>1 USD = 104.8415 PKR</v>
      </c>
      <c r="H2592" s="9" t="str">
        <f ca="1">IFERROR(__xludf.DUMMYFUNCTION("""COMPUTED_VALUE"""),"USD PKR rate for 11/12/2016")</f>
        <v>USD PKR rate for 11/12/2016</v>
      </c>
      <c r="I2592" s="9"/>
    </row>
    <row r="2593" spans="1:9" ht="14.25" customHeight="1" x14ac:dyDescent="0.3">
      <c r="A2593" s="6">
        <v>42310</v>
      </c>
      <c r="B2593" s="7">
        <v>105.41490000000002</v>
      </c>
      <c r="C2593" s="8">
        <f t="shared" si="21"/>
        <v>125.55087426113744</v>
      </c>
      <c r="D2593" s="9">
        <f t="shared" si="20"/>
        <v>68.834592188853506</v>
      </c>
      <c r="E2593" s="9"/>
      <c r="F2593" s="9">
        <f ca="1">IFERROR(__xludf.DUMMYFUNCTION("""COMPUTED_VALUE"""),42714)</f>
        <v>42714</v>
      </c>
      <c r="G2593" s="9" t="str">
        <f ca="1">IFERROR(__xludf.DUMMYFUNCTION("""COMPUTED_VALUE"""),"1 USD = 105.1331 PKR")</f>
        <v>1 USD = 105.1331 PKR</v>
      </c>
      <c r="H2593" s="9" t="str">
        <f ca="1">IFERROR(__xludf.DUMMYFUNCTION("""COMPUTED_VALUE"""),"USD PKR rate for 10/12/2016")</f>
        <v>USD PKR rate for 10/12/2016</v>
      </c>
      <c r="I2593" s="9"/>
    </row>
    <row r="2594" spans="1:9" ht="14.25" customHeight="1" x14ac:dyDescent="0.3">
      <c r="A2594" s="6">
        <v>42311</v>
      </c>
      <c r="B2594" s="7">
        <v>105.43900000000001</v>
      </c>
      <c r="C2594" s="8">
        <f t="shared" si="21"/>
        <v>125.57332900591622</v>
      </c>
      <c r="D2594" s="9">
        <f t="shared" si="20"/>
        <v>68.837330021650772</v>
      </c>
      <c r="E2594" s="9"/>
      <c r="F2594" s="9">
        <f ca="1">IFERROR(__xludf.DUMMYFUNCTION("""COMPUTED_VALUE"""),42713)</f>
        <v>42713</v>
      </c>
      <c r="G2594" s="9" t="str">
        <f ca="1">IFERROR(__xludf.DUMMYFUNCTION("""COMPUTED_VALUE"""),"1 USD = 104.905 PKR")</f>
        <v>1 USD = 104.905 PKR</v>
      </c>
      <c r="H2594" s="9" t="str">
        <f ca="1">IFERROR(__xludf.DUMMYFUNCTION("""COMPUTED_VALUE"""),"USD PKR rate for 09/12/2016")</f>
        <v>USD PKR rate for 09/12/2016</v>
      </c>
      <c r="I2594" s="9"/>
    </row>
    <row r="2595" spans="1:9" ht="14.25" customHeight="1" x14ac:dyDescent="0.3">
      <c r="A2595" s="6">
        <v>42312</v>
      </c>
      <c r="B2595" s="7">
        <v>105.0307</v>
      </c>
      <c r="C2595" s="8">
        <f t="shared" si="21"/>
        <v>125.59578776672089</v>
      </c>
      <c r="D2595" s="9">
        <f t="shared" si="20"/>
        <v>68.840067854448037</v>
      </c>
      <c r="E2595" s="9"/>
      <c r="F2595" s="9">
        <f ca="1">IFERROR(__xludf.DUMMYFUNCTION("""COMPUTED_VALUE"""),42712)</f>
        <v>42712</v>
      </c>
      <c r="G2595" s="9" t="str">
        <f ca="1">IFERROR(__xludf.DUMMYFUNCTION("""COMPUTED_VALUE"""),"1 USD = 105.0602 PKR")</f>
        <v>1 USD = 105.0602 PKR</v>
      </c>
      <c r="H2595" s="9" t="str">
        <f ca="1">IFERROR(__xludf.DUMMYFUNCTION("""COMPUTED_VALUE"""),"USD PKR rate for 08/12/2016")</f>
        <v>USD PKR rate for 08/12/2016</v>
      </c>
      <c r="I2595" s="9"/>
    </row>
    <row r="2596" spans="1:9" ht="14.25" customHeight="1" x14ac:dyDescent="0.3">
      <c r="A2596" s="6">
        <v>42313</v>
      </c>
      <c r="B2596" s="7">
        <v>105.48439999999999</v>
      </c>
      <c r="C2596" s="8">
        <f t="shared" si="21"/>
        <v>125.61825054426973</v>
      </c>
      <c r="D2596" s="9">
        <f t="shared" si="20"/>
        <v>68.842805687245303</v>
      </c>
      <c r="E2596" s="9"/>
      <c r="F2596" s="9">
        <f ca="1">IFERROR(__xludf.DUMMYFUNCTION("""COMPUTED_VALUE"""),42711)</f>
        <v>42711</v>
      </c>
      <c r="G2596" s="9" t="str">
        <f ca="1">IFERROR(__xludf.DUMMYFUNCTION("""COMPUTED_VALUE"""),"1 USD = 104.6592 PKR")</f>
        <v>1 USD = 104.6592 PKR</v>
      </c>
      <c r="H2596" s="9" t="str">
        <f ca="1">IFERROR(__xludf.DUMMYFUNCTION("""COMPUTED_VALUE"""),"USD PKR rate for 07/12/2016")</f>
        <v>USD PKR rate for 07/12/2016</v>
      </c>
      <c r="I2596" s="9"/>
    </row>
    <row r="2597" spans="1:9" ht="14.25" customHeight="1" x14ac:dyDescent="0.3">
      <c r="A2597" s="6">
        <v>42314</v>
      </c>
      <c r="B2597" s="7">
        <v>105.47920000000002</v>
      </c>
      <c r="C2597" s="8">
        <f t="shared" si="21"/>
        <v>125.64071733928112</v>
      </c>
      <c r="D2597" s="9">
        <f t="shared" si="20"/>
        <v>68.845543520042568</v>
      </c>
      <c r="E2597" s="9"/>
      <c r="F2597" s="9">
        <f ca="1">IFERROR(__xludf.DUMMYFUNCTION("""COMPUTED_VALUE"""),42710)</f>
        <v>42710</v>
      </c>
      <c r="G2597" s="9" t="str">
        <f ca="1">IFERROR(__xludf.DUMMYFUNCTION("""COMPUTED_VALUE"""),"1 USD = 104.9163 PKR")</f>
        <v>1 USD = 104.9163 PKR</v>
      </c>
      <c r="H2597" s="9" t="str">
        <f ca="1">IFERROR(__xludf.DUMMYFUNCTION("""COMPUTED_VALUE"""),"USD PKR rate for 06/12/2016")</f>
        <v>USD PKR rate for 06/12/2016</v>
      </c>
      <c r="I2597" s="9"/>
    </row>
    <row r="2598" spans="1:9" ht="14.25" customHeight="1" x14ac:dyDescent="0.3">
      <c r="A2598" s="6">
        <v>42315</v>
      </c>
      <c r="B2598" s="7">
        <v>105.42529999999999</v>
      </c>
      <c r="C2598" s="8">
        <f t="shared" si="21"/>
        <v>125.66318815247362</v>
      </c>
      <c r="D2598" s="9">
        <f t="shared" si="20"/>
        <v>68.848281352839834</v>
      </c>
      <c r="E2598" s="9"/>
      <c r="F2598" s="9">
        <f ca="1">IFERROR(__xludf.DUMMYFUNCTION("""COMPUTED_VALUE"""),42709)</f>
        <v>42709</v>
      </c>
      <c r="G2598" s="9" t="str">
        <f ca="1">IFERROR(__xludf.DUMMYFUNCTION("""COMPUTED_VALUE"""),"1 USD = 104.56 PKR")</f>
        <v>1 USD = 104.56 PKR</v>
      </c>
      <c r="H2598" s="9" t="str">
        <f ca="1">IFERROR(__xludf.DUMMYFUNCTION("""COMPUTED_VALUE"""),"USD PKR rate for 05/12/2016")</f>
        <v>USD PKR rate for 05/12/2016</v>
      </c>
      <c r="I2598" s="9"/>
    </row>
    <row r="2599" spans="1:9" ht="14.25" customHeight="1" x14ac:dyDescent="0.3">
      <c r="A2599" s="6">
        <v>42316</v>
      </c>
      <c r="B2599" s="7">
        <v>105.4599</v>
      </c>
      <c r="C2599" s="8">
        <f t="shared" si="21"/>
        <v>125.68566298456584</v>
      </c>
      <c r="D2599" s="9">
        <f t="shared" si="20"/>
        <v>68.851019185637099</v>
      </c>
      <c r="E2599" s="9"/>
      <c r="F2599" s="9">
        <f ca="1">IFERROR(__xludf.DUMMYFUNCTION("""COMPUTED_VALUE"""),42708)</f>
        <v>42708</v>
      </c>
      <c r="G2599" s="9" t="str">
        <f ca="1">IFERROR(__xludf.DUMMYFUNCTION("""COMPUTED_VALUE"""),"1 USD = 104.6225 PKR")</f>
        <v>1 USD = 104.6225 PKR</v>
      </c>
      <c r="H2599" s="9" t="str">
        <f ca="1">IFERROR(__xludf.DUMMYFUNCTION("""COMPUTED_VALUE"""),"USD PKR rate for 04/12/2016")</f>
        <v>USD PKR rate for 04/12/2016</v>
      </c>
      <c r="I2599" s="9"/>
    </row>
    <row r="2600" spans="1:9" ht="14.25" customHeight="1" x14ac:dyDescent="0.3">
      <c r="A2600" s="6">
        <v>42317</v>
      </c>
      <c r="B2600" s="7">
        <v>105.5367</v>
      </c>
      <c r="C2600" s="8">
        <f t="shared" si="21"/>
        <v>125.70814183627657</v>
      </c>
      <c r="D2600" s="9">
        <f t="shared" si="20"/>
        <v>68.853757018434365</v>
      </c>
      <c r="E2600" s="9"/>
      <c r="F2600" s="9">
        <f ca="1">IFERROR(__xludf.DUMMYFUNCTION("""COMPUTED_VALUE"""),42707)</f>
        <v>42707</v>
      </c>
      <c r="G2600" s="9" t="str">
        <f ca="1">IFERROR(__xludf.DUMMYFUNCTION("""COMPUTED_VALUE"""),"1 USD = 104.772 PKR")</f>
        <v>1 USD = 104.772 PKR</v>
      </c>
      <c r="H2600" s="9" t="str">
        <f ca="1">IFERROR(__xludf.DUMMYFUNCTION("""COMPUTED_VALUE"""),"USD PKR rate for 03/12/2016")</f>
        <v>USD PKR rate for 03/12/2016</v>
      </c>
      <c r="I2600" s="9"/>
    </row>
    <row r="2601" spans="1:9" ht="14.25" customHeight="1" x14ac:dyDescent="0.3">
      <c r="A2601" s="6">
        <v>42318</v>
      </c>
      <c r="B2601" s="7">
        <v>105.54389999999999</v>
      </c>
      <c r="C2601" s="8">
        <f t="shared" si="21"/>
        <v>125.73062470832473</v>
      </c>
      <c r="D2601" s="9">
        <f t="shared" si="20"/>
        <v>68.856494851231631</v>
      </c>
      <c r="E2601" s="9"/>
      <c r="F2601" s="9">
        <f ca="1">IFERROR(__xludf.DUMMYFUNCTION("""COMPUTED_VALUE"""),42706)</f>
        <v>42706</v>
      </c>
      <c r="G2601" s="9" t="str">
        <f ca="1">IFERROR(__xludf.DUMMYFUNCTION("""COMPUTED_VALUE"""),"1 USD = 104.8877 PKR")</f>
        <v>1 USD = 104.8877 PKR</v>
      </c>
      <c r="H2601" s="9" t="str">
        <f ca="1">IFERROR(__xludf.DUMMYFUNCTION("""COMPUTED_VALUE"""),"USD PKR rate for 02/12/2016")</f>
        <v>USD PKR rate for 02/12/2016</v>
      </c>
      <c r="I2601" s="9"/>
    </row>
    <row r="2602" spans="1:9" ht="14.25" customHeight="1" x14ac:dyDescent="0.3">
      <c r="A2602" s="6">
        <v>42319</v>
      </c>
      <c r="B2602" s="7">
        <v>105.4324</v>
      </c>
      <c r="C2602" s="8">
        <f t="shared" si="21"/>
        <v>125.75311160142923</v>
      </c>
      <c r="D2602" s="9">
        <f t="shared" si="20"/>
        <v>68.859232684028896</v>
      </c>
      <c r="E2602" s="9"/>
      <c r="F2602" s="9">
        <f ca="1">IFERROR(__xludf.DUMMYFUNCTION("""COMPUTED_VALUE"""),42705)</f>
        <v>42705</v>
      </c>
      <c r="G2602" s="9" t="str">
        <f ca="1">IFERROR(__xludf.DUMMYFUNCTION("""COMPUTED_VALUE"""),"1 USD = 104.6661 PKR")</f>
        <v>1 USD = 104.6661 PKR</v>
      </c>
      <c r="H2602" s="9" t="str">
        <f ca="1">IFERROR(__xludf.DUMMYFUNCTION("""COMPUTED_VALUE"""),"USD PKR rate for 01/12/2016")</f>
        <v>USD PKR rate for 01/12/2016</v>
      </c>
      <c r="I2602" s="9"/>
    </row>
    <row r="2603" spans="1:9" ht="14.25" customHeight="1" x14ac:dyDescent="0.3">
      <c r="A2603" s="6">
        <v>42320</v>
      </c>
      <c r="B2603" s="7">
        <v>105.14</v>
      </c>
      <c r="C2603" s="8">
        <f t="shared" si="21"/>
        <v>125.77560251630945</v>
      </c>
      <c r="D2603" s="9">
        <f t="shared" si="20"/>
        <v>68.861970516826162</v>
      </c>
      <c r="E2603" s="9"/>
      <c r="F2603" s="9">
        <f ca="1">IFERROR(__xludf.DUMMYFUNCTION("""COMPUTED_VALUE"""),42704)</f>
        <v>42704</v>
      </c>
      <c r="G2603" s="9" t="str">
        <f ca="1">IFERROR(__xludf.DUMMYFUNCTION("""COMPUTED_VALUE"""),"1 USD = 104.7994 PKR")</f>
        <v>1 USD = 104.7994 PKR</v>
      </c>
      <c r="H2603" s="9" t="str">
        <f ca="1">IFERROR(__xludf.DUMMYFUNCTION("""COMPUTED_VALUE"""),"USD PKR rate for 30/11/2016")</f>
        <v>USD PKR rate for 30/11/2016</v>
      </c>
      <c r="I2603" s="9"/>
    </row>
    <row r="2604" spans="1:9" ht="14.25" customHeight="1" x14ac:dyDescent="0.3">
      <c r="A2604" s="6">
        <v>42321</v>
      </c>
      <c r="B2604" s="7">
        <v>105.15</v>
      </c>
      <c r="C2604" s="8">
        <f t="shared" si="21"/>
        <v>125.7980974536846</v>
      </c>
      <c r="D2604" s="9">
        <f t="shared" si="20"/>
        <v>68.864708349623427</v>
      </c>
      <c r="E2604" s="9"/>
      <c r="F2604" s="9">
        <f ca="1">IFERROR(__xludf.DUMMYFUNCTION("""COMPUTED_VALUE"""),42703)</f>
        <v>42703</v>
      </c>
      <c r="G2604" s="9" t="str">
        <f ca="1">IFERROR(__xludf.DUMMYFUNCTION("""COMPUTED_VALUE"""),"1 USD = 104.6815 PKR")</f>
        <v>1 USD = 104.6815 PKR</v>
      </c>
      <c r="H2604" s="9" t="str">
        <f ca="1">IFERROR(__xludf.DUMMYFUNCTION("""COMPUTED_VALUE"""),"USD PKR rate for 29/11/2016")</f>
        <v>USD PKR rate for 29/11/2016</v>
      </c>
      <c r="I2604" s="9"/>
    </row>
    <row r="2605" spans="1:9" ht="14.25" customHeight="1" x14ac:dyDescent="0.3">
      <c r="A2605" s="6">
        <v>42322</v>
      </c>
      <c r="B2605" s="7">
        <v>105.2085</v>
      </c>
      <c r="C2605" s="8">
        <f t="shared" si="21"/>
        <v>125.82059641427409</v>
      </c>
      <c r="D2605" s="9">
        <f t="shared" si="20"/>
        <v>68.867446182420693</v>
      </c>
      <c r="E2605" s="9"/>
      <c r="F2605" s="9">
        <f ca="1">IFERROR(__xludf.DUMMYFUNCTION("""COMPUTED_VALUE"""),42702)</f>
        <v>42702</v>
      </c>
      <c r="G2605" s="9" t="str">
        <f ca="1">IFERROR(__xludf.DUMMYFUNCTION("""COMPUTED_VALUE"""),"1 USD = 104.7997 PKR")</f>
        <v>1 USD = 104.7997 PKR</v>
      </c>
      <c r="H2605" s="9" t="str">
        <f ca="1">IFERROR(__xludf.DUMMYFUNCTION("""COMPUTED_VALUE"""),"USD PKR rate for 28/11/2016")</f>
        <v>USD PKR rate for 28/11/2016</v>
      </c>
      <c r="I2605" s="9"/>
    </row>
    <row r="2606" spans="1:9" ht="14.25" customHeight="1" x14ac:dyDescent="0.3">
      <c r="A2606" s="6">
        <v>42323</v>
      </c>
      <c r="B2606" s="7">
        <v>105.40350000000001</v>
      </c>
      <c r="C2606" s="8">
        <f t="shared" si="21"/>
        <v>125.84309939879748</v>
      </c>
      <c r="D2606" s="9">
        <f t="shared" si="20"/>
        <v>68.870184015217959</v>
      </c>
      <c r="E2606" s="9"/>
      <c r="F2606" s="9">
        <f ca="1">IFERROR(__xludf.DUMMYFUNCTION("""COMPUTED_VALUE"""),42701)</f>
        <v>42701</v>
      </c>
      <c r="G2606" s="9" t="str">
        <f ca="1">IFERROR(__xludf.DUMMYFUNCTION("""COMPUTED_VALUE"""),"1 USD = 104.6859 PKR")</f>
        <v>1 USD = 104.6859 PKR</v>
      </c>
      <c r="H2606" s="9" t="str">
        <f ca="1">IFERROR(__xludf.DUMMYFUNCTION("""COMPUTED_VALUE"""),"USD PKR rate for 27/11/2016")</f>
        <v>USD PKR rate for 27/11/2016</v>
      </c>
      <c r="I2606" s="9"/>
    </row>
    <row r="2607" spans="1:9" ht="14.25" customHeight="1" x14ac:dyDescent="0.3">
      <c r="A2607" s="6">
        <v>42324</v>
      </c>
      <c r="B2607" s="7">
        <v>105.4616</v>
      </c>
      <c r="C2607" s="8">
        <f t="shared" si="21"/>
        <v>125.86560640797443</v>
      </c>
      <c r="D2607" s="9">
        <f t="shared" si="20"/>
        <v>68.872921848015224</v>
      </c>
      <c r="E2607" s="9"/>
      <c r="F2607" s="9">
        <f ca="1">IFERROR(__xludf.DUMMYFUNCTION("""COMPUTED_VALUE"""),42700)</f>
        <v>42700</v>
      </c>
      <c r="G2607" s="9" t="str">
        <f ca="1">IFERROR(__xludf.DUMMYFUNCTION("""COMPUTED_VALUE"""),"1 USD = 104.8635 PKR")</f>
        <v>1 USD = 104.8635 PKR</v>
      </c>
      <c r="H2607" s="9" t="str">
        <f ca="1">IFERROR(__xludf.DUMMYFUNCTION("""COMPUTED_VALUE"""),"USD PKR rate for 26/11/2016")</f>
        <v>USD PKR rate for 26/11/2016</v>
      </c>
      <c r="I2607" s="9"/>
    </row>
    <row r="2608" spans="1:9" ht="14.25" customHeight="1" x14ac:dyDescent="0.3">
      <c r="A2608" s="6">
        <v>42325</v>
      </c>
      <c r="B2608" s="7">
        <v>105.4802</v>
      </c>
      <c r="C2608" s="8">
        <f t="shared" si="21"/>
        <v>125.88811744252487</v>
      </c>
      <c r="D2608" s="9">
        <f t="shared" si="20"/>
        <v>68.875659680812504</v>
      </c>
      <c r="E2608" s="9"/>
      <c r="F2608" s="9">
        <f ca="1">IFERROR(__xludf.DUMMYFUNCTION("""COMPUTED_VALUE"""),42699)</f>
        <v>42699</v>
      </c>
      <c r="G2608" s="9" t="str">
        <f ca="1">IFERROR(__xludf.DUMMYFUNCTION("""COMPUTED_VALUE"""),"1 USD = 105.0215 PKR")</f>
        <v>1 USD = 105.0215 PKR</v>
      </c>
      <c r="H2608" s="9" t="str">
        <f ca="1">IFERROR(__xludf.DUMMYFUNCTION("""COMPUTED_VALUE"""),"USD PKR rate for 25/11/2016")</f>
        <v>USD PKR rate for 25/11/2016</v>
      </c>
      <c r="I2608" s="9"/>
    </row>
    <row r="2609" spans="1:9" ht="14.25" customHeight="1" x14ac:dyDescent="0.3">
      <c r="A2609" s="6">
        <v>42326</v>
      </c>
      <c r="B2609" s="7">
        <v>105.44580000000001</v>
      </c>
      <c r="C2609" s="8">
        <f t="shared" si="21"/>
        <v>125.91063250316853</v>
      </c>
      <c r="D2609" s="9">
        <f t="shared" si="20"/>
        <v>68.878397513609769</v>
      </c>
      <c r="E2609" s="9"/>
      <c r="F2609" s="9">
        <f ca="1">IFERROR(__xludf.DUMMYFUNCTION("""COMPUTED_VALUE"""),42698)</f>
        <v>42698</v>
      </c>
      <c r="G2609" s="9" t="str">
        <f ca="1">IFERROR(__xludf.DUMMYFUNCTION("""COMPUTED_VALUE"""),"1 USD = 104.9062 PKR")</f>
        <v>1 USD = 104.9062 PKR</v>
      </c>
      <c r="H2609" s="9" t="str">
        <f ca="1">IFERROR(__xludf.DUMMYFUNCTION("""COMPUTED_VALUE"""),"USD PKR rate for 24/11/2016")</f>
        <v>USD PKR rate for 24/11/2016</v>
      </c>
      <c r="I2609" s="9"/>
    </row>
    <row r="2610" spans="1:9" ht="14.25" customHeight="1" x14ac:dyDescent="0.3">
      <c r="A2610" s="6">
        <v>42327</v>
      </c>
      <c r="B2610" s="7">
        <v>105.4885</v>
      </c>
      <c r="C2610" s="8">
        <f t="shared" si="21"/>
        <v>125.93315159062554</v>
      </c>
      <c r="D2610" s="9">
        <f t="shared" si="20"/>
        <v>68.881135346407035</v>
      </c>
      <c r="E2610" s="9"/>
      <c r="F2610" s="9">
        <f ca="1">IFERROR(__xludf.DUMMYFUNCTION("""COMPUTED_VALUE"""),42697)</f>
        <v>42697</v>
      </c>
      <c r="G2610" s="9" t="str">
        <f ca="1">IFERROR(__xludf.DUMMYFUNCTION("""COMPUTED_VALUE"""),"1 USD = 104.77 PKR")</f>
        <v>1 USD = 104.77 PKR</v>
      </c>
      <c r="H2610" s="9" t="str">
        <f ca="1">IFERROR(__xludf.DUMMYFUNCTION("""COMPUTED_VALUE"""),"USD PKR rate for 23/11/2016")</f>
        <v>USD PKR rate for 23/11/2016</v>
      </c>
      <c r="I2610" s="9"/>
    </row>
    <row r="2611" spans="1:9" ht="14.25" customHeight="1" x14ac:dyDescent="0.3">
      <c r="A2611" s="6">
        <v>42328</v>
      </c>
      <c r="B2611" s="7">
        <v>105.52250000000001</v>
      </c>
      <c r="C2611" s="8">
        <f t="shared" si="21"/>
        <v>125.95567470561613</v>
      </c>
      <c r="D2611" s="9">
        <f t="shared" si="20"/>
        <v>68.883873179204301</v>
      </c>
      <c r="E2611" s="9"/>
      <c r="F2611" s="9">
        <f ca="1">IFERROR(__xludf.DUMMYFUNCTION("""COMPUTED_VALUE"""),42696)</f>
        <v>42696</v>
      </c>
      <c r="G2611" s="9" t="str">
        <f ca="1">IFERROR(__xludf.DUMMYFUNCTION("""COMPUTED_VALUE"""),"1 USD = 104.8117 PKR")</f>
        <v>1 USD = 104.8117 PKR</v>
      </c>
      <c r="H2611" s="9" t="str">
        <f ca="1">IFERROR(__xludf.DUMMYFUNCTION("""COMPUTED_VALUE"""),"USD PKR rate for 22/11/2016")</f>
        <v>USD PKR rate for 22/11/2016</v>
      </c>
      <c r="I2611" s="9"/>
    </row>
    <row r="2612" spans="1:9" ht="14.25" customHeight="1" x14ac:dyDescent="0.3">
      <c r="A2612" s="6">
        <v>42329</v>
      </c>
      <c r="B2612" s="7">
        <v>105.54640000000001</v>
      </c>
      <c r="C2612" s="8">
        <f t="shared" si="21"/>
        <v>125.97820184886052</v>
      </c>
      <c r="D2612" s="9">
        <f t="shared" si="20"/>
        <v>68.886611012001566</v>
      </c>
      <c r="E2612" s="9"/>
      <c r="F2612" s="9">
        <f ca="1">IFERROR(__xludf.DUMMYFUNCTION("""COMPUTED_VALUE"""),42695)</f>
        <v>42695</v>
      </c>
      <c r="G2612" s="9" t="str">
        <f ca="1">IFERROR(__xludf.DUMMYFUNCTION("""COMPUTED_VALUE"""),"1 USD = 104.9413 PKR")</f>
        <v>1 USD = 104.9413 PKR</v>
      </c>
      <c r="H2612" s="9" t="str">
        <f ca="1">IFERROR(__xludf.DUMMYFUNCTION("""COMPUTED_VALUE"""),"USD PKR rate for 21/11/2016")</f>
        <v>USD PKR rate for 21/11/2016</v>
      </c>
      <c r="I2612" s="9"/>
    </row>
    <row r="2613" spans="1:9" ht="14.25" customHeight="1" x14ac:dyDescent="0.3">
      <c r="A2613" s="6">
        <v>42330</v>
      </c>
      <c r="B2613" s="7">
        <v>105.5873</v>
      </c>
      <c r="C2613" s="8">
        <f t="shared" si="21"/>
        <v>126.00073302107937</v>
      </c>
      <c r="D2613" s="9">
        <f t="shared" si="20"/>
        <v>68.889348844798832</v>
      </c>
      <c r="E2613" s="9"/>
      <c r="F2613" s="9">
        <f ca="1">IFERROR(__xludf.DUMMYFUNCTION("""COMPUTED_VALUE"""),42694)</f>
        <v>42694</v>
      </c>
      <c r="G2613" s="9" t="str">
        <f ca="1">IFERROR(__xludf.DUMMYFUNCTION("""COMPUTED_VALUE"""),"1 USD = 105.061 PKR")</f>
        <v>1 USD = 105.061 PKR</v>
      </c>
      <c r="H2613" s="9" t="str">
        <f ca="1">IFERROR(__xludf.DUMMYFUNCTION("""COMPUTED_VALUE"""),"USD PKR rate for 20/11/2016")</f>
        <v>USD PKR rate for 20/11/2016</v>
      </c>
      <c r="I2613" s="9"/>
    </row>
    <row r="2614" spans="1:9" ht="14.25" customHeight="1" x14ac:dyDescent="0.3">
      <c r="A2614" s="6">
        <v>42331</v>
      </c>
      <c r="B2614" s="7">
        <v>105.42910000000001</v>
      </c>
      <c r="C2614" s="8">
        <f t="shared" si="21"/>
        <v>126.02326822299315</v>
      </c>
      <c r="D2614" s="9">
        <f t="shared" si="20"/>
        <v>68.892086677596097</v>
      </c>
      <c r="E2614" s="9"/>
      <c r="F2614" s="9">
        <f ca="1">IFERROR(__xludf.DUMMYFUNCTION("""COMPUTED_VALUE"""),42693)</f>
        <v>42693</v>
      </c>
      <c r="G2614" s="9" t="str">
        <f ca="1">IFERROR(__xludf.DUMMYFUNCTION("""COMPUTED_VALUE"""),"1 USD = 105.0668 PKR")</f>
        <v>1 USD = 105.0668 PKR</v>
      </c>
      <c r="H2614" s="9" t="str">
        <f ca="1">IFERROR(__xludf.DUMMYFUNCTION("""COMPUTED_VALUE"""),"USD PKR rate for 19/11/2016")</f>
        <v>USD PKR rate for 19/11/2016</v>
      </c>
      <c r="I2614" s="9"/>
    </row>
    <row r="2615" spans="1:9" ht="14.25" customHeight="1" x14ac:dyDescent="0.3">
      <c r="A2615" s="6">
        <v>42332</v>
      </c>
      <c r="B2615" s="7">
        <v>105.5278</v>
      </c>
      <c r="C2615" s="8">
        <f t="shared" si="21"/>
        <v>126.04580745532259</v>
      </c>
      <c r="D2615" s="9">
        <f t="shared" si="20"/>
        <v>68.894824510393363</v>
      </c>
      <c r="E2615" s="9"/>
      <c r="F2615" s="9">
        <f ca="1">IFERROR(__xludf.DUMMYFUNCTION("""COMPUTED_VALUE"""),42692)</f>
        <v>42692</v>
      </c>
      <c r="G2615" s="9" t="str">
        <f ca="1">IFERROR(__xludf.DUMMYFUNCTION("""COMPUTED_VALUE"""),"1 USD = 104.9234 PKR")</f>
        <v>1 USD = 104.9234 PKR</v>
      </c>
      <c r="H2615" s="9" t="str">
        <f ca="1">IFERROR(__xludf.DUMMYFUNCTION("""COMPUTED_VALUE"""),"USD PKR rate for 18/11/2016")</f>
        <v>USD PKR rate for 18/11/2016</v>
      </c>
      <c r="I2615" s="9"/>
    </row>
    <row r="2616" spans="1:9" ht="14.25" customHeight="1" x14ac:dyDescent="0.3">
      <c r="A2616" s="6">
        <v>42333</v>
      </c>
      <c r="B2616" s="7">
        <v>105.369</v>
      </c>
      <c r="C2616" s="8">
        <f t="shared" si="21"/>
        <v>126.06835071878848</v>
      </c>
      <c r="D2616" s="9">
        <f t="shared" si="20"/>
        <v>68.897562343190629</v>
      </c>
      <c r="E2616" s="9"/>
      <c r="F2616" s="9">
        <f ca="1">IFERROR(__xludf.DUMMYFUNCTION("""COMPUTED_VALUE"""),42691)</f>
        <v>42691</v>
      </c>
      <c r="G2616" s="9" t="str">
        <f ca="1">IFERROR(__xludf.DUMMYFUNCTION("""COMPUTED_VALUE"""),"1 USD = 105.0491 PKR")</f>
        <v>1 USD = 105.0491 PKR</v>
      </c>
      <c r="H2616" s="9" t="str">
        <f ca="1">IFERROR(__xludf.DUMMYFUNCTION("""COMPUTED_VALUE"""),"USD PKR rate for 17/11/2016")</f>
        <v>USD PKR rate for 17/11/2016</v>
      </c>
      <c r="I2616" s="9"/>
    </row>
    <row r="2617" spans="1:9" ht="14.25" customHeight="1" x14ac:dyDescent="0.3">
      <c r="A2617" s="6">
        <v>42334</v>
      </c>
      <c r="B2617" s="7">
        <v>105.4593</v>
      </c>
      <c r="C2617" s="8">
        <f t="shared" si="21"/>
        <v>126.09089801411183</v>
      </c>
      <c r="D2617" s="9">
        <f t="shared" si="20"/>
        <v>68.900300175987894</v>
      </c>
      <c r="E2617" s="9"/>
      <c r="F2617" s="9">
        <f ca="1">IFERROR(__xludf.DUMMYFUNCTION("""COMPUTED_VALUE"""),42690)</f>
        <v>42690</v>
      </c>
      <c r="G2617" s="9" t="str">
        <f ca="1">IFERROR(__xludf.DUMMYFUNCTION("""COMPUTED_VALUE"""),"1 USD = 104.8854 PKR")</f>
        <v>1 USD = 104.8854 PKR</v>
      </c>
      <c r="H2617" s="9" t="str">
        <f ca="1">IFERROR(__xludf.DUMMYFUNCTION("""COMPUTED_VALUE"""),"USD PKR rate for 16/11/2016")</f>
        <v>USD PKR rate for 16/11/2016</v>
      </c>
      <c r="I2617" s="9"/>
    </row>
    <row r="2618" spans="1:9" ht="14.25" customHeight="1" x14ac:dyDescent="0.3">
      <c r="A2618" s="6">
        <v>42335</v>
      </c>
      <c r="B2618" s="7">
        <v>105.47560000000001</v>
      </c>
      <c r="C2618" s="8">
        <f t="shared" si="21"/>
        <v>126.11344934201374</v>
      </c>
      <c r="D2618" s="9">
        <f t="shared" si="20"/>
        <v>68.90303800878516</v>
      </c>
      <c r="E2618" s="9"/>
      <c r="F2618" s="9">
        <f ca="1">IFERROR(__xludf.DUMMYFUNCTION("""COMPUTED_VALUE"""),42689)</f>
        <v>42689</v>
      </c>
      <c r="G2618" s="9" t="str">
        <f ca="1">IFERROR(__xludf.DUMMYFUNCTION("""COMPUTED_VALUE"""),"1 USD = 104.8473 PKR")</f>
        <v>1 USD = 104.8473 PKR</v>
      </c>
      <c r="H2618" s="9" t="str">
        <f ca="1">IFERROR(__xludf.DUMMYFUNCTION("""COMPUTED_VALUE"""),"USD PKR rate for 15/11/2016")</f>
        <v>USD PKR rate for 15/11/2016</v>
      </c>
      <c r="I2618" s="9"/>
    </row>
    <row r="2619" spans="1:9" ht="14.25" customHeight="1" x14ac:dyDescent="0.3">
      <c r="A2619" s="6">
        <v>42336</v>
      </c>
      <c r="B2619" s="7">
        <v>105.4905</v>
      </c>
      <c r="C2619" s="8">
        <f t="shared" si="21"/>
        <v>126.13600470321539</v>
      </c>
      <c r="D2619" s="9">
        <f t="shared" si="20"/>
        <v>68.905775841582425</v>
      </c>
      <c r="E2619" s="9"/>
      <c r="F2619" s="9">
        <f ca="1">IFERROR(__xludf.DUMMYFUNCTION("""COMPUTED_VALUE"""),42688)</f>
        <v>42688</v>
      </c>
      <c r="G2619" s="9" t="str">
        <f ca="1">IFERROR(__xludf.DUMMYFUNCTION("""COMPUTED_VALUE"""),"1 USD = 104.9744 PKR")</f>
        <v>1 USD = 104.9744 PKR</v>
      </c>
      <c r="H2619" s="9" t="str">
        <f ca="1">IFERROR(__xludf.DUMMYFUNCTION("""COMPUTED_VALUE"""),"USD PKR rate for 14/11/2016")</f>
        <v>USD PKR rate for 14/11/2016</v>
      </c>
      <c r="I2619" s="9"/>
    </row>
    <row r="2620" spans="1:9" ht="14.25" customHeight="1" x14ac:dyDescent="0.3">
      <c r="A2620" s="6">
        <v>42337</v>
      </c>
      <c r="B2620" s="7">
        <v>105.4508</v>
      </c>
      <c r="C2620" s="8">
        <f t="shared" si="21"/>
        <v>126.15856409843819</v>
      </c>
      <c r="D2620" s="9">
        <f t="shared" si="20"/>
        <v>68.908513674379691</v>
      </c>
      <c r="E2620" s="9"/>
      <c r="F2620" s="9">
        <f ca="1">IFERROR(__xludf.DUMMYFUNCTION("""COMPUTED_VALUE"""),42687)</f>
        <v>42687</v>
      </c>
      <c r="G2620" s="9" t="str">
        <f ca="1">IFERROR(__xludf.DUMMYFUNCTION("""COMPUTED_VALUE"""),"1 USD = 104.7735 PKR")</f>
        <v>1 USD = 104.7735 PKR</v>
      </c>
      <c r="H2620" s="9" t="str">
        <f ca="1">IFERROR(__xludf.DUMMYFUNCTION("""COMPUTED_VALUE"""),"USD PKR rate for 13/11/2016")</f>
        <v>USD PKR rate for 13/11/2016</v>
      </c>
      <c r="I2620" s="9"/>
    </row>
    <row r="2621" spans="1:9" ht="14.25" customHeight="1" x14ac:dyDescent="0.3">
      <c r="A2621" s="6">
        <v>42338</v>
      </c>
      <c r="B2621" s="7">
        <v>105.5018</v>
      </c>
      <c r="C2621" s="8">
        <f t="shared" si="21"/>
        <v>126.18112752840349</v>
      </c>
      <c r="D2621" s="9">
        <f t="shared" si="20"/>
        <v>68.911251507176956</v>
      </c>
      <c r="E2621" s="9"/>
      <c r="F2621" s="9">
        <f ca="1">IFERROR(__xludf.DUMMYFUNCTION("""COMPUTED_VALUE"""),42686)</f>
        <v>42686</v>
      </c>
      <c r="G2621" s="9" t="str">
        <f ca="1">IFERROR(__xludf.DUMMYFUNCTION("""COMPUTED_VALUE"""),"1 USD = 104.7871 PKR")</f>
        <v>1 USD = 104.7871 PKR</v>
      </c>
      <c r="H2621" s="9" t="str">
        <f ca="1">IFERROR(__xludf.DUMMYFUNCTION("""COMPUTED_VALUE"""),"USD PKR rate for 12/11/2016")</f>
        <v>USD PKR rate for 12/11/2016</v>
      </c>
      <c r="I2621" s="9"/>
    </row>
    <row r="2622" spans="1:9" ht="14.25" customHeight="1" x14ac:dyDescent="0.3">
      <c r="A2622" s="6">
        <v>42339</v>
      </c>
      <c r="B2622" s="7">
        <v>105.43410000000002</v>
      </c>
      <c r="C2622" s="8">
        <f t="shared" si="21"/>
        <v>126.20369499383312</v>
      </c>
      <c r="D2622" s="9">
        <f t="shared" si="20"/>
        <v>68.913989339974222</v>
      </c>
      <c r="E2622" s="9"/>
      <c r="F2622" s="9">
        <f ca="1">IFERROR(__xludf.DUMMYFUNCTION("""COMPUTED_VALUE"""),42685)</f>
        <v>42685</v>
      </c>
      <c r="G2622" s="9" t="str">
        <f ca="1">IFERROR(__xludf.DUMMYFUNCTION("""COMPUTED_VALUE"""),"1 USD = 104.9434 PKR")</f>
        <v>1 USD = 104.9434 PKR</v>
      </c>
      <c r="H2622" s="9" t="str">
        <f ca="1">IFERROR(__xludf.DUMMYFUNCTION("""COMPUTED_VALUE"""),"USD PKR rate for 11/11/2016")</f>
        <v>USD PKR rate for 11/11/2016</v>
      </c>
      <c r="I2622" s="9"/>
    </row>
    <row r="2623" spans="1:9" ht="14.25" customHeight="1" x14ac:dyDescent="0.3">
      <c r="A2623" s="6">
        <v>42340</v>
      </c>
      <c r="B2623" s="7">
        <v>105.4345</v>
      </c>
      <c r="C2623" s="8">
        <f t="shared" si="21"/>
        <v>126.22626649544871</v>
      </c>
      <c r="D2623" s="9">
        <f t="shared" si="20"/>
        <v>68.916727172771488</v>
      </c>
      <c r="E2623" s="9"/>
      <c r="F2623" s="9">
        <f ca="1">IFERROR(__xludf.DUMMYFUNCTION("""COMPUTED_VALUE"""),42684)</f>
        <v>42684</v>
      </c>
      <c r="G2623" s="9" t="str">
        <f ca="1">IFERROR(__xludf.DUMMYFUNCTION("""COMPUTED_VALUE"""),"1 USD = 104.6627 PKR")</f>
        <v>1 USD = 104.6627 PKR</v>
      </c>
      <c r="H2623" s="9" t="str">
        <f ca="1">IFERROR(__xludf.DUMMYFUNCTION("""COMPUTED_VALUE"""),"USD PKR rate for 10/11/2016")</f>
        <v>USD PKR rate for 10/11/2016</v>
      </c>
      <c r="I2623" s="9"/>
    </row>
    <row r="2624" spans="1:9" ht="14.25" customHeight="1" x14ac:dyDescent="0.3">
      <c r="A2624" s="6">
        <v>42341</v>
      </c>
      <c r="B2624" s="7">
        <v>105.4849</v>
      </c>
      <c r="C2624" s="8">
        <f t="shared" si="21"/>
        <v>126.24884203397215</v>
      </c>
      <c r="D2624" s="9">
        <f t="shared" si="20"/>
        <v>68.919465005568753</v>
      </c>
      <c r="E2624" s="9"/>
      <c r="F2624" s="9">
        <f ca="1">IFERROR(__xludf.DUMMYFUNCTION("""COMPUTED_VALUE"""),42683)</f>
        <v>42683</v>
      </c>
      <c r="G2624" s="9" t="str">
        <f ca="1">IFERROR(__xludf.DUMMYFUNCTION("""COMPUTED_VALUE"""),"1 USD = 104.7728 PKR")</f>
        <v>1 USD = 104.7728 PKR</v>
      </c>
      <c r="H2624" s="9" t="str">
        <f ca="1">IFERROR(__xludf.DUMMYFUNCTION("""COMPUTED_VALUE"""),"USD PKR rate for 09/11/2016")</f>
        <v>USD PKR rate for 09/11/2016</v>
      </c>
      <c r="I2624" s="9"/>
    </row>
    <row r="2625" spans="1:9" ht="14.25" customHeight="1" x14ac:dyDescent="0.3">
      <c r="A2625" s="6">
        <v>42342</v>
      </c>
      <c r="B2625" s="7">
        <v>105.38</v>
      </c>
      <c r="C2625" s="8">
        <f t="shared" si="21"/>
        <v>126.27142161012542</v>
      </c>
      <c r="D2625" s="9">
        <f t="shared" si="20"/>
        <v>68.922202838366019</v>
      </c>
      <c r="E2625" s="9"/>
      <c r="F2625" s="9">
        <f ca="1">IFERROR(__xludf.DUMMYFUNCTION("""COMPUTED_VALUE"""),42682)</f>
        <v>42682</v>
      </c>
      <c r="G2625" s="9" t="str">
        <f ca="1">IFERROR(__xludf.DUMMYFUNCTION("""COMPUTED_VALUE"""),"1 USD = 104.7217 PKR")</f>
        <v>1 USD = 104.7217 PKR</v>
      </c>
      <c r="H2625" s="9" t="str">
        <f ca="1">IFERROR(__xludf.DUMMYFUNCTION("""COMPUTED_VALUE"""),"USD PKR rate for 08/11/2016")</f>
        <v>USD PKR rate for 08/11/2016</v>
      </c>
      <c r="I2625" s="9"/>
    </row>
    <row r="2626" spans="1:9" ht="14.25" customHeight="1" x14ac:dyDescent="0.3">
      <c r="A2626" s="6">
        <v>42343</v>
      </c>
      <c r="B2626" s="7">
        <v>104.99079999999999</v>
      </c>
      <c r="C2626" s="8">
        <f t="shared" si="21"/>
        <v>126.29400522463062</v>
      </c>
      <c r="D2626" s="9">
        <f t="shared" si="20"/>
        <v>68.924940671163284</v>
      </c>
      <c r="E2626" s="9"/>
      <c r="F2626" s="9">
        <f ca="1">IFERROR(__xludf.DUMMYFUNCTION("""COMPUTED_VALUE"""),42681)</f>
        <v>42681</v>
      </c>
      <c r="G2626" s="9" t="str">
        <f ca="1">IFERROR(__xludf.DUMMYFUNCTION("""COMPUTED_VALUE"""),"1 USD = 104.8163 PKR")</f>
        <v>1 USD = 104.8163 PKR</v>
      </c>
      <c r="H2626" s="9" t="str">
        <f ca="1">IFERROR(__xludf.DUMMYFUNCTION("""COMPUTED_VALUE"""),"USD PKR rate for 07/11/2016")</f>
        <v>USD PKR rate for 07/11/2016</v>
      </c>
      <c r="I2626" s="9"/>
    </row>
    <row r="2627" spans="1:9" ht="14.25" customHeight="1" x14ac:dyDescent="0.3">
      <c r="A2627" s="6">
        <v>42344</v>
      </c>
      <c r="B2627" s="7">
        <v>105.3676</v>
      </c>
      <c r="C2627" s="8">
        <f t="shared" si="21"/>
        <v>126.31659287821007</v>
      </c>
      <c r="D2627" s="9">
        <f t="shared" si="20"/>
        <v>68.92767850396055</v>
      </c>
      <c r="E2627" s="9"/>
      <c r="F2627" s="9">
        <f ca="1">IFERROR(__xludf.DUMMYFUNCTION("""COMPUTED_VALUE"""),42680)</f>
        <v>42680</v>
      </c>
      <c r="G2627" s="9" t="str">
        <f ca="1">IFERROR(__xludf.DUMMYFUNCTION("""COMPUTED_VALUE"""),"1 USD = 104.5029 PKR")</f>
        <v>1 USD = 104.5029 PKR</v>
      </c>
      <c r="H2627" s="9" t="str">
        <f ca="1">IFERROR(__xludf.DUMMYFUNCTION("""COMPUTED_VALUE"""),"USD PKR rate for 06/11/2016")</f>
        <v>USD PKR rate for 06/11/2016</v>
      </c>
      <c r="I2627" s="9"/>
    </row>
    <row r="2628" spans="1:9" ht="14.25" customHeight="1" x14ac:dyDescent="0.3">
      <c r="A2628" s="6">
        <v>42345</v>
      </c>
      <c r="B2628" s="7">
        <v>104.9063</v>
      </c>
      <c r="C2628" s="8">
        <f t="shared" si="21"/>
        <v>126.33918457158615</v>
      </c>
      <c r="D2628" s="9">
        <f t="shared" si="20"/>
        <v>68.930416336757816</v>
      </c>
      <c r="E2628" s="9"/>
      <c r="F2628" s="9">
        <f ca="1">IFERROR(__xludf.DUMMYFUNCTION("""COMPUTED_VALUE"""),42679)</f>
        <v>42679</v>
      </c>
      <c r="G2628" s="9" t="str">
        <f ca="1">IFERROR(__xludf.DUMMYFUNCTION("""COMPUTED_VALUE"""),"1 USD = 104.6466 PKR")</f>
        <v>1 USD = 104.6466 PKR</v>
      </c>
      <c r="H2628" s="9" t="str">
        <f ca="1">IFERROR(__xludf.DUMMYFUNCTION("""COMPUTED_VALUE"""),"USD PKR rate for 05/11/2016")</f>
        <v>USD PKR rate for 05/11/2016</v>
      </c>
      <c r="I2628" s="9"/>
    </row>
    <row r="2629" spans="1:9" ht="14.25" customHeight="1" x14ac:dyDescent="0.3">
      <c r="A2629" s="6">
        <v>42346</v>
      </c>
      <c r="B2629" s="7">
        <v>104.3383</v>
      </c>
      <c r="C2629" s="8">
        <f t="shared" si="21"/>
        <v>126.36178030548133</v>
      </c>
      <c r="D2629" s="9">
        <f t="shared" si="20"/>
        <v>68.933154169555081</v>
      </c>
      <c r="E2629" s="9"/>
      <c r="F2629" s="9">
        <f ca="1">IFERROR(__xludf.DUMMYFUNCTION("""COMPUTED_VALUE"""),42678)</f>
        <v>42678</v>
      </c>
      <c r="G2629" s="9" t="str">
        <f ca="1">IFERROR(__xludf.DUMMYFUNCTION("""COMPUTED_VALUE"""),"1 USD = 104.6776 PKR")</f>
        <v>1 USD = 104.6776 PKR</v>
      </c>
      <c r="H2629" s="9" t="str">
        <f ca="1">IFERROR(__xludf.DUMMYFUNCTION("""COMPUTED_VALUE"""),"USD PKR rate for 04/11/2016")</f>
        <v>USD PKR rate for 04/11/2016</v>
      </c>
      <c r="I2629" s="9"/>
    </row>
    <row r="2630" spans="1:9" ht="14.25" customHeight="1" x14ac:dyDescent="0.3">
      <c r="A2630" s="6">
        <v>42347</v>
      </c>
      <c r="B2630" s="7">
        <v>103.68660000000001</v>
      </c>
      <c r="C2630" s="8">
        <f t="shared" si="21"/>
        <v>126.38438008061819</v>
      </c>
      <c r="D2630" s="9">
        <f t="shared" si="20"/>
        <v>68.935892002352347</v>
      </c>
      <c r="E2630" s="9"/>
      <c r="F2630" s="9">
        <f ca="1">IFERROR(__xludf.DUMMYFUNCTION("""COMPUTED_VALUE"""),42677)</f>
        <v>42677</v>
      </c>
      <c r="G2630" s="9" t="str">
        <f ca="1">IFERROR(__xludf.DUMMYFUNCTION("""COMPUTED_VALUE"""),"1 USD = 104.7837 PKR")</f>
        <v>1 USD = 104.7837 PKR</v>
      </c>
      <c r="H2630" s="9" t="str">
        <f ca="1">IFERROR(__xludf.DUMMYFUNCTION("""COMPUTED_VALUE"""),"USD PKR rate for 03/11/2016")</f>
        <v>USD PKR rate for 03/11/2016</v>
      </c>
      <c r="I2630" s="9"/>
    </row>
    <row r="2631" spans="1:9" ht="14.25" customHeight="1" x14ac:dyDescent="0.3">
      <c r="A2631" s="6">
        <v>42348</v>
      </c>
      <c r="B2631" s="7">
        <v>104.1365</v>
      </c>
      <c r="C2631" s="8">
        <f t="shared" si="21"/>
        <v>126.40698389771971</v>
      </c>
      <c r="D2631" s="9">
        <f t="shared" si="20"/>
        <v>68.938629835149612</v>
      </c>
      <c r="E2631" s="9"/>
      <c r="F2631" s="9">
        <f ca="1">IFERROR(__xludf.DUMMYFUNCTION("""COMPUTED_VALUE"""),42676)</f>
        <v>42676</v>
      </c>
      <c r="G2631" s="9" t="str">
        <f ca="1">IFERROR(__xludf.DUMMYFUNCTION("""COMPUTED_VALUE"""),"1 USD = 104.8093 PKR")</f>
        <v>1 USD = 104.8093 PKR</v>
      </c>
      <c r="H2631" s="9" t="str">
        <f ca="1">IFERROR(__xludf.DUMMYFUNCTION("""COMPUTED_VALUE"""),"USD PKR rate for 02/11/2016")</f>
        <v>USD PKR rate for 02/11/2016</v>
      </c>
      <c r="I2631" s="9"/>
    </row>
    <row r="2632" spans="1:9" ht="14.25" customHeight="1" x14ac:dyDescent="0.3">
      <c r="A2632" s="6">
        <v>42349</v>
      </c>
      <c r="B2632" s="7">
        <v>104.038</v>
      </c>
      <c r="C2632" s="8">
        <f t="shared" si="21"/>
        <v>126.42959175750867</v>
      </c>
      <c r="D2632" s="9">
        <f t="shared" si="20"/>
        <v>68.941367667946878</v>
      </c>
      <c r="E2632" s="9"/>
      <c r="F2632" s="9">
        <f ca="1">IFERROR(__xludf.DUMMYFUNCTION("""COMPUTED_VALUE"""),42675)</f>
        <v>42675</v>
      </c>
      <c r="G2632" s="9" t="str">
        <f ca="1">IFERROR(__xludf.DUMMYFUNCTION("""COMPUTED_VALUE"""),"1 USD = 104.7915 PKR")</f>
        <v>1 USD = 104.7915 PKR</v>
      </c>
      <c r="H2632" s="9" t="str">
        <f ca="1">IFERROR(__xludf.DUMMYFUNCTION("""COMPUTED_VALUE"""),"USD PKR rate for 01/11/2016")</f>
        <v>USD PKR rate for 01/11/2016</v>
      </c>
      <c r="I2632" s="9"/>
    </row>
    <row r="2633" spans="1:9" ht="14.25" customHeight="1" x14ac:dyDescent="0.3">
      <c r="A2633" s="6">
        <v>42350</v>
      </c>
      <c r="B2633" s="7">
        <v>103.8497</v>
      </c>
      <c r="C2633" s="8">
        <f t="shared" si="21"/>
        <v>126.45220366070812</v>
      </c>
      <c r="D2633" s="9">
        <f t="shared" si="20"/>
        <v>68.944105500744143</v>
      </c>
      <c r="E2633" s="9"/>
      <c r="F2633" s="9">
        <f ca="1">IFERROR(__xludf.DUMMYFUNCTION("""COMPUTED_VALUE"""),42674)</f>
        <v>42674</v>
      </c>
      <c r="G2633" s="9" t="str">
        <f ca="1">IFERROR(__xludf.DUMMYFUNCTION("""COMPUTED_VALUE"""),"1 USD = 104.7237 PKR")</f>
        <v>1 USD = 104.7237 PKR</v>
      </c>
      <c r="H2633" s="9" t="str">
        <f ca="1">IFERROR(__xludf.DUMMYFUNCTION("""COMPUTED_VALUE"""),"USD PKR rate for 31/10/2016")</f>
        <v>USD PKR rate for 31/10/2016</v>
      </c>
      <c r="I2633" s="9"/>
    </row>
    <row r="2634" spans="1:9" ht="14.25" customHeight="1" x14ac:dyDescent="0.3">
      <c r="A2634" s="6">
        <v>42351</v>
      </c>
      <c r="B2634" s="7">
        <v>104.1388</v>
      </c>
      <c r="C2634" s="8">
        <f t="shared" si="21"/>
        <v>126.4748196080412</v>
      </c>
      <c r="D2634" s="9">
        <f t="shared" si="20"/>
        <v>68.946843333541409</v>
      </c>
      <c r="E2634" s="9"/>
      <c r="F2634" s="9">
        <f ca="1">IFERROR(__xludf.DUMMYFUNCTION("""COMPUTED_VALUE"""),42673)</f>
        <v>42673</v>
      </c>
      <c r="G2634" s="9" t="str">
        <f ca="1">IFERROR(__xludf.DUMMYFUNCTION("""COMPUTED_VALUE"""),"1 USD = 104.4026 PKR")</f>
        <v>1 USD = 104.4026 PKR</v>
      </c>
      <c r="H2634" s="9" t="str">
        <f ca="1">IFERROR(__xludf.DUMMYFUNCTION("""COMPUTED_VALUE"""),"USD PKR rate for 30/10/2016")</f>
        <v>USD PKR rate for 30/10/2016</v>
      </c>
      <c r="I2634" s="9"/>
    </row>
    <row r="2635" spans="1:9" ht="14.25" customHeight="1" x14ac:dyDescent="0.3">
      <c r="A2635" s="6">
        <v>42352</v>
      </c>
      <c r="B2635" s="7">
        <v>104.49639999999999</v>
      </c>
      <c r="C2635" s="8">
        <f t="shared" si="21"/>
        <v>126.49743960023125</v>
      </c>
      <c r="D2635" s="9">
        <f t="shared" si="20"/>
        <v>68.949581166338675</v>
      </c>
      <c r="E2635" s="9"/>
      <c r="F2635" s="9">
        <f ca="1">IFERROR(__xludf.DUMMYFUNCTION("""COMPUTED_VALUE"""),42672)</f>
        <v>42672</v>
      </c>
      <c r="G2635" s="9" t="str">
        <f ca="1">IFERROR(__xludf.DUMMYFUNCTION("""COMPUTED_VALUE"""),"1 USD = 104.8393 PKR")</f>
        <v>1 USD = 104.8393 PKR</v>
      </c>
      <c r="H2635" s="9" t="str">
        <f ca="1">IFERROR(__xludf.DUMMYFUNCTION("""COMPUTED_VALUE"""),"USD PKR rate for 29/10/2016")</f>
        <v>USD PKR rate for 29/10/2016</v>
      </c>
      <c r="I2635" s="9"/>
    </row>
    <row r="2636" spans="1:9" ht="14.25" customHeight="1" x14ac:dyDescent="0.3">
      <c r="A2636" s="6">
        <v>42353</v>
      </c>
      <c r="B2636" s="7">
        <v>104.85480000000001</v>
      </c>
      <c r="C2636" s="8">
        <f t="shared" si="21"/>
        <v>126.52006363800166</v>
      </c>
      <c r="D2636" s="9">
        <f t="shared" si="20"/>
        <v>68.95231899913594</v>
      </c>
      <c r="E2636" s="9"/>
      <c r="F2636" s="9">
        <f ca="1">IFERROR(__xludf.DUMMYFUNCTION("""COMPUTED_VALUE"""),42671)</f>
        <v>42671</v>
      </c>
      <c r="G2636" s="9" t="str">
        <f ca="1">IFERROR(__xludf.DUMMYFUNCTION("""COMPUTED_VALUE"""),"1 USD = 104.8256 PKR")</f>
        <v>1 USD = 104.8256 PKR</v>
      </c>
      <c r="H2636" s="9" t="str">
        <f ca="1">IFERROR(__xludf.DUMMYFUNCTION("""COMPUTED_VALUE"""),"USD PKR rate for 28/10/2016")</f>
        <v>USD PKR rate for 28/10/2016</v>
      </c>
      <c r="I2636" s="9"/>
    </row>
    <row r="2637" spans="1:9" ht="14.25" customHeight="1" x14ac:dyDescent="0.3">
      <c r="A2637" s="6">
        <v>42354</v>
      </c>
      <c r="B2637" s="7">
        <v>104.87869999999999</v>
      </c>
      <c r="C2637" s="8">
        <f t="shared" si="21"/>
        <v>126.54269172207597</v>
      </c>
      <c r="D2637" s="9">
        <f t="shared" si="20"/>
        <v>68.955056831933206</v>
      </c>
      <c r="E2637" s="9"/>
      <c r="F2637" s="9">
        <f ca="1">IFERROR(__xludf.DUMMYFUNCTION("""COMPUTED_VALUE"""),42670)</f>
        <v>42670</v>
      </c>
      <c r="G2637" s="9" t="str">
        <f ca="1">IFERROR(__xludf.DUMMYFUNCTION("""COMPUTED_VALUE"""),"1 USD = 104.8451 PKR")</f>
        <v>1 USD = 104.8451 PKR</v>
      </c>
      <c r="H2637" s="9" t="str">
        <f ca="1">IFERROR(__xludf.DUMMYFUNCTION("""COMPUTED_VALUE"""),"USD PKR rate for 27/10/2016")</f>
        <v>USD PKR rate for 27/10/2016</v>
      </c>
      <c r="I2637" s="9"/>
    </row>
    <row r="2638" spans="1:9" ht="14.25" customHeight="1" x14ac:dyDescent="0.3">
      <c r="A2638" s="6">
        <v>42355</v>
      </c>
      <c r="B2638" s="7">
        <v>104.7149</v>
      </c>
      <c r="C2638" s="8">
        <f t="shared" si="21"/>
        <v>126.56532385317789</v>
      </c>
      <c r="D2638" s="9">
        <f t="shared" si="20"/>
        <v>68.957794664730471</v>
      </c>
      <c r="E2638" s="9"/>
      <c r="F2638" s="9">
        <f ca="1">IFERROR(__xludf.DUMMYFUNCTION("""COMPUTED_VALUE"""),42669)</f>
        <v>42669</v>
      </c>
      <c r="G2638" s="9" t="str">
        <f ca="1">IFERROR(__xludf.DUMMYFUNCTION("""COMPUTED_VALUE"""),"1 USD = 104.7834 PKR")</f>
        <v>1 USD = 104.7834 PKR</v>
      </c>
      <c r="H2638" s="9" t="str">
        <f ca="1">IFERROR(__xludf.DUMMYFUNCTION("""COMPUTED_VALUE"""),"USD PKR rate for 26/10/2016")</f>
        <v>USD PKR rate for 26/10/2016</v>
      </c>
      <c r="I2638" s="9"/>
    </row>
    <row r="2639" spans="1:9" ht="14.25" customHeight="1" x14ac:dyDescent="0.3">
      <c r="A2639" s="6">
        <v>42356</v>
      </c>
      <c r="B2639" s="7">
        <v>104.7538</v>
      </c>
      <c r="C2639" s="8">
        <f t="shared" si="21"/>
        <v>126.58796003203111</v>
      </c>
      <c r="D2639" s="9">
        <f t="shared" si="20"/>
        <v>68.960532497527737</v>
      </c>
      <c r="E2639" s="9"/>
      <c r="F2639" s="9">
        <f ca="1">IFERROR(__xludf.DUMMYFUNCTION("""COMPUTED_VALUE"""),42668)</f>
        <v>42668</v>
      </c>
      <c r="G2639" s="9" t="str">
        <f ca="1">IFERROR(__xludf.DUMMYFUNCTION("""COMPUTED_VALUE"""),"1 USD = 104.8131 PKR")</f>
        <v>1 USD = 104.8131 PKR</v>
      </c>
      <c r="H2639" s="9" t="str">
        <f ca="1">IFERROR(__xludf.DUMMYFUNCTION("""COMPUTED_VALUE"""),"USD PKR rate for 25/10/2016")</f>
        <v>USD PKR rate for 25/10/2016</v>
      </c>
      <c r="I2639" s="9"/>
    </row>
    <row r="2640" spans="1:9" ht="14.25" customHeight="1" x14ac:dyDescent="0.3">
      <c r="A2640" s="6">
        <v>42357</v>
      </c>
      <c r="B2640" s="7">
        <v>104.6957</v>
      </c>
      <c r="C2640" s="8">
        <f t="shared" si="21"/>
        <v>126.61060025935976</v>
      </c>
      <c r="D2640" s="9">
        <f t="shared" si="20"/>
        <v>68.963270330325003</v>
      </c>
      <c r="E2640" s="9"/>
      <c r="F2640" s="9">
        <f ca="1">IFERROR(__xludf.DUMMYFUNCTION("""COMPUTED_VALUE"""),42667)</f>
        <v>42667</v>
      </c>
      <c r="G2640" s="9" t="str">
        <f ca="1">IFERROR(__xludf.DUMMYFUNCTION("""COMPUTED_VALUE"""),"1 USD = 104.7688 PKR")</f>
        <v>1 USD = 104.7688 PKR</v>
      </c>
      <c r="H2640" s="9" t="str">
        <f ca="1">IFERROR(__xludf.DUMMYFUNCTION("""COMPUTED_VALUE"""),"USD PKR rate for 24/10/2016")</f>
        <v>USD PKR rate for 24/10/2016</v>
      </c>
      <c r="I2640" s="9"/>
    </row>
    <row r="2641" spans="1:9" ht="14.25" customHeight="1" x14ac:dyDescent="0.3">
      <c r="A2641" s="6">
        <v>42358</v>
      </c>
      <c r="B2641" s="7">
        <v>104.7367</v>
      </c>
      <c r="C2641" s="8">
        <f t="shared" si="21"/>
        <v>126.63324453588783</v>
      </c>
      <c r="D2641" s="9">
        <f t="shared" si="20"/>
        <v>68.966008163122268</v>
      </c>
      <c r="E2641" s="9"/>
      <c r="F2641" s="9">
        <f ca="1">IFERROR(__xludf.DUMMYFUNCTION("""COMPUTED_VALUE"""),42666)</f>
        <v>42666</v>
      </c>
      <c r="G2641" s="9" t="str">
        <f ca="1">IFERROR(__xludf.DUMMYFUNCTION("""COMPUTED_VALUE"""),"1 USD = 104.8413 PKR")</f>
        <v>1 USD = 104.8413 PKR</v>
      </c>
      <c r="H2641" s="9" t="str">
        <f ca="1">IFERROR(__xludf.DUMMYFUNCTION("""COMPUTED_VALUE"""),"USD PKR rate for 23/10/2016")</f>
        <v>USD PKR rate for 23/10/2016</v>
      </c>
      <c r="I2641" s="9"/>
    </row>
    <row r="2642" spans="1:9" ht="14.25" customHeight="1" x14ac:dyDescent="0.3">
      <c r="A2642" s="6">
        <v>42359</v>
      </c>
      <c r="B2642" s="7">
        <v>104.7043</v>
      </c>
      <c r="C2642" s="8">
        <f t="shared" si="21"/>
        <v>126.65589286233953</v>
      </c>
      <c r="D2642" s="9">
        <f t="shared" si="20"/>
        <v>68.968745995919534</v>
      </c>
      <c r="E2642" s="9"/>
      <c r="F2642" s="9">
        <f ca="1">IFERROR(__xludf.DUMMYFUNCTION("""COMPUTED_VALUE"""),42665)</f>
        <v>42665</v>
      </c>
      <c r="G2642" s="9" t="str">
        <f ca="1">IFERROR(__xludf.DUMMYFUNCTION("""COMPUTED_VALUE"""),"1 USD = 104.7357 PKR")</f>
        <v>1 USD = 104.7357 PKR</v>
      </c>
      <c r="H2642" s="9" t="str">
        <f ca="1">IFERROR(__xludf.DUMMYFUNCTION("""COMPUTED_VALUE"""),"USD PKR rate for 22/10/2016")</f>
        <v>USD PKR rate for 22/10/2016</v>
      </c>
      <c r="I2642" s="9"/>
    </row>
    <row r="2643" spans="1:9" ht="14.25" customHeight="1" x14ac:dyDescent="0.3">
      <c r="A2643" s="6">
        <v>42360</v>
      </c>
      <c r="B2643" s="7">
        <v>104.79040000000001</v>
      </c>
      <c r="C2643" s="8">
        <f t="shared" si="21"/>
        <v>126.67854523943916</v>
      </c>
      <c r="D2643" s="9">
        <f t="shared" si="20"/>
        <v>68.971483828716799</v>
      </c>
      <c r="E2643" s="9"/>
      <c r="F2643" s="9">
        <f ca="1">IFERROR(__xludf.DUMMYFUNCTION("""COMPUTED_VALUE"""),42664)</f>
        <v>42664</v>
      </c>
      <c r="G2643" s="9" t="str">
        <f ca="1">IFERROR(__xludf.DUMMYFUNCTION("""COMPUTED_VALUE"""),"1 USD = 104.6793 PKR")</f>
        <v>1 USD = 104.6793 PKR</v>
      </c>
      <c r="H2643" s="9" t="str">
        <f ca="1">IFERROR(__xludf.DUMMYFUNCTION("""COMPUTED_VALUE"""),"USD PKR rate for 21/10/2016")</f>
        <v>USD PKR rate for 21/10/2016</v>
      </c>
      <c r="I2643" s="9"/>
    </row>
    <row r="2644" spans="1:9" ht="14.25" customHeight="1" x14ac:dyDescent="0.3">
      <c r="A2644" s="6">
        <v>42361</v>
      </c>
      <c r="B2644" s="7">
        <v>104.74039999999999</v>
      </c>
      <c r="C2644" s="8">
        <f t="shared" si="21"/>
        <v>126.70120166791118</v>
      </c>
      <c r="D2644" s="9">
        <f t="shared" si="20"/>
        <v>68.974221661514065</v>
      </c>
      <c r="E2644" s="9"/>
      <c r="F2644" s="9">
        <f ca="1">IFERROR(__xludf.DUMMYFUNCTION("""COMPUTED_VALUE"""),42663)</f>
        <v>42663</v>
      </c>
      <c r="G2644" s="9" t="str">
        <f ca="1">IFERROR(__xludf.DUMMYFUNCTION("""COMPUTED_VALUE"""),"1 USD = 104.7923 PKR")</f>
        <v>1 USD = 104.7923 PKR</v>
      </c>
      <c r="H2644" s="9" t="str">
        <f ca="1">IFERROR(__xludf.DUMMYFUNCTION("""COMPUTED_VALUE"""),"USD PKR rate for 20/10/2016")</f>
        <v>USD PKR rate for 20/10/2016</v>
      </c>
      <c r="I2644" s="9"/>
    </row>
    <row r="2645" spans="1:9" ht="14.25" customHeight="1" x14ac:dyDescent="0.3">
      <c r="A2645" s="6">
        <v>42362</v>
      </c>
      <c r="B2645" s="7">
        <v>104.7377</v>
      </c>
      <c r="C2645" s="8">
        <f t="shared" si="21"/>
        <v>126.72386214848018</v>
      </c>
      <c r="D2645" s="9">
        <f t="shared" si="20"/>
        <v>68.97695949431133</v>
      </c>
      <c r="E2645" s="9"/>
      <c r="F2645" s="9">
        <f ca="1">IFERROR(__xludf.DUMMYFUNCTION("""COMPUTED_VALUE"""),42662)</f>
        <v>42662</v>
      </c>
      <c r="G2645" s="9" t="str">
        <f ca="1">IFERROR(__xludf.DUMMYFUNCTION("""COMPUTED_VALUE"""),"1 USD = 104.6834 PKR")</f>
        <v>1 USD = 104.6834 PKR</v>
      </c>
      <c r="H2645" s="9" t="str">
        <f ca="1">IFERROR(__xludf.DUMMYFUNCTION("""COMPUTED_VALUE"""),"USD PKR rate for 19/10/2016")</f>
        <v>USD PKR rate for 19/10/2016</v>
      </c>
      <c r="I2645" s="9"/>
    </row>
    <row r="2646" spans="1:9" ht="14.25" customHeight="1" x14ac:dyDescent="0.3">
      <c r="A2646" s="6">
        <v>42363</v>
      </c>
      <c r="B2646" s="7">
        <v>104.3841</v>
      </c>
      <c r="C2646" s="8">
        <f t="shared" si="21"/>
        <v>126.74652668187088</v>
      </c>
      <c r="D2646" s="9">
        <f t="shared" si="20"/>
        <v>68.979697327108596</v>
      </c>
      <c r="E2646" s="9"/>
      <c r="F2646" s="9">
        <f ca="1">IFERROR(__xludf.DUMMYFUNCTION("""COMPUTED_VALUE"""),42661)</f>
        <v>42661</v>
      </c>
      <c r="G2646" s="9" t="str">
        <f ca="1">IFERROR(__xludf.DUMMYFUNCTION("""COMPUTED_VALUE"""),"1 USD = 104.7781 PKR")</f>
        <v>1 USD = 104.7781 PKR</v>
      </c>
      <c r="H2646" s="9" t="str">
        <f ca="1">IFERROR(__xludf.DUMMYFUNCTION("""COMPUTED_VALUE"""),"USD PKR rate for 18/10/2016")</f>
        <v>USD PKR rate for 18/10/2016</v>
      </c>
      <c r="I2646" s="9"/>
    </row>
    <row r="2647" spans="1:9" ht="14.25" customHeight="1" x14ac:dyDescent="0.3">
      <c r="A2647" s="6">
        <v>42364</v>
      </c>
      <c r="B2647" s="7">
        <v>104.3394</v>
      </c>
      <c r="C2647" s="8">
        <f t="shared" si="21"/>
        <v>126.76919526880815</v>
      </c>
      <c r="D2647" s="9">
        <f t="shared" si="20"/>
        <v>68.982435159905862</v>
      </c>
      <c r="E2647" s="9"/>
      <c r="F2647" s="9">
        <f ca="1">IFERROR(__xludf.DUMMYFUNCTION("""COMPUTED_VALUE"""),42660)</f>
        <v>42660</v>
      </c>
      <c r="G2647" s="9" t="str">
        <f ca="1">IFERROR(__xludf.DUMMYFUNCTION("""COMPUTED_VALUE"""),"1 USD = 104.7651 PKR")</f>
        <v>1 USD = 104.7651 PKR</v>
      </c>
      <c r="H2647" s="9" t="str">
        <f ca="1">IFERROR(__xludf.DUMMYFUNCTION("""COMPUTED_VALUE"""),"USD PKR rate for 17/10/2016")</f>
        <v>USD PKR rate for 17/10/2016</v>
      </c>
      <c r="I2647" s="9"/>
    </row>
    <row r="2648" spans="1:9" ht="14.25" customHeight="1" x14ac:dyDescent="0.3">
      <c r="A2648" s="6">
        <v>42365</v>
      </c>
      <c r="B2648" s="7">
        <v>104.732</v>
      </c>
      <c r="C2648" s="8">
        <f t="shared" si="21"/>
        <v>126.79186791001682</v>
      </c>
      <c r="D2648" s="9">
        <f t="shared" si="20"/>
        <v>68.985172992703127</v>
      </c>
      <c r="E2648" s="9"/>
      <c r="F2648" s="9">
        <f ca="1">IFERROR(__xludf.DUMMYFUNCTION("""COMPUTED_VALUE"""),42659)</f>
        <v>42659</v>
      </c>
      <c r="G2648" s="9" t="str">
        <f ca="1">IFERROR(__xludf.DUMMYFUNCTION("""COMPUTED_VALUE"""),"1 USD = 104.8719 PKR")</f>
        <v>1 USD = 104.8719 PKR</v>
      </c>
      <c r="H2648" s="9" t="str">
        <f ca="1">IFERROR(__xludf.DUMMYFUNCTION("""COMPUTED_VALUE"""),"USD PKR rate for 16/10/2016")</f>
        <v>USD PKR rate for 16/10/2016</v>
      </c>
      <c r="I2648" s="9"/>
    </row>
    <row r="2649" spans="1:9" ht="14.25" customHeight="1" x14ac:dyDescent="0.3">
      <c r="A2649" s="6">
        <v>42366</v>
      </c>
      <c r="B2649" s="7">
        <v>104.80029999999999</v>
      </c>
      <c r="C2649" s="8">
        <f t="shared" si="21"/>
        <v>126.81454460622221</v>
      </c>
      <c r="D2649" s="9">
        <f t="shared" si="20"/>
        <v>68.987910825500393</v>
      </c>
      <c r="E2649" s="9"/>
      <c r="F2649" s="9">
        <f ca="1">IFERROR(__xludf.DUMMYFUNCTION("""COMPUTED_VALUE"""),42658)</f>
        <v>42658</v>
      </c>
      <c r="G2649" s="9" t="str">
        <f ca="1">IFERROR(__xludf.DUMMYFUNCTION("""COMPUTED_VALUE"""),"1 USD = 104.5842 PKR")</f>
        <v>1 USD = 104.5842 PKR</v>
      </c>
      <c r="H2649" s="9" t="str">
        <f ca="1">IFERROR(__xludf.DUMMYFUNCTION("""COMPUTED_VALUE"""),"USD PKR rate for 15/10/2016")</f>
        <v>USD PKR rate for 15/10/2016</v>
      </c>
      <c r="I2649" s="9"/>
    </row>
    <row r="2650" spans="1:9" ht="14.25" customHeight="1" x14ac:dyDescent="0.3">
      <c r="A2650" s="6">
        <v>42367</v>
      </c>
      <c r="B2650" s="7">
        <v>104.87730000000001</v>
      </c>
      <c r="C2650" s="8">
        <f t="shared" si="21"/>
        <v>126.8372253581495</v>
      </c>
      <c r="D2650" s="9">
        <f t="shared" si="20"/>
        <v>68.990648658297658</v>
      </c>
      <c r="E2650" s="9"/>
      <c r="F2650" s="9">
        <f ca="1">IFERROR(__xludf.DUMMYFUNCTION("""COMPUTED_VALUE"""),42657)</f>
        <v>42657</v>
      </c>
      <c r="G2650" s="9" t="str">
        <f ca="1">IFERROR(__xludf.DUMMYFUNCTION("""COMPUTED_VALUE"""),"1 USD = 104.5915 PKR")</f>
        <v>1 USD = 104.5915 PKR</v>
      </c>
      <c r="H2650" s="9" t="str">
        <f ca="1">IFERROR(__xludf.DUMMYFUNCTION("""COMPUTED_VALUE"""),"USD PKR rate for 14/10/2016")</f>
        <v>USD PKR rate for 14/10/2016</v>
      </c>
      <c r="I2650" s="9"/>
    </row>
    <row r="2651" spans="1:9" ht="14.25" customHeight="1" x14ac:dyDescent="0.3">
      <c r="A2651" s="6">
        <v>42368</v>
      </c>
      <c r="B2651" s="7">
        <v>104.8235</v>
      </c>
      <c r="C2651" s="8">
        <f t="shared" si="21"/>
        <v>126.859910166524</v>
      </c>
      <c r="D2651" s="9">
        <f t="shared" si="20"/>
        <v>68.993386491094924</v>
      </c>
      <c r="E2651" s="9"/>
      <c r="F2651" s="9">
        <f ca="1">IFERROR(__xludf.DUMMYFUNCTION("""COMPUTED_VALUE"""),42656)</f>
        <v>42656</v>
      </c>
      <c r="G2651" s="9" t="str">
        <f ca="1">IFERROR(__xludf.DUMMYFUNCTION("""COMPUTED_VALUE"""),"1 USD = 104.6238 PKR")</f>
        <v>1 USD = 104.6238 PKR</v>
      </c>
      <c r="H2651" s="9" t="str">
        <f ca="1">IFERROR(__xludf.DUMMYFUNCTION("""COMPUTED_VALUE"""),"USD PKR rate for 13/10/2016")</f>
        <v>USD PKR rate for 13/10/2016</v>
      </c>
      <c r="I2651" s="9"/>
    </row>
    <row r="2652" spans="1:9" ht="14.25" customHeight="1" x14ac:dyDescent="0.3">
      <c r="A2652" s="6">
        <v>42369</v>
      </c>
      <c r="B2652" s="7">
        <v>104.76300000000001</v>
      </c>
      <c r="C2652" s="8">
        <f t="shared" si="21"/>
        <v>126.88259903207121</v>
      </c>
      <c r="D2652" s="9">
        <f t="shared" si="20"/>
        <v>68.99612432389219</v>
      </c>
      <c r="E2652" s="9"/>
      <c r="F2652" s="9">
        <f ca="1">IFERROR(__xludf.DUMMYFUNCTION("""COMPUTED_VALUE"""),42655)</f>
        <v>42655</v>
      </c>
      <c r="G2652" s="9" t="str">
        <f ca="1">IFERROR(__xludf.DUMMYFUNCTION("""COMPUTED_VALUE"""),"1 USD = 104.6212 PKR")</f>
        <v>1 USD = 104.6212 PKR</v>
      </c>
      <c r="H2652" s="9" t="str">
        <f ca="1">IFERROR(__xludf.DUMMYFUNCTION("""COMPUTED_VALUE"""),"USD PKR rate for 12/10/2016")</f>
        <v>USD PKR rate for 12/10/2016</v>
      </c>
      <c r="I2652" s="9"/>
    </row>
    <row r="2653" spans="1:9" ht="14.25" customHeight="1" x14ac:dyDescent="0.3">
      <c r="A2653" s="6">
        <v>42370</v>
      </c>
      <c r="B2653" s="7">
        <v>104.91930000000001</v>
      </c>
      <c r="C2653" s="8">
        <f t="shared" si="21"/>
        <v>126.90529195551679</v>
      </c>
      <c r="D2653" s="9">
        <f t="shared" si="20"/>
        <v>68.998862156689455</v>
      </c>
      <c r="E2653" s="9"/>
      <c r="F2653" s="9">
        <f ca="1">IFERROR(__xludf.DUMMYFUNCTION("""COMPUTED_VALUE"""),42654)</f>
        <v>42654</v>
      </c>
      <c r="G2653" s="9" t="str">
        <f ca="1">IFERROR(__xludf.DUMMYFUNCTION("""COMPUTED_VALUE"""),"1 USD = 103.7754 PKR")</f>
        <v>1 USD = 103.7754 PKR</v>
      </c>
      <c r="H2653" s="9" t="str">
        <f ca="1">IFERROR(__xludf.DUMMYFUNCTION("""COMPUTED_VALUE"""),"USD PKR rate for 11/10/2016")</f>
        <v>USD PKR rate for 11/10/2016</v>
      </c>
      <c r="I2653" s="9"/>
    </row>
    <row r="2654" spans="1:9" ht="14.25" customHeight="1" x14ac:dyDescent="0.3">
      <c r="A2654" s="6">
        <v>42371</v>
      </c>
      <c r="B2654" s="7">
        <v>104.9712</v>
      </c>
      <c r="C2654" s="8">
        <f t="shared" si="21"/>
        <v>126.92798893758645</v>
      </c>
      <c r="D2654" s="9">
        <f t="shared" si="20"/>
        <v>69.001599989486721</v>
      </c>
      <c r="E2654" s="9"/>
      <c r="F2654" s="9">
        <f ca="1">IFERROR(__xludf.DUMMYFUNCTION("""COMPUTED_VALUE"""),42653)</f>
        <v>42653</v>
      </c>
      <c r="G2654" s="9" t="str">
        <f ca="1">IFERROR(__xludf.DUMMYFUNCTION("""COMPUTED_VALUE"""),"1 USD = 104.5362 PKR")</f>
        <v>1 USD = 104.5362 PKR</v>
      </c>
      <c r="H2654" s="9" t="str">
        <f ca="1">IFERROR(__xludf.DUMMYFUNCTION("""COMPUTED_VALUE"""),"USD PKR rate for 10/10/2016")</f>
        <v>USD PKR rate for 10/10/2016</v>
      </c>
      <c r="I2654" s="9"/>
    </row>
    <row r="2655" spans="1:9" ht="14.25" customHeight="1" x14ac:dyDescent="0.3">
      <c r="A2655" s="6">
        <v>42372</v>
      </c>
      <c r="B2655" s="7">
        <v>104.85660000000001</v>
      </c>
      <c r="C2655" s="8">
        <f t="shared" si="21"/>
        <v>126.95068997900611</v>
      </c>
      <c r="D2655" s="9">
        <f t="shared" si="20"/>
        <v>69.004337822283986</v>
      </c>
      <c r="E2655" s="9"/>
      <c r="F2655" s="9">
        <f ca="1">IFERROR(__xludf.DUMMYFUNCTION("""COMPUTED_VALUE"""),42652)</f>
        <v>42652</v>
      </c>
      <c r="G2655" s="9" t="str">
        <f ca="1">IFERROR(__xludf.DUMMYFUNCTION("""COMPUTED_VALUE"""),"1 USD = 104.4206 PKR")</f>
        <v>1 USD = 104.4206 PKR</v>
      </c>
      <c r="H2655" s="9" t="str">
        <f ca="1">IFERROR(__xludf.DUMMYFUNCTION("""COMPUTED_VALUE"""),"USD PKR rate for 09/10/2016")</f>
        <v>USD PKR rate for 09/10/2016</v>
      </c>
      <c r="I2655" s="9"/>
    </row>
    <row r="2656" spans="1:9" ht="14.25" customHeight="1" x14ac:dyDescent="0.3">
      <c r="A2656" s="6">
        <v>42373</v>
      </c>
      <c r="B2656" s="7">
        <v>105.04110000000001</v>
      </c>
      <c r="C2656" s="8">
        <f t="shared" si="21"/>
        <v>126.97339508050176</v>
      </c>
      <c r="D2656" s="9">
        <f t="shared" si="20"/>
        <v>69.007075655081252</v>
      </c>
      <c r="E2656" s="9"/>
      <c r="F2656" s="9">
        <f ca="1">IFERROR(__xludf.DUMMYFUNCTION("""COMPUTED_VALUE"""),42651)</f>
        <v>42651</v>
      </c>
      <c r="G2656" s="9" t="str">
        <f ca="1">IFERROR(__xludf.DUMMYFUNCTION("""COMPUTED_VALUE"""),"1 USD = 104.6981 PKR")</f>
        <v>1 USD = 104.6981 PKR</v>
      </c>
      <c r="H2656" s="9" t="str">
        <f ca="1">IFERROR(__xludf.DUMMYFUNCTION("""COMPUTED_VALUE"""),"USD PKR rate for 08/10/2016")</f>
        <v>USD PKR rate for 08/10/2016</v>
      </c>
      <c r="I2656" s="9"/>
    </row>
    <row r="2657" spans="1:9" ht="14.25" customHeight="1" x14ac:dyDescent="0.3">
      <c r="A2657" s="6">
        <v>42374</v>
      </c>
      <c r="B2657" s="7">
        <v>104.95010000000001</v>
      </c>
      <c r="C2657" s="8">
        <f t="shared" si="21"/>
        <v>126.99610424279945</v>
      </c>
      <c r="D2657" s="9">
        <f t="shared" si="20"/>
        <v>69.009813487878517</v>
      </c>
      <c r="E2657" s="9"/>
      <c r="F2657" s="9">
        <f ca="1">IFERROR(__xludf.DUMMYFUNCTION("""COMPUTED_VALUE"""),42650)</f>
        <v>42650</v>
      </c>
      <c r="G2657" s="9" t="str">
        <f ca="1">IFERROR(__xludf.DUMMYFUNCTION("""COMPUTED_VALUE"""),"1 USD = 104.6551 PKR")</f>
        <v>1 USD = 104.6551 PKR</v>
      </c>
      <c r="H2657" s="9" t="str">
        <f ca="1">IFERROR(__xludf.DUMMYFUNCTION("""COMPUTED_VALUE"""),"USD PKR rate for 07/10/2016")</f>
        <v>USD PKR rate for 07/10/2016</v>
      </c>
      <c r="I2657" s="9"/>
    </row>
    <row r="2658" spans="1:9" ht="14.25" customHeight="1" x14ac:dyDescent="0.3">
      <c r="A2658" s="6">
        <v>42375</v>
      </c>
      <c r="B2658" s="7">
        <v>104.92450000000001</v>
      </c>
      <c r="C2658" s="8">
        <f t="shared" si="21"/>
        <v>127.01881746662568</v>
      </c>
      <c r="D2658" s="9">
        <f t="shared" si="20"/>
        <v>69.012551320675783</v>
      </c>
      <c r="E2658" s="9"/>
      <c r="F2658" s="9">
        <f ca="1">IFERROR(__xludf.DUMMYFUNCTION("""COMPUTED_VALUE"""),42649)</f>
        <v>42649</v>
      </c>
      <c r="G2658" s="9" t="str">
        <f ca="1">IFERROR(__xludf.DUMMYFUNCTION("""COMPUTED_VALUE"""),"1 USD = 104.5392 PKR")</f>
        <v>1 USD = 104.5392 PKR</v>
      </c>
      <c r="H2658" s="9" t="str">
        <f ca="1">IFERROR(__xludf.DUMMYFUNCTION("""COMPUTED_VALUE"""),"USD PKR rate for 06/10/2016")</f>
        <v>USD PKR rate for 06/10/2016</v>
      </c>
      <c r="I2658" s="9"/>
    </row>
    <row r="2659" spans="1:9" ht="14.25" customHeight="1" x14ac:dyDescent="0.3">
      <c r="A2659" s="6">
        <v>42376</v>
      </c>
      <c r="B2659" s="7">
        <v>104.8553</v>
      </c>
      <c r="C2659" s="8">
        <f t="shared" si="21"/>
        <v>127.04153475270671</v>
      </c>
      <c r="D2659" s="9">
        <f t="shared" si="20"/>
        <v>69.015289153473049</v>
      </c>
      <c r="E2659" s="9"/>
      <c r="F2659" s="9">
        <f ca="1">IFERROR(__xludf.DUMMYFUNCTION("""COMPUTED_VALUE"""),42648)</f>
        <v>42648</v>
      </c>
      <c r="G2659" s="9" t="str">
        <f ca="1">IFERROR(__xludf.DUMMYFUNCTION("""COMPUTED_VALUE"""),"1 USD = 104.5351 PKR")</f>
        <v>1 USD = 104.5351 PKR</v>
      </c>
      <c r="H2659" s="9" t="str">
        <f ca="1">IFERROR(__xludf.DUMMYFUNCTION("""COMPUTED_VALUE"""),"USD PKR rate for 05/10/2016")</f>
        <v>USD PKR rate for 05/10/2016</v>
      </c>
      <c r="I2659" s="9"/>
    </row>
    <row r="2660" spans="1:9" ht="14.25" customHeight="1" x14ac:dyDescent="0.3">
      <c r="A2660" s="6">
        <v>42377</v>
      </c>
      <c r="B2660" s="7">
        <v>104.73909999999999</v>
      </c>
      <c r="C2660" s="8">
        <f t="shared" si="21"/>
        <v>127.06425610176909</v>
      </c>
      <c r="D2660" s="9">
        <f t="shared" si="20"/>
        <v>69.018026986270314</v>
      </c>
      <c r="E2660" s="9"/>
      <c r="F2660" s="9">
        <f ca="1">IFERROR(__xludf.DUMMYFUNCTION("""COMPUTED_VALUE"""),42647)</f>
        <v>42647</v>
      </c>
      <c r="G2660" s="9" t="str">
        <f ca="1">IFERROR(__xludf.DUMMYFUNCTION("""COMPUTED_VALUE"""),"1 USD = 104.3054 PKR")</f>
        <v>1 USD = 104.3054 PKR</v>
      </c>
      <c r="H2660" s="9" t="str">
        <f ca="1">IFERROR(__xludf.DUMMYFUNCTION("""COMPUTED_VALUE"""),"USD PKR rate for 04/10/2016")</f>
        <v>USD PKR rate for 04/10/2016</v>
      </c>
      <c r="I2660" s="9"/>
    </row>
    <row r="2661" spans="1:9" ht="14.25" customHeight="1" x14ac:dyDescent="0.3">
      <c r="A2661" s="6">
        <v>42378</v>
      </c>
      <c r="B2661" s="7">
        <v>104.72740000000002</v>
      </c>
      <c r="C2661" s="8">
        <f t="shared" si="21"/>
        <v>127.08698151453949</v>
      </c>
      <c r="D2661" s="9">
        <f t="shared" si="20"/>
        <v>69.02076481906758</v>
      </c>
      <c r="E2661" s="9"/>
      <c r="F2661" s="9">
        <f ca="1">IFERROR(__xludf.DUMMYFUNCTION("""COMPUTED_VALUE"""),42646)</f>
        <v>42646</v>
      </c>
      <c r="G2661" s="9" t="str">
        <f ca="1">IFERROR(__xludf.DUMMYFUNCTION("""COMPUTED_VALUE"""),"1 USD = 104.4005 PKR")</f>
        <v>1 USD = 104.4005 PKR</v>
      </c>
      <c r="H2661" s="9" t="str">
        <f ca="1">IFERROR(__xludf.DUMMYFUNCTION("""COMPUTED_VALUE"""),"USD PKR rate for 03/10/2016")</f>
        <v>USD PKR rate for 03/10/2016</v>
      </c>
      <c r="I2661" s="9"/>
    </row>
    <row r="2662" spans="1:9" ht="14.25" customHeight="1" x14ac:dyDescent="0.3">
      <c r="A2662" s="6">
        <v>42379</v>
      </c>
      <c r="B2662" s="7">
        <v>104.7158</v>
      </c>
      <c r="C2662" s="8">
        <f t="shared" si="21"/>
        <v>127.10971099174472</v>
      </c>
      <c r="D2662" s="9">
        <f t="shared" si="20"/>
        <v>69.023502651864845</v>
      </c>
      <c r="E2662" s="9"/>
      <c r="F2662" s="9">
        <f ca="1">IFERROR(__xludf.DUMMYFUNCTION("""COMPUTED_VALUE"""),42645)</f>
        <v>42645</v>
      </c>
      <c r="G2662" s="9" t="str">
        <f ca="1">IFERROR(__xludf.DUMMYFUNCTION("""COMPUTED_VALUE"""),"1 USD = 104.2663 PKR")</f>
        <v>1 USD = 104.2663 PKR</v>
      </c>
      <c r="H2662" s="9" t="str">
        <f ca="1">IFERROR(__xludf.DUMMYFUNCTION("""COMPUTED_VALUE"""),"USD PKR rate for 02/10/2016")</f>
        <v>USD PKR rate for 02/10/2016</v>
      </c>
      <c r="I2662" s="9"/>
    </row>
    <row r="2663" spans="1:9" ht="14.25" customHeight="1" x14ac:dyDescent="0.3">
      <c r="A2663" s="6">
        <v>42380</v>
      </c>
      <c r="B2663" s="7">
        <v>104.8411</v>
      </c>
      <c r="C2663" s="8">
        <f t="shared" si="21"/>
        <v>127.13244453411167</v>
      </c>
      <c r="D2663" s="9">
        <f t="shared" si="20"/>
        <v>69.026240484662111</v>
      </c>
      <c r="E2663" s="9"/>
      <c r="F2663" s="9">
        <f ca="1">IFERROR(__xludf.DUMMYFUNCTION("""COMPUTED_VALUE"""),42644)</f>
        <v>42644</v>
      </c>
      <c r="G2663" s="9" t="str">
        <f ca="1">IFERROR(__xludf.DUMMYFUNCTION("""COMPUTED_VALUE"""),"1 USD = 104.4954 PKR")</f>
        <v>1 USD = 104.4954 PKR</v>
      </c>
      <c r="H2663" s="9" t="str">
        <f ca="1">IFERROR(__xludf.DUMMYFUNCTION("""COMPUTED_VALUE"""),"USD PKR rate for 01/10/2016")</f>
        <v>USD PKR rate for 01/10/2016</v>
      </c>
      <c r="I2663" s="9"/>
    </row>
    <row r="2664" spans="1:9" ht="14.25" customHeight="1" x14ac:dyDescent="0.3">
      <c r="A2664" s="6">
        <v>42381</v>
      </c>
      <c r="B2664" s="7">
        <v>104.88939999999999</v>
      </c>
      <c r="C2664" s="8">
        <f t="shared" si="21"/>
        <v>127.15518214236739</v>
      </c>
      <c r="D2664" s="9">
        <f t="shared" si="20"/>
        <v>69.028978317459377</v>
      </c>
      <c r="E2664" s="9"/>
      <c r="F2664" s="9">
        <f ca="1">IFERROR(__xludf.DUMMYFUNCTION("""COMPUTED_VALUE"""),42643)</f>
        <v>42643</v>
      </c>
      <c r="G2664" s="9" t="str">
        <f ca="1">IFERROR(__xludf.DUMMYFUNCTION("""COMPUTED_VALUE"""),"1 USD = 104.4889 PKR")</f>
        <v>1 USD = 104.4889 PKR</v>
      </c>
      <c r="H2664" s="9" t="str">
        <f ca="1">IFERROR(__xludf.DUMMYFUNCTION("""COMPUTED_VALUE"""),"USD PKR rate for 30/09/2016")</f>
        <v>USD PKR rate for 30/09/2016</v>
      </c>
      <c r="I2664" s="9"/>
    </row>
    <row r="2665" spans="1:9" ht="14.25" customHeight="1" x14ac:dyDescent="0.3">
      <c r="A2665" s="6">
        <v>42382</v>
      </c>
      <c r="B2665" s="7">
        <v>104.7753</v>
      </c>
      <c r="C2665" s="8">
        <f t="shared" si="21"/>
        <v>127.17792381723909</v>
      </c>
      <c r="D2665" s="9">
        <f t="shared" si="20"/>
        <v>69.031716150256642</v>
      </c>
      <c r="E2665" s="9"/>
      <c r="F2665" s="9">
        <f ca="1">IFERROR(__xludf.DUMMYFUNCTION("""COMPUTED_VALUE"""),42642)</f>
        <v>42642</v>
      </c>
      <c r="G2665" s="9" t="str">
        <f ca="1">IFERROR(__xludf.DUMMYFUNCTION("""COMPUTED_VALUE"""),"1 USD = 104.6225 PKR")</f>
        <v>1 USD = 104.6225 PKR</v>
      </c>
      <c r="H2665" s="9" t="str">
        <f ca="1">IFERROR(__xludf.DUMMYFUNCTION("""COMPUTED_VALUE"""),"USD PKR rate for 29/09/2016")</f>
        <v>USD PKR rate for 29/09/2016</v>
      </c>
      <c r="I2665" s="9"/>
    </row>
    <row r="2666" spans="1:9" ht="14.25" customHeight="1" x14ac:dyDescent="0.3">
      <c r="A2666" s="6">
        <v>42383</v>
      </c>
      <c r="B2666" s="7">
        <v>104.9314</v>
      </c>
      <c r="C2666" s="8">
        <f t="shared" si="21"/>
        <v>127.20066955945397</v>
      </c>
      <c r="D2666" s="9">
        <f t="shared" si="20"/>
        <v>69.034453983053908</v>
      </c>
      <c r="E2666" s="9"/>
      <c r="F2666" s="9">
        <f ca="1">IFERROR(__xludf.DUMMYFUNCTION("""COMPUTED_VALUE"""),42641)</f>
        <v>42641</v>
      </c>
      <c r="G2666" s="9" t="str">
        <f ca="1">IFERROR(__xludf.DUMMYFUNCTION("""COMPUTED_VALUE"""),"1 USD = 104.7322 PKR")</f>
        <v>1 USD = 104.7322 PKR</v>
      </c>
      <c r="H2666" s="9" t="str">
        <f ca="1">IFERROR(__xludf.DUMMYFUNCTION("""COMPUTED_VALUE"""),"USD PKR rate for 28/09/2016")</f>
        <v>USD PKR rate for 28/09/2016</v>
      </c>
      <c r="I2666" s="9"/>
    </row>
    <row r="2667" spans="1:9" ht="14.25" customHeight="1" x14ac:dyDescent="0.3">
      <c r="A2667" s="6">
        <v>42384</v>
      </c>
      <c r="B2667" s="7">
        <v>104.8047</v>
      </c>
      <c r="C2667" s="8">
        <f t="shared" si="21"/>
        <v>127.22341936973969</v>
      </c>
      <c r="D2667" s="9">
        <f t="shared" si="20"/>
        <v>69.037191815851173</v>
      </c>
      <c r="E2667" s="9"/>
      <c r="F2667" s="9">
        <f ca="1">IFERROR(__xludf.DUMMYFUNCTION("""COMPUTED_VALUE"""),42640)</f>
        <v>42640</v>
      </c>
      <c r="G2667" s="9" t="str">
        <f ca="1">IFERROR(__xludf.DUMMYFUNCTION("""COMPUTED_VALUE"""),"1 USD = 104.8053 PKR")</f>
        <v>1 USD = 104.8053 PKR</v>
      </c>
      <c r="H2667" s="9" t="str">
        <f ca="1">IFERROR(__xludf.DUMMYFUNCTION("""COMPUTED_VALUE"""),"USD PKR rate for 27/09/2016")</f>
        <v>USD PKR rate for 27/09/2016</v>
      </c>
      <c r="I2667" s="9"/>
    </row>
    <row r="2668" spans="1:9" ht="14.25" customHeight="1" x14ac:dyDescent="0.3">
      <c r="A2668" s="6">
        <v>42385</v>
      </c>
      <c r="B2668" s="7">
        <v>104.93810000000001</v>
      </c>
      <c r="C2668" s="8">
        <f t="shared" si="21"/>
        <v>127.24617324882369</v>
      </c>
      <c r="D2668" s="9">
        <f t="shared" si="20"/>
        <v>69.039929648648439</v>
      </c>
      <c r="E2668" s="9"/>
      <c r="F2668" s="9">
        <f ca="1">IFERROR(__xludf.DUMMYFUNCTION("""COMPUTED_VALUE"""),42639)</f>
        <v>42639</v>
      </c>
      <c r="G2668" s="9" t="str">
        <f ca="1">IFERROR(__xludf.DUMMYFUNCTION("""COMPUTED_VALUE"""),"1 USD = 104.7657 PKR")</f>
        <v>1 USD = 104.7657 PKR</v>
      </c>
      <c r="H2668" s="9" t="str">
        <f ca="1">IFERROR(__xludf.DUMMYFUNCTION("""COMPUTED_VALUE"""),"USD PKR rate for 26/09/2016")</f>
        <v>USD PKR rate for 26/09/2016</v>
      </c>
      <c r="I2668" s="9"/>
    </row>
    <row r="2669" spans="1:9" ht="14.25" customHeight="1" x14ac:dyDescent="0.3">
      <c r="A2669" s="6">
        <v>42386</v>
      </c>
      <c r="B2669" s="7">
        <v>104.8075</v>
      </c>
      <c r="C2669" s="8">
        <f t="shared" si="21"/>
        <v>127.2689311974337</v>
      </c>
      <c r="D2669" s="9">
        <f t="shared" si="20"/>
        <v>69.042667481445704</v>
      </c>
      <c r="E2669" s="9"/>
      <c r="F2669" s="9">
        <f ca="1">IFERROR(__xludf.DUMMYFUNCTION("""COMPUTED_VALUE"""),42638)</f>
        <v>42638</v>
      </c>
      <c r="G2669" s="9" t="str">
        <f ca="1">IFERROR(__xludf.DUMMYFUNCTION("""COMPUTED_VALUE"""),"1 USD = 104.6993 PKR")</f>
        <v>1 USD = 104.6993 PKR</v>
      </c>
      <c r="H2669" s="9" t="str">
        <f ca="1">IFERROR(__xludf.DUMMYFUNCTION("""COMPUTED_VALUE"""),"USD PKR rate for 25/09/2016")</f>
        <v>USD PKR rate for 25/09/2016</v>
      </c>
      <c r="I2669" s="9"/>
    </row>
    <row r="2670" spans="1:9" ht="14.25" customHeight="1" x14ac:dyDescent="0.3">
      <c r="A2670" s="6">
        <v>42387</v>
      </c>
      <c r="B2670" s="7">
        <v>104.97029999999999</v>
      </c>
      <c r="C2670" s="8">
        <f t="shared" si="21"/>
        <v>127.29169321629757</v>
      </c>
      <c r="D2670" s="9">
        <f t="shared" si="20"/>
        <v>69.04540531424297</v>
      </c>
      <c r="E2670" s="9"/>
      <c r="F2670" s="9">
        <f ca="1">IFERROR(__xludf.DUMMYFUNCTION("""COMPUTED_VALUE"""),42637)</f>
        <v>42637</v>
      </c>
      <c r="G2670" s="9" t="str">
        <f ca="1">IFERROR(__xludf.DUMMYFUNCTION("""COMPUTED_VALUE"""),"1 USD = 104.7814 PKR")</f>
        <v>1 USD = 104.7814 PKR</v>
      </c>
      <c r="H2670" s="9" t="str">
        <f ca="1">IFERROR(__xludf.DUMMYFUNCTION("""COMPUTED_VALUE"""),"USD PKR rate for 24/09/2016")</f>
        <v>USD PKR rate for 24/09/2016</v>
      </c>
      <c r="I2670" s="9"/>
    </row>
    <row r="2671" spans="1:9" ht="14.25" customHeight="1" x14ac:dyDescent="0.3">
      <c r="A2671" s="6">
        <v>42388</v>
      </c>
      <c r="B2671" s="7">
        <v>104.8074</v>
      </c>
      <c r="C2671" s="8">
        <f t="shared" si="21"/>
        <v>127.31445930614322</v>
      </c>
      <c r="D2671" s="9">
        <f t="shared" si="20"/>
        <v>69.048143147040236</v>
      </c>
      <c r="E2671" s="9"/>
      <c r="F2671" s="9">
        <f ca="1">IFERROR(__xludf.DUMMYFUNCTION("""COMPUTED_VALUE"""),42636)</f>
        <v>42636</v>
      </c>
      <c r="G2671" s="9" t="str">
        <f ca="1">IFERROR(__xludf.DUMMYFUNCTION("""COMPUTED_VALUE"""),"1 USD = 104.7458 PKR")</f>
        <v>1 USD = 104.7458 PKR</v>
      </c>
      <c r="H2671" s="9" t="str">
        <f ca="1">IFERROR(__xludf.DUMMYFUNCTION("""COMPUTED_VALUE"""),"USD PKR rate for 23/09/2016")</f>
        <v>USD PKR rate for 23/09/2016</v>
      </c>
      <c r="I2671" s="9"/>
    </row>
    <row r="2672" spans="1:9" ht="14.25" customHeight="1" x14ac:dyDescent="0.3">
      <c r="A2672" s="6">
        <v>42389</v>
      </c>
      <c r="B2672" s="7">
        <v>104.7903</v>
      </c>
      <c r="C2672" s="8">
        <f t="shared" si="21"/>
        <v>127.33722946769878</v>
      </c>
      <c r="D2672" s="9">
        <f t="shared" si="20"/>
        <v>69.050880979837501</v>
      </c>
      <c r="E2672" s="9"/>
      <c r="F2672" s="9">
        <f ca="1">IFERROR(__xludf.DUMMYFUNCTION("""COMPUTED_VALUE"""),42635)</f>
        <v>42635</v>
      </c>
      <c r="G2672" s="9" t="str">
        <f ca="1">IFERROR(__xludf.DUMMYFUNCTION("""COMPUTED_VALUE"""),"1 USD = 104.8063 PKR")</f>
        <v>1 USD = 104.8063 PKR</v>
      </c>
      <c r="H2672" s="9" t="str">
        <f ca="1">IFERROR(__xludf.DUMMYFUNCTION("""COMPUTED_VALUE"""),"USD PKR rate for 22/09/2016")</f>
        <v>USD PKR rate for 22/09/2016</v>
      </c>
      <c r="I2672" s="9"/>
    </row>
    <row r="2673" spans="1:9" ht="14.25" customHeight="1" x14ac:dyDescent="0.3">
      <c r="A2673" s="6">
        <v>42390</v>
      </c>
      <c r="B2673" s="7">
        <v>104.89510000000001</v>
      </c>
      <c r="C2673" s="8">
        <f t="shared" si="21"/>
        <v>127.36000370169243</v>
      </c>
      <c r="D2673" s="9">
        <f t="shared" si="20"/>
        <v>69.053618812634767</v>
      </c>
      <c r="E2673" s="9"/>
      <c r="F2673" s="9">
        <f ca="1">IFERROR(__xludf.DUMMYFUNCTION("""COMPUTED_VALUE"""),42634)</f>
        <v>42634</v>
      </c>
      <c r="G2673" s="9" t="str">
        <f ca="1">IFERROR(__xludf.DUMMYFUNCTION("""COMPUTED_VALUE"""),"1 USD = 104.6211 PKR")</f>
        <v>1 USD = 104.6211 PKR</v>
      </c>
      <c r="H2673" s="9" t="str">
        <f ca="1">IFERROR(__xludf.DUMMYFUNCTION("""COMPUTED_VALUE"""),"USD PKR rate for 21/09/2016")</f>
        <v>USD PKR rate for 21/09/2016</v>
      </c>
      <c r="I2673" s="9"/>
    </row>
    <row r="2674" spans="1:9" ht="14.25" customHeight="1" x14ac:dyDescent="0.3">
      <c r="A2674" s="6">
        <v>42391</v>
      </c>
      <c r="B2674" s="7">
        <v>104.9605</v>
      </c>
      <c r="C2674" s="8">
        <f t="shared" si="21"/>
        <v>127.3827820088526</v>
      </c>
      <c r="D2674" s="9">
        <f t="shared" si="20"/>
        <v>69.056356645432032</v>
      </c>
      <c r="E2674" s="9"/>
      <c r="F2674" s="9">
        <f ca="1">IFERROR(__xludf.DUMMYFUNCTION("""COMPUTED_VALUE"""),42633)</f>
        <v>42633</v>
      </c>
      <c r="G2674" s="9" t="str">
        <f ca="1">IFERROR(__xludf.DUMMYFUNCTION("""COMPUTED_VALUE"""),"1 USD = 104.6025 PKR")</f>
        <v>1 USD = 104.6025 PKR</v>
      </c>
      <c r="H2674" s="9" t="str">
        <f ca="1">IFERROR(__xludf.DUMMYFUNCTION("""COMPUTED_VALUE"""),"USD PKR rate for 20/09/2016")</f>
        <v>USD PKR rate for 20/09/2016</v>
      </c>
      <c r="I2674" s="9"/>
    </row>
    <row r="2675" spans="1:9" ht="14.25" customHeight="1" x14ac:dyDescent="0.3">
      <c r="A2675" s="6">
        <v>42392</v>
      </c>
      <c r="B2675" s="7">
        <v>104.9877</v>
      </c>
      <c r="C2675" s="8">
        <f t="shared" si="21"/>
        <v>127.40556438990758</v>
      </c>
      <c r="D2675" s="9">
        <f t="shared" si="20"/>
        <v>69.059094478229298</v>
      </c>
      <c r="E2675" s="9"/>
      <c r="F2675" s="9">
        <f ca="1">IFERROR(__xludf.DUMMYFUNCTION("""COMPUTED_VALUE"""),42632)</f>
        <v>42632</v>
      </c>
      <c r="G2675" s="9" t="str">
        <f ca="1">IFERROR(__xludf.DUMMYFUNCTION("""COMPUTED_VALUE"""),"1 USD = 104.6007 PKR")</f>
        <v>1 USD = 104.6007 PKR</v>
      </c>
      <c r="H2675" s="9" t="str">
        <f ca="1">IFERROR(__xludf.DUMMYFUNCTION("""COMPUTED_VALUE"""),"USD PKR rate for 19/09/2016")</f>
        <v>USD PKR rate for 19/09/2016</v>
      </c>
      <c r="I2675" s="9"/>
    </row>
    <row r="2676" spans="1:9" ht="14.25" customHeight="1" x14ac:dyDescent="0.3">
      <c r="A2676" s="6">
        <v>42393</v>
      </c>
      <c r="B2676" s="7">
        <v>105.093</v>
      </c>
      <c r="C2676" s="8">
        <f t="shared" si="21"/>
        <v>127.42835084558627</v>
      </c>
      <c r="D2676" s="9">
        <f t="shared" si="20"/>
        <v>69.061832311026564</v>
      </c>
      <c r="E2676" s="9"/>
      <c r="F2676" s="9">
        <f ca="1">IFERROR(__xludf.DUMMYFUNCTION("""COMPUTED_VALUE"""),42631)</f>
        <v>42631</v>
      </c>
      <c r="G2676" s="9" t="str">
        <f ca="1">IFERROR(__xludf.DUMMYFUNCTION("""COMPUTED_VALUE"""),"1 USD = 104.6862 PKR")</f>
        <v>1 USD = 104.6862 PKR</v>
      </c>
      <c r="H2676" s="9" t="str">
        <f ca="1">IFERROR(__xludf.DUMMYFUNCTION("""COMPUTED_VALUE"""),"USD PKR rate for 18/09/2016")</f>
        <v>USD PKR rate for 18/09/2016</v>
      </c>
      <c r="I2676" s="9"/>
    </row>
    <row r="2677" spans="1:9" ht="14.25" customHeight="1" x14ac:dyDescent="0.3">
      <c r="A2677" s="6">
        <v>42394</v>
      </c>
      <c r="B2677" s="7">
        <v>104.96600000000001</v>
      </c>
      <c r="C2677" s="8">
        <f t="shared" si="21"/>
        <v>127.45114137661724</v>
      </c>
      <c r="D2677" s="9">
        <f t="shared" si="20"/>
        <v>69.064570143823829</v>
      </c>
      <c r="E2677" s="9"/>
      <c r="F2677" s="9">
        <f ca="1">IFERROR(__xludf.DUMMYFUNCTION("""COMPUTED_VALUE"""),42630)</f>
        <v>42630</v>
      </c>
      <c r="G2677" s="9" t="str">
        <f ca="1">IFERROR(__xludf.DUMMYFUNCTION("""COMPUTED_VALUE"""),"1 USD = 104.4983 PKR")</f>
        <v>1 USD = 104.4983 PKR</v>
      </c>
      <c r="H2677" s="9" t="str">
        <f ca="1">IFERROR(__xludf.DUMMYFUNCTION("""COMPUTED_VALUE"""),"USD PKR rate for 17/09/2016")</f>
        <v>USD PKR rate for 17/09/2016</v>
      </c>
      <c r="I2677" s="9"/>
    </row>
    <row r="2678" spans="1:9" ht="14.25" customHeight="1" x14ac:dyDescent="0.3">
      <c r="A2678" s="6">
        <v>42395</v>
      </c>
      <c r="B2678" s="7">
        <v>104.96900000000001</v>
      </c>
      <c r="C2678" s="8">
        <f t="shared" si="21"/>
        <v>127.47393598372945</v>
      </c>
      <c r="D2678" s="9">
        <f t="shared" si="20"/>
        <v>69.067307976621095</v>
      </c>
      <c r="E2678" s="9"/>
      <c r="F2678" s="9">
        <f ca="1">IFERROR(__xludf.DUMMYFUNCTION("""COMPUTED_VALUE"""),42629)</f>
        <v>42629</v>
      </c>
      <c r="G2678" s="9" t="str">
        <f ca="1">IFERROR(__xludf.DUMMYFUNCTION("""COMPUTED_VALUE"""),"1 USD = 104.4572 PKR")</f>
        <v>1 USD = 104.4572 PKR</v>
      </c>
      <c r="H2678" s="9" t="str">
        <f ca="1">IFERROR(__xludf.DUMMYFUNCTION("""COMPUTED_VALUE"""),"USD PKR rate for 16/09/2016")</f>
        <v>USD PKR rate for 16/09/2016</v>
      </c>
      <c r="I2678" s="9"/>
    </row>
    <row r="2679" spans="1:9" ht="14.25" customHeight="1" x14ac:dyDescent="0.3">
      <c r="A2679" s="6">
        <v>42396</v>
      </c>
      <c r="B2679" s="7">
        <v>104.93960000000001</v>
      </c>
      <c r="C2679" s="8">
        <f t="shared" si="21"/>
        <v>127.49673466765185</v>
      </c>
      <c r="D2679" s="9">
        <f t="shared" si="20"/>
        <v>69.07004580941836</v>
      </c>
      <c r="E2679" s="9"/>
      <c r="F2679" s="9">
        <f ca="1">IFERROR(__xludf.DUMMYFUNCTION("""COMPUTED_VALUE"""),42628)</f>
        <v>42628</v>
      </c>
      <c r="G2679" s="9" t="str">
        <f ca="1">IFERROR(__xludf.DUMMYFUNCTION("""COMPUTED_VALUE"""),"1 USD = 104.5063 PKR")</f>
        <v>1 USD = 104.5063 PKR</v>
      </c>
      <c r="H2679" s="9" t="str">
        <f ca="1">IFERROR(__xludf.DUMMYFUNCTION("""COMPUTED_VALUE"""),"USD PKR rate for 15/09/2016")</f>
        <v>USD PKR rate for 15/09/2016</v>
      </c>
      <c r="I2679" s="9"/>
    </row>
    <row r="2680" spans="1:9" ht="14.25" customHeight="1" x14ac:dyDescent="0.3">
      <c r="A2680" s="6">
        <v>42397</v>
      </c>
      <c r="B2680" s="7">
        <v>104.80419999999999</v>
      </c>
      <c r="C2680" s="8">
        <f t="shared" si="21"/>
        <v>127.51953742911357</v>
      </c>
      <c r="D2680" s="9">
        <f t="shared" si="20"/>
        <v>69.072783642215626</v>
      </c>
      <c r="E2680" s="9"/>
      <c r="F2680" s="9">
        <f ca="1">IFERROR(__xludf.DUMMYFUNCTION("""COMPUTED_VALUE"""),42627)</f>
        <v>42627</v>
      </c>
      <c r="G2680" s="9" t="str">
        <f ca="1">IFERROR(__xludf.DUMMYFUNCTION("""COMPUTED_VALUE"""),"1 USD = 104.2833 PKR")</f>
        <v>1 USD = 104.2833 PKR</v>
      </c>
      <c r="H2680" s="9" t="str">
        <f ca="1">IFERROR(__xludf.DUMMYFUNCTION("""COMPUTED_VALUE"""),"USD PKR rate for 14/09/2016")</f>
        <v>USD PKR rate for 14/09/2016</v>
      </c>
      <c r="I2680" s="9"/>
    </row>
    <row r="2681" spans="1:9" ht="14.25" customHeight="1" x14ac:dyDescent="0.3">
      <c r="A2681" s="6">
        <v>42398</v>
      </c>
      <c r="B2681" s="7">
        <v>104.8681</v>
      </c>
      <c r="C2681" s="8">
        <f t="shared" si="21"/>
        <v>127.54234426884392</v>
      </c>
      <c r="D2681" s="9">
        <f t="shared" si="20"/>
        <v>69.075521475012891</v>
      </c>
      <c r="E2681" s="9"/>
      <c r="F2681" s="9">
        <f ca="1">IFERROR(__xludf.DUMMYFUNCTION("""COMPUTED_VALUE"""),42626)</f>
        <v>42626</v>
      </c>
      <c r="G2681" s="9" t="str">
        <f ca="1">IFERROR(__xludf.DUMMYFUNCTION("""COMPUTED_VALUE"""),"1 USD = 104.3438 PKR")</f>
        <v>1 USD = 104.3438 PKR</v>
      </c>
      <c r="H2681" s="9" t="str">
        <f ca="1">IFERROR(__xludf.DUMMYFUNCTION("""COMPUTED_VALUE"""),"USD PKR rate for 13/09/2016")</f>
        <v>USD PKR rate for 13/09/2016</v>
      </c>
      <c r="I2681" s="9"/>
    </row>
    <row r="2682" spans="1:9" ht="14.25" customHeight="1" x14ac:dyDescent="0.3">
      <c r="A2682" s="6">
        <v>42399</v>
      </c>
      <c r="B2682" s="7">
        <v>104.86839999999999</v>
      </c>
      <c r="C2682" s="8">
        <f t="shared" si="21"/>
        <v>127.56515518757226</v>
      </c>
      <c r="D2682" s="9">
        <f t="shared" si="20"/>
        <v>69.078259307810157</v>
      </c>
      <c r="E2682" s="9"/>
      <c r="F2682" s="9">
        <f ca="1">IFERROR(__xludf.DUMMYFUNCTION("""COMPUTED_VALUE"""),42625)</f>
        <v>42625</v>
      </c>
      <c r="G2682" s="9" t="str">
        <f ca="1">IFERROR(__xludf.DUMMYFUNCTION("""COMPUTED_VALUE"""),"1 USD = 104.2694 PKR")</f>
        <v>1 USD = 104.2694 PKR</v>
      </c>
      <c r="H2682" s="9" t="str">
        <f ca="1">IFERROR(__xludf.DUMMYFUNCTION("""COMPUTED_VALUE"""),"USD PKR rate for 12/09/2016")</f>
        <v>USD PKR rate for 12/09/2016</v>
      </c>
      <c r="I2682" s="9"/>
    </row>
    <row r="2683" spans="1:9" ht="14.25" customHeight="1" x14ac:dyDescent="0.3">
      <c r="A2683" s="6">
        <v>42400</v>
      </c>
      <c r="B2683" s="7">
        <v>105.16240000000001</v>
      </c>
      <c r="C2683" s="8">
        <f t="shared" si="21"/>
        <v>127.58797018602813</v>
      </c>
      <c r="D2683" s="9">
        <f t="shared" si="20"/>
        <v>69.080997140607423</v>
      </c>
      <c r="E2683" s="9"/>
      <c r="F2683" s="9">
        <f ca="1">IFERROR(__xludf.DUMMYFUNCTION("""COMPUTED_VALUE"""),42624)</f>
        <v>42624</v>
      </c>
      <c r="G2683" s="9" t="str">
        <f ca="1">IFERROR(__xludf.DUMMYFUNCTION("""COMPUTED_VALUE"""),"1 USD = 104.3599 PKR")</f>
        <v>1 USD = 104.3599 PKR</v>
      </c>
      <c r="H2683" s="9" t="str">
        <f ca="1">IFERROR(__xludf.DUMMYFUNCTION("""COMPUTED_VALUE"""),"USD PKR rate for 11/09/2016")</f>
        <v>USD PKR rate for 11/09/2016</v>
      </c>
      <c r="I2683" s="9"/>
    </row>
    <row r="2684" spans="1:9" ht="14.25" customHeight="1" x14ac:dyDescent="0.3">
      <c r="A2684" s="6">
        <v>42401</v>
      </c>
      <c r="B2684" s="7">
        <v>104.90110000000001</v>
      </c>
      <c r="C2684" s="8">
        <f t="shared" si="21"/>
        <v>127.61078926494108</v>
      </c>
      <c r="D2684" s="9">
        <f t="shared" si="20"/>
        <v>69.083734973404688</v>
      </c>
      <c r="E2684" s="9"/>
      <c r="F2684" s="9">
        <f ca="1">IFERROR(__xludf.DUMMYFUNCTION("""COMPUTED_VALUE"""),42623)</f>
        <v>42623</v>
      </c>
      <c r="G2684" s="9" t="str">
        <f ca="1">IFERROR(__xludf.DUMMYFUNCTION("""COMPUTED_VALUE"""),"1 USD = 104.3556 PKR")</f>
        <v>1 USD = 104.3556 PKR</v>
      </c>
      <c r="H2684" s="9" t="str">
        <f ca="1">IFERROR(__xludf.DUMMYFUNCTION("""COMPUTED_VALUE"""),"USD PKR rate for 10/09/2016")</f>
        <v>USD PKR rate for 10/09/2016</v>
      </c>
      <c r="I2684" s="9"/>
    </row>
    <row r="2685" spans="1:9" ht="14.25" customHeight="1" x14ac:dyDescent="0.3">
      <c r="A2685" s="6">
        <v>42402</v>
      </c>
      <c r="B2685" s="7">
        <v>105.0017</v>
      </c>
      <c r="C2685" s="8">
        <f t="shared" si="21"/>
        <v>127.63361242504112</v>
      </c>
      <c r="D2685" s="9">
        <f t="shared" si="20"/>
        <v>69.086472806201954</v>
      </c>
      <c r="E2685" s="9"/>
      <c r="F2685" s="9">
        <f ca="1">IFERROR(__xludf.DUMMYFUNCTION("""COMPUTED_VALUE"""),42622)</f>
        <v>42622</v>
      </c>
      <c r="G2685" s="9" t="str">
        <f ca="1">IFERROR(__xludf.DUMMYFUNCTION("""COMPUTED_VALUE"""),"1 USD = 104.3526 PKR")</f>
        <v>1 USD = 104.3526 PKR</v>
      </c>
      <c r="H2685" s="9" t="str">
        <f ca="1">IFERROR(__xludf.DUMMYFUNCTION("""COMPUTED_VALUE"""),"USD PKR rate for 09/09/2016")</f>
        <v>USD PKR rate for 09/09/2016</v>
      </c>
      <c r="I2685" s="9"/>
    </row>
    <row r="2686" spans="1:9" ht="14.25" customHeight="1" x14ac:dyDescent="0.3">
      <c r="A2686" s="6">
        <v>42403</v>
      </c>
      <c r="B2686" s="7">
        <v>104.5034</v>
      </c>
      <c r="C2686" s="8">
        <f t="shared" si="21"/>
        <v>127.65643966705805</v>
      </c>
      <c r="D2686" s="9">
        <f t="shared" si="20"/>
        <v>69.089210638999219</v>
      </c>
      <c r="E2686" s="9"/>
      <c r="F2686" s="9">
        <f ca="1">IFERROR(__xludf.DUMMYFUNCTION("""COMPUTED_VALUE"""),42621)</f>
        <v>42621</v>
      </c>
      <c r="G2686" s="9" t="str">
        <f ca="1">IFERROR(__xludf.DUMMYFUNCTION("""COMPUTED_VALUE"""),"1 USD = 104.353 PKR")</f>
        <v>1 USD = 104.353 PKR</v>
      </c>
      <c r="H2686" s="9" t="str">
        <f ca="1">IFERROR(__xludf.DUMMYFUNCTION("""COMPUTED_VALUE"""),"USD PKR rate for 08/09/2016")</f>
        <v>USD PKR rate for 08/09/2016</v>
      </c>
      <c r="I2686" s="9"/>
    </row>
    <row r="2687" spans="1:9" ht="14.25" customHeight="1" x14ac:dyDescent="0.3">
      <c r="A2687" s="6">
        <v>42404</v>
      </c>
      <c r="B2687" s="7">
        <v>104.36839999999999</v>
      </c>
      <c r="C2687" s="8">
        <f t="shared" si="21"/>
        <v>127.67927099172195</v>
      </c>
      <c r="D2687" s="9">
        <f t="shared" si="20"/>
        <v>69.091948471796485</v>
      </c>
      <c r="E2687" s="9"/>
      <c r="F2687" s="9">
        <f ca="1">IFERROR(__xludf.DUMMYFUNCTION("""COMPUTED_VALUE"""),42620)</f>
        <v>42620</v>
      </c>
      <c r="G2687" s="9" t="str">
        <f ca="1">IFERROR(__xludf.DUMMYFUNCTION("""COMPUTED_VALUE"""),"1 USD = 104.45 PKR")</f>
        <v>1 USD = 104.45 PKR</v>
      </c>
      <c r="H2687" s="9" t="str">
        <f ca="1">IFERROR(__xludf.DUMMYFUNCTION("""COMPUTED_VALUE"""),"USD PKR rate for 07/09/2016")</f>
        <v>USD PKR rate for 07/09/2016</v>
      </c>
      <c r="I2687" s="9"/>
    </row>
    <row r="2688" spans="1:9" ht="14.25" customHeight="1" x14ac:dyDescent="0.3">
      <c r="A2688" s="6">
        <v>42405</v>
      </c>
      <c r="B2688" s="7">
        <v>104.39390000000002</v>
      </c>
      <c r="C2688" s="8">
        <f t="shared" si="21"/>
        <v>127.70210639976295</v>
      </c>
      <c r="D2688" s="9">
        <f t="shared" si="20"/>
        <v>69.09468630459375</v>
      </c>
      <c r="E2688" s="9"/>
      <c r="F2688" s="9">
        <f ca="1">IFERROR(__xludf.DUMMYFUNCTION("""COMPUTED_VALUE"""),42619)</f>
        <v>42619</v>
      </c>
      <c r="G2688" s="9" t="str">
        <f ca="1">IFERROR(__xludf.DUMMYFUNCTION("""COMPUTED_VALUE"""),"1 USD = 104.4108 PKR")</f>
        <v>1 USD = 104.4108 PKR</v>
      </c>
      <c r="H2688" s="9" t="str">
        <f ca="1">IFERROR(__xludf.DUMMYFUNCTION("""COMPUTED_VALUE"""),"USD PKR rate for 06/09/2016")</f>
        <v>USD PKR rate for 06/09/2016</v>
      </c>
      <c r="I2688" s="9"/>
    </row>
    <row r="2689" spans="1:9" ht="14.25" customHeight="1" x14ac:dyDescent="0.3">
      <c r="A2689" s="6">
        <v>42406</v>
      </c>
      <c r="B2689" s="7">
        <v>104.5615</v>
      </c>
      <c r="C2689" s="8">
        <f t="shared" si="21"/>
        <v>127.7249458919114</v>
      </c>
      <c r="D2689" s="9">
        <f t="shared" si="20"/>
        <v>69.097424137391016</v>
      </c>
      <c r="E2689" s="9"/>
      <c r="F2689" s="9">
        <f ca="1">IFERROR(__xludf.DUMMYFUNCTION("""COMPUTED_VALUE"""),42618)</f>
        <v>42618</v>
      </c>
      <c r="G2689" s="9" t="str">
        <f ca="1">IFERROR(__xludf.DUMMYFUNCTION("""COMPUTED_VALUE"""),"1 USD = 104.5697 PKR")</f>
        <v>1 USD = 104.5697 PKR</v>
      </c>
      <c r="H2689" s="9" t="str">
        <f ca="1">IFERROR(__xludf.DUMMYFUNCTION("""COMPUTED_VALUE"""),"USD PKR rate for 05/09/2016")</f>
        <v>USD PKR rate for 05/09/2016</v>
      </c>
      <c r="I2689" s="9"/>
    </row>
    <row r="2690" spans="1:9" ht="14.25" customHeight="1" x14ac:dyDescent="0.3">
      <c r="A2690" s="6">
        <v>42407</v>
      </c>
      <c r="B2690" s="7">
        <v>104.56270000000002</v>
      </c>
      <c r="C2690" s="8">
        <f t="shared" si="21"/>
        <v>127.74778946889772</v>
      </c>
      <c r="D2690" s="9">
        <f t="shared" si="20"/>
        <v>69.100161970188282</v>
      </c>
      <c r="E2690" s="9"/>
      <c r="F2690" s="9">
        <f ca="1">IFERROR(__xludf.DUMMYFUNCTION("""COMPUTED_VALUE"""),42617)</f>
        <v>42617</v>
      </c>
      <c r="G2690" s="9" t="str">
        <f ca="1">IFERROR(__xludf.DUMMYFUNCTION("""COMPUTED_VALUE"""),"1 USD = 104.606 PKR")</f>
        <v>1 USD = 104.606 PKR</v>
      </c>
      <c r="H2690" s="9" t="str">
        <f ca="1">IFERROR(__xludf.DUMMYFUNCTION("""COMPUTED_VALUE"""),"USD PKR rate for 04/09/2016")</f>
        <v>USD PKR rate for 04/09/2016</v>
      </c>
      <c r="I2690" s="9"/>
    </row>
    <row r="2691" spans="1:9" ht="14.25" customHeight="1" x14ac:dyDescent="0.3">
      <c r="A2691" s="6">
        <v>42408</v>
      </c>
      <c r="B2691" s="7">
        <v>104.39810000000001</v>
      </c>
      <c r="C2691" s="8">
        <f t="shared" si="21"/>
        <v>127.7706371314525</v>
      </c>
      <c r="D2691" s="9">
        <f t="shared" si="20"/>
        <v>69.102899802985547</v>
      </c>
      <c r="E2691" s="9"/>
      <c r="F2691" s="9">
        <f ca="1">IFERROR(__xludf.DUMMYFUNCTION("""COMPUTED_VALUE"""),42616)</f>
        <v>42616</v>
      </c>
      <c r="G2691" s="9" t="str">
        <f ca="1">IFERROR(__xludf.DUMMYFUNCTION("""COMPUTED_VALUE"""),"1 USD = 104.357 PKR")</f>
        <v>1 USD = 104.357 PKR</v>
      </c>
      <c r="H2691" s="9" t="str">
        <f ca="1">IFERROR(__xludf.DUMMYFUNCTION("""COMPUTED_VALUE"""),"USD PKR rate for 03/09/2016")</f>
        <v>USD PKR rate for 03/09/2016</v>
      </c>
      <c r="I2691" s="9"/>
    </row>
    <row r="2692" spans="1:9" ht="14.25" customHeight="1" x14ac:dyDescent="0.3">
      <c r="A2692" s="6">
        <v>42409</v>
      </c>
      <c r="B2692" s="7">
        <v>104.51309999999999</v>
      </c>
      <c r="C2692" s="8">
        <f t="shared" si="21"/>
        <v>127.79348888030644</v>
      </c>
      <c r="D2692" s="9">
        <f t="shared" si="20"/>
        <v>69.105637635782813</v>
      </c>
      <c r="E2692" s="9"/>
      <c r="F2692" s="9">
        <f ca="1">IFERROR(__xludf.DUMMYFUNCTION("""COMPUTED_VALUE"""),42615)</f>
        <v>42615</v>
      </c>
      <c r="G2692" s="9" t="str">
        <f ca="1">IFERROR(__xludf.DUMMYFUNCTION("""COMPUTED_VALUE"""),"1 USD = 104.427 PKR")</f>
        <v>1 USD = 104.427 PKR</v>
      </c>
      <c r="H2692" s="9" t="str">
        <f ca="1">IFERROR(__xludf.DUMMYFUNCTION("""COMPUTED_VALUE"""),"USD PKR rate for 02/09/2016")</f>
        <v>USD PKR rate for 02/09/2016</v>
      </c>
      <c r="I2692" s="9"/>
    </row>
    <row r="2693" spans="1:9" ht="14.25" customHeight="1" x14ac:dyDescent="0.3">
      <c r="A2693" s="6">
        <v>42410</v>
      </c>
      <c r="B2693" s="7">
        <v>104.6245</v>
      </c>
      <c r="C2693" s="8">
        <f t="shared" si="21"/>
        <v>127.81634471619026</v>
      </c>
      <c r="D2693" s="9">
        <f t="shared" si="20"/>
        <v>69.108375468580078</v>
      </c>
      <c r="E2693" s="9"/>
      <c r="F2693" s="9">
        <f ca="1">IFERROR(__xludf.DUMMYFUNCTION("""COMPUTED_VALUE"""),42614)</f>
        <v>42614</v>
      </c>
      <c r="G2693" s="9" t="str">
        <f ca="1">IFERROR(__xludf.DUMMYFUNCTION("""COMPUTED_VALUE"""),"1 USD = 104.5978 PKR")</f>
        <v>1 USD = 104.5978 PKR</v>
      </c>
      <c r="H2693" s="9" t="str">
        <f ca="1">IFERROR(__xludf.DUMMYFUNCTION("""COMPUTED_VALUE"""),"USD PKR rate for 01/09/2016")</f>
        <v>USD PKR rate for 01/09/2016</v>
      </c>
      <c r="I2693" s="9"/>
    </row>
    <row r="2694" spans="1:9" ht="14.25" customHeight="1" x14ac:dyDescent="0.3">
      <c r="A2694" s="6">
        <v>42411</v>
      </c>
      <c r="B2694" s="7">
        <v>104.6172</v>
      </c>
      <c r="C2694" s="8">
        <f t="shared" si="21"/>
        <v>127.83920463983513</v>
      </c>
      <c r="D2694" s="9">
        <f t="shared" si="20"/>
        <v>69.111113301377344</v>
      </c>
      <c r="E2694" s="9"/>
      <c r="F2694" s="9">
        <f ca="1">IFERROR(__xludf.DUMMYFUNCTION("""COMPUTED_VALUE"""),42613)</f>
        <v>42613</v>
      </c>
      <c r="G2694" s="9" t="str">
        <f ca="1">IFERROR(__xludf.DUMMYFUNCTION("""COMPUTED_VALUE"""),"1 USD = 104.6766 PKR")</f>
        <v>1 USD = 104.6766 PKR</v>
      </c>
      <c r="H2694" s="9" t="str">
        <f ca="1">IFERROR(__xludf.DUMMYFUNCTION("""COMPUTED_VALUE"""),"USD PKR rate for 31/08/2016")</f>
        <v>USD PKR rate for 31/08/2016</v>
      </c>
      <c r="I2694" s="9"/>
    </row>
    <row r="2695" spans="1:9" ht="14.25" customHeight="1" x14ac:dyDescent="0.3">
      <c r="A2695" s="6">
        <v>42412</v>
      </c>
      <c r="B2695" s="7">
        <v>104.4686</v>
      </c>
      <c r="C2695" s="8">
        <f t="shared" si="21"/>
        <v>127.86206865197205</v>
      </c>
      <c r="D2695" s="9">
        <f t="shared" si="20"/>
        <v>69.11385113417461</v>
      </c>
      <c r="E2695" s="9"/>
      <c r="F2695" s="9">
        <f ca="1">IFERROR(__xludf.DUMMYFUNCTION("""COMPUTED_VALUE"""),42612)</f>
        <v>42612</v>
      </c>
      <c r="G2695" s="9" t="str">
        <f ca="1">IFERROR(__xludf.DUMMYFUNCTION("""COMPUTED_VALUE"""),"1 USD = 104.8887 PKR")</f>
        <v>1 USD = 104.8887 PKR</v>
      </c>
      <c r="H2695" s="9" t="str">
        <f ca="1">IFERROR(__xludf.DUMMYFUNCTION("""COMPUTED_VALUE"""),"USD PKR rate for 30/08/2016")</f>
        <v>USD PKR rate for 30/08/2016</v>
      </c>
      <c r="I2695" s="9"/>
    </row>
    <row r="2696" spans="1:9" ht="14.25" customHeight="1" x14ac:dyDescent="0.3">
      <c r="A2696" s="6">
        <v>42413</v>
      </c>
      <c r="B2696" s="7">
        <v>104.539</v>
      </c>
      <c r="C2696" s="8">
        <f t="shared" si="21"/>
        <v>127.88493675333227</v>
      </c>
      <c r="D2696" s="9">
        <f t="shared" si="20"/>
        <v>69.116588966971875</v>
      </c>
      <c r="E2696" s="9"/>
      <c r="F2696" s="9">
        <f ca="1">IFERROR(__xludf.DUMMYFUNCTION("""COMPUTED_VALUE"""),42611)</f>
        <v>42611</v>
      </c>
      <c r="G2696" s="9" t="str">
        <f ca="1">IFERROR(__xludf.DUMMYFUNCTION("""COMPUTED_VALUE"""),"1 USD = 104.9256 PKR")</f>
        <v>1 USD = 104.9256 PKR</v>
      </c>
      <c r="H2696" s="9" t="str">
        <f ca="1">IFERROR(__xludf.DUMMYFUNCTION("""COMPUTED_VALUE"""),"USD PKR rate for 29/08/2016")</f>
        <v>USD PKR rate for 29/08/2016</v>
      </c>
      <c r="I2696" s="9"/>
    </row>
    <row r="2697" spans="1:9" ht="14.25" customHeight="1" x14ac:dyDescent="0.3">
      <c r="A2697" s="6">
        <v>42414</v>
      </c>
      <c r="B2697" s="7">
        <v>104.5372</v>
      </c>
      <c r="C2697" s="8">
        <f t="shared" si="21"/>
        <v>127.9078089446471</v>
      </c>
      <c r="D2697" s="9">
        <f t="shared" si="20"/>
        <v>69.119326799769141</v>
      </c>
      <c r="E2697" s="9"/>
      <c r="F2697" s="9">
        <f ca="1">IFERROR(__xludf.DUMMYFUNCTION("""COMPUTED_VALUE"""),42610)</f>
        <v>42610</v>
      </c>
      <c r="G2697" s="9" t="str">
        <f ca="1">IFERROR(__xludf.DUMMYFUNCTION("""COMPUTED_VALUE"""),"1 USD = 104.9748 PKR")</f>
        <v>1 USD = 104.9748 PKR</v>
      </c>
      <c r="H2697" s="9" t="str">
        <f ca="1">IFERROR(__xludf.DUMMYFUNCTION("""COMPUTED_VALUE"""),"USD PKR rate for 28/08/2016")</f>
        <v>USD PKR rate for 28/08/2016</v>
      </c>
      <c r="I2697" s="9"/>
    </row>
    <row r="2698" spans="1:9" ht="14.25" customHeight="1" x14ac:dyDescent="0.3">
      <c r="A2698" s="6">
        <v>42415</v>
      </c>
      <c r="B2698" s="7">
        <v>104.6952</v>
      </c>
      <c r="C2698" s="8">
        <f t="shared" si="21"/>
        <v>127.93068522664807</v>
      </c>
      <c r="D2698" s="9">
        <f t="shared" si="20"/>
        <v>69.122064632566406</v>
      </c>
      <c r="E2698" s="9"/>
      <c r="F2698" s="9">
        <f ca="1">IFERROR(__xludf.DUMMYFUNCTION("""COMPUTED_VALUE"""),42609)</f>
        <v>42609</v>
      </c>
      <c r="G2698" s="9" t="str">
        <f ca="1">IFERROR(__xludf.DUMMYFUNCTION("""COMPUTED_VALUE"""),"1 USD = 104.7826 PKR")</f>
        <v>1 USD = 104.7826 PKR</v>
      </c>
      <c r="H2698" s="9" t="str">
        <f ca="1">IFERROR(__xludf.DUMMYFUNCTION("""COMPUTED_VALUE"""),"USD PKR rate for 27/08/2016")</f>
        <v>USD PKR rate for 27/08/2016</v>
      </c>
      <c r="I2698" s="9"/>
    </row>
    <row r="2699" spans="1:9" ht="14.25" customHeight="1" x14ac:dyDescent="0.3">
      <c r="A2699" s="6">
        <v>42416</v>
      </c>
      <c r="B2699" s="7">
        <v>104.7556</v>
      </c>
      <c r="C2699" s="8">
        <f t="shared" si="21"/>
        <v>127.95356560006674</v>
      </c>
      <c r="D2699" s="9">
        <f t="shared" si="20"/>
        <v>69.124802465363672</v>
      </c>
      <c r="E2699" s="9"/>
      <c r="F2699" s="9">
        <f ca="1">IFERROR(__xludf.DUMMYFUNCTION("""COMPUTED_VALUE"""),42608)</f>
        <v>42608</v>
      </c>
      <c r="G2699" s="9" t="str">
        <f ca="1">IFERROR(__xludf.DUMMYFUNCTION("""COMPUTED_VALUE"""),"1 USD = 104.7978 PKR")</f>
        <v>1 USD = 104.7978 PKR</v>
      </c>
      <c r="H2699" s="9" t="str">
        <f ca="1">IFERROR(__xludf.DUMMYFUNCTION("""COMPUTED_VALUE"""),"USD PKR rate for 26/08/2016")</f>
        <v>USD PKR rate for 26/08/2016</v>
      </c>
      <c r="I2699" s="9"/>
    </row>
    <row r="2700" spans="1:9" ht="14.25" customHeight="1" x14ac:dyDescent="0.3">
      <c r="A2700" s="6">
        <v>42417</v>
      </c>
      <c r="B2700" s="7">
        <v>104.68519999999999</v>
      </c>
      <c r="C2700" s="8">
        <f t="shared" si="21"/>
        <v>127.97645006563492</v>
      </c>
      <c r="D2700" s="9">
        <f t="shared" si="20"/>
        <v>69.127540298160937</v>
      </c>
      <c r="E2700" s="9"/>
      <c r="F2700" s="9">
        <f ca="1">IFERROR(__xludf.DUMMYFUNCTION("""COMPUTED_VALUE"""),42607)</f>
        <v>42607</v>
      </c>
      <c r="G2700" s="9" t="str">
        <f ca="1">IFERROR(__xludf.DUMMYFUNCTION("""COMPUTED_VALUE"""),"1 USD = 104.8561 PKR")</f>
        <v>1 USD = 104.8561 PKR</v>
      </c>
      <c r="H2700" s="9" t="str">
        <f ca="1">IFERROR(__xludf.DUMMYFUNCTION("""COMPUTED_VALUE"""),"USD PKR rate for 25/08/2016")</f>
        <v>USD PKR rate for 25/08/2016</v>
      </c>
      <c r="I2700" s="9"/>
    </row>
    <row r="2701" spans="1:9" ht="14.25" customHeight="1" x14ac:dyDescent="0.3">
      <c r="A2701" s="6">
        <v>42418</v>
      </c>
      <c r="B2701" s="7">
        <v>104.81270000000002</v>
      </c>
      <c r="C2701" s="8">
        <f t="shared" si="21"/>
        <v>127.99933862408446</v>
      </c>
      <c r="D2701" s="9">
        <f t="shared" si="20"/>
        <v>69.130278130958203</v>
      </c>
      <c r="E2701" s="9"/>
      <c r="F2701" s="9">
        <f ca="1">IFERROR(__xludf.DUMMYFUNCTION("""COMPUTED_VALUE"""),42606)</f>
        <v>42606</v>
      </c>
      <c r="G2701" s="9" t="str">
        <f ca="1">IFERROR(__xludf.DUMMYFUNCTION("""COMPUTED_VALUE"""),"1 USD = 104.7851 PKR")</f>
        <v>1 USD = 104.7851 PKR</v>
      </c>
      <c r="H2701" s="9" t="str">
        <f ca="1">IFERROR(__xludf.DUMMYFUNCTION("""COMPUTED_VALUE"""),"USD PKR rate for 24/08/2016")</f>
        <v>USD PKR rate for 24/08/2016</v>
      </c>
      <c r="I2701" s="9"/>
    </row>
    <row r="2702" spans="1:9" ht="14.25" customHeight="1" x14ac:dyDescent="0.3">
      <c r="A2702" s="6">
        <v>42419</v>
      </c>
      <c r="B2702" s="7">
        <v>104.7497</v>
      </c>
      <c r="C2702" s="8">
        <f t="shared" si="21"/>
        <v>128.02223127614727</v>
      </c>
      <c r="D2702" s="9">
        <f t="shared" si="20"/>
        <v>69.133015963755469</v>
      </c>
      <c r="E2702" s="9"/>
      <c r="F2702" s="9">
        <f ca="1">IFERROR(__xludf.DUMMYFUNCTION("""COMPUTED_VALUE"""),42605)</f>
        <v>42605</v>
      </c>
      <c r="G2702" s="9" t="str">
        <f ca="1">IFERROR(__xludf.DUMMYFUNCTION("""COMPUTED_VALUE"""),"1 USD = 104.8505 PKR")</f>
        <v>1 USD = 104.8505 PKR</v>
      </c>
      <c r="H2702" s="9" t="str">
        <f ca="1">IFERROR(__xludf.DUMMYFUNCTION("""COMPUTED_VALUE"""),"USD PKR rate for 23/08/2016")</f>
        <v>USD PKR rate for 23/08/2016</v>
      </c>
      <c r="I2702" s="9"/>
    </row>
    <row r="2703" spans="1:9" ht="14.25" customHeight="1" x14ac:dyDescent="0.3">
      <c r="A2703" s="6">
        <v>42420</v>
      </c>
      <c r="B2703" s="7">
        <v>104.7153</v>
      </c>
      <c r="C2703" s="8">
        <f t="shared" si="21"/>
        <v>128.0451280225557</v>
      </c>
      <c r="D2703" s="9">
        <f t="shared" si="20"/>
        <v>69.135753796552734</v>
      </c>
      <c r="E2703" s="9"/>
      <c r="F2703" s="9">
        <f ca="1">IFERROR(__xludf.DUMMYFUNCTION("""COMPUTED_VALUE"""),42604)</f>
        <v>42604</v>
      </c>
      <c r="G2703" s="9" t="str">
        <f ca="1">IFERROR(__xludf.DUMMYFUNCTION("""COMPUTED_VALUE"""),"1 USD = 104.803 PKR")</f>
        <v>1 USD = 104.803 PKR</v>
      </c>
      <c r="H2703" s="9" t="str">
        <f ca="1">IFERROR(__xludf.DUMMYFUNCTION("""COMPUTED_VALUE"""),"USD PKR rate for 22/08/2016")</f>
        <v>USD PKR rate for 22/08/2016</v>
      </c>
      <c r="I2703" s="9"/>
    </row>
    <row r="2704" spans="1:9" ht="14.25" customHeight="1" x14ac:dyDescent="0.3">
      <c r="A2704" s="6">
        <v>42421</v>
      </c>
      <c r="B2704" s="7">
        <v>104.85760000000001</v>
      </c>
      <c r="C2704" s="8">
        <f t="shared" si="21"/>
        <v>128.06802886404191</v>
      </c>
      <c r="D2704" s="9">
        <f t="shared" si="20"/>
        <v>69.13849162935</v>
      </c>
      <c r="E2704" s="9"/>
      <c r="F2704" s="9">
        <f ca="1">IFERROR(__xludf.DUMMYFUNCTION("""COMPUTED_VALUE"""),42603)</f>
        <v>42603</v>
      </c>
      <c r="G2704" s="9" t="str">
        <f ca="1">IFERROR(__xludf.DUMMYFUNCTION("""COMPUTED_VALUE"""),"1 USD = 104.7457 PKR")</f>
        <v>1 USD = 104.7457 PKR</v>
      </c>
      <c r="H2704" s="9" t="str">
        <f ca="1">IFERROR(__xludf.DUMMYFUNCTION("""COMPUTED_VALUE"""),"USD PKR rate for 21/08/2016")</f>
        <v>USD PKR rate for 21/08/2016</v>
      </c>
      <c r="I2704" s="9"/>
    </row>
    <row r="2705" spans="1:9" ht="14.25" customHeight="1" x14ac:dyDescent="0.3">
      <c r="A2705" s="6">
        <v>42422</v>
      </c>
      <c r="B2705" s="7">
        <v>104.7895</v>
      </c>
      <c r="C2705" s="8">
        <f t="shared" si="21"/>
        <v>128.09093380133834</v>
      </c>
      <c r="D2705" s="9">
        <f t="shared" si="20"/>
        <v>69.141229462147265</v>
      </c>
      <c r="E2705" s="9"/>
      <c r="F2705" s="9">
        <f ca="1">IFERROR(__xludf.DUMMYFUNCTION("""COMPUTED_VALUE"""),42602)</f>
        <v>42602</v>
      </c>
      <c r="G2705" s="9" t="str">
        <f ca="1">IFERROR(__xludf.DUMMYFUNCTION("""COMPUTED_VALUE"""),"1 USD = 104.6454 PKR")</f>
        <v>1 USD = 104.6454 PKR</v>
      </c>
      <c r="H2705" s="9" t="str">
        <f ca="1">IFERROR(__xludf.DUMMYFUNCTION("""COMPUTED_VALUE"""),"USD PKR rate for 20/08/2016")</f>
        <v>USD PKR rate for 20/08/2016</v>
      </c>
      <c r="I2705" s="9"/>
    </row>
    <row r="2706" spans="1:9" ht="14.25" customHeight="1" x14ac:dyDescent="0.3">
      <c r="A2706" s="6">
        <v>42423</v>
      </c>
      <c r="B2706" s="7">
        <v>104.88939999999999</v>
      </c>
      <c r="C2706" s="8">
        <f t="shared" si="21"/>
        <v>128.11384283517751</v>
      </c>
      <c r="D2706" s="9">
        <f t="shared" si="20"/>
        <v>69.143967294944531</v>
      </c>
      <c r="E2706" s="9"/>
      <c r="F2706" s="9">
        <f ca="1">IFERROR(__xludf.DUMMYFUNCTION("""COMPUTED_VALUE"""),42601)</f>
        <v>42601</v>
      </c>
      <c r="G2706" s="9" t="str">
        <f ca="1">IFERROR(__xludf.DUMMYFUNCTION("""COMPUTED_VALUE"""),"1 USD = 104.6685 PKR")</f>
        <v>1 USD = 104.6685 PKR</v>
      </c>
      <c r="H2706" s="9" t="str">
        <f ca="1">IFERROR(__xludf.DUMMYFUNCTION("""COMPUTED_VALUE"""),"USD PKR rate for 19/08/2016")</f>
        <v>USD PKR rate for 19/08/2016</v>
      </c>
      <c r="I2706" s="9"/>
    </row>
    <row r="2707" spans="1:9" ht="14.25" customHeight="1" x14ac:dyDescent="0.3">
      <c r="A2707" s="6">
        <v>42424</v>
      </c>
      <c r="B2707" s="7">
        <v>104.44629999999999</v>
      </c>
      <c r="C2707" s="8">
        <f t="shared" si="21"/>
        <v>128.13675596629204</v>
      </c>
      <c r="D2707" s="9">
        <f t="shared" si="20"/>
        <v>69.146705127741797</v>
      </c>
      <c r="E2707" s="9"/>
      <c r="F2707" s="9">
        <f ca="1">IFERROR(__xludf.DUMMYFUNCTION("""COMPUTED_VALUE"""),42600)</f>
        <v>42600</v>
      </c>
      <c r="G2707" s="9" t="str">
        <f ca="1">IFERROR(__xludf.DUMMYFUNCTION("""COMPUTED_VALUE"""),"1 USD = 104.7203 PKR")</f>
        <v>1 USD = 104.7203 PKR</v>
      </c>
      <c r="H2707" s="9" t="str">
        <f ca="1">IFERROR(__xludf.DUMMYFUNCTION("""COMPUTED_VALUE"""),"USD PKR rate for 18/08/2016")</f>
        <v>USD PKR rate for 18/08/2016</v>
      </c>
      <c r="I2707" s="9"/>
    </row>
    <row r="2708" spans="1:9" ht="14.25" customHeight="1" x14ac:dyDescent="0.3">
      <c r="A2708" s="6">
        <v>42425</v>
      </c>
      <c r="B2708" s="7">
        <v>104.56700000000001</v>
      </c>
      <c r="C2708" s="8">
        <f t="shared" si="21"/>
        <v>128.15967319541477</v>
      </c>
      <c r="D2708" s="9">
        <f t="shared" si="20"/>
        <v>69.149442960539062</v>
      </c>
      <c r="E2708" s="9"/>
      <c r="F2708" s="9">
        <f ca="1">IFERROR(__xludf.DUMMYFUNCTION("""COMPUTED_VALUE"""),42599)</f>
        <v>42599</v>
      </c>
      <c r="G2708" s="9" t="str">
        <f ca="1">IFERROR(__xludf.DUMMYFUNCTION("""COMPUTED_VALUE"""),"1 USD = 104.6319 PKR")</f>
        <v>1 USD = 104.6319 PKR</v>
      </c>
      <c r="H2708" s="9" t="str">
        <f ca="1">IFERROR(__xludf.DUMMYFUNCTION("""COMPUTED_VALUE"""),"USD PKR rate for 17/08/2016")</f>
        <v>USD PKR rate for 17/08/2016</v>
      </c>
      <c r="I2708" s="9"/>
    </row>
    <row r="2709" spans="1:9" ht="14.25" customHeight="1" x14ac:dyDescent="0.3">
      <c r="A2709" s="6">
        <v>42426</v>
      </c>
      <c r="B2709" s="7">
        <v>104.68600000000001</v>
      </c>
      <c r="C2709" s="8">
        <f t="shared" si="21"/>
        <v>128.18259452327865</v>
      </c>
      <c r="D2709" s="9">
        <f t="shared" si="20"/>
        <v>69.152180793336328</v>
      </c>
      <c r="E2709" s="9"/>
      <c r="F2709" s="9">
        <f ca="1">IFERROR(__xludf.DUMMYFUNCTION("""COMPUTED_VALUE"""),42598)</f>
        <v>42598</v>
      </c>
      <c r="G2709" s="9" t="str">
        <f ca="1">IFERROR(__xludf.DUMMYFUNCTION("""COMPUTED_VALUE"""),"1 USD = 104.6375 PKR")</f>
        <v>1 USD = 104.6375 PKR</v>
      </c>
      <c r="H2709" s="9" t="str">
        <f ca="1">IFERROR(__xludf.DUMMYFUNCTION("""COMPUTED_VALUE"""),"USD PKR rate for 16/08/2016")</f>
        <v>USD PKR rate for 16/08/2016</v>
      </c>
      <c r="I2709" s="9"/>
    </row>
    <row r="2710" spans="1:9" ht="14.25" customHeight="1" x14ac:dyDescent="0.3">
      <c r="A2710" s="6">
        <v>42427</v>
      </c>
      <c r="B2710" s="7">
        <v>105.27310000000001</v>
      </c>
      <c r="C2710" s="8">
        <f t="shared" si="21"/>
        <v>128.20551995061666</v>
      </c>
      <c r="D2710" s="9">
        <f t="shared" si="20"/>
        <v>69.154918626133593</v>
      </c>
      <c r="E2710" s="9"/>
      <c r="F2710" s="9">
        <f ca="1">IFERROR(__xludf.DUMMYFUNCTION("""COMPUTED_VALUE"""),42597)</f>
        <v>42597</v>
      </c>
      <c r="G2710" s="9" t="str">
        <f ca="1">IFERROR(__xludf.DUMMYFUNCTION("""COMPUTED_VALUE"""),"1 USD = 104.6179 PKR")</f>
        <v>1 USD = 104.6179 PKR</v>
      </c>
      <c r="H2710" s="9" t="str">
        <f ca="1">IFERROR(__xludf.DUMMYFUNCTION("""COMPUTED_VALUE"""),"USD PKR rate for 15/08/2016")</f>
        <v>USD PKR rate for 15/08/2016</v>
      </c>
      <c r="I2710" s="9"/>
    </row>
    <row r="2711" spans="1:9" ht="14.25" customHeight="1" x14ac:dyDescent="0.3">
      <c r="A2711" s="6">
        <v>42428</v>
      </c>
      <c r="B2711" s="7">
        <v>104.9645</v>
      </c>
      <c r="C2711" s="8">
        <f t="shared" si="21"/>
        <v>128.22844947816208</v>
      </c>
      <c r="D2711" s="9">
        <f t="shared" si="20"/>
        <v>69.157656458930859</v>
      </c>
      <c r="E2711" s="9"/>
      <c r="F2711" s="9">
        <f ca="1">IFERROR(__xludf.DUMMYFUNCTION("""COMPUTED_VALUE"""),42596)</f>
        <v>42596</v>
      </c>
      <c r="G2711" s="9" t="str">
        <f ca="1">IFERROR(__xludf.DUMMYFUNCTION("""COMPUTED_VALUE"""),"1 USD = 104.6199 PKR")</f>
        <v>1 USD = 104.6199 PKR</v>
      </c>
      <c r="H2711" s="9" t="str">
        <f ca="1">IFERROR(__xludf.DUMMYFUNCTION("""COMPUTED_VALUE"""),"USD PKR rate for 14/08/2016")</f>
        <v>USD PKR rate for 14/08/2016</v>
      </c>
      <c r="I2711" s="9"/>
    </row>
    <row r="2712" spans="1:9" ht="14.25" customHeight="1" x14ac:dyDescent="0.3">
      <c r="A2712" s="6">
        <v>42429</v>
      </c>
      <c r="B2712" s="7">
        <v>104.71360000000001</v>
      </c>
      <c r="C2712" s="8">
        <f t="shared" si="21"/>
        <v>128.25138310664806</v>
      </c>
      <c r="D2712" s="9">
        <f t="shared" si="20"/>
        <v>69.160394291728124</v>
      </c>
      <c r="E2712" s="9"/>
      <c r="F2712" s="9">
        <f ca="1">IFERROR(__xludf.DUMMYFUNCTION("""COMPUTED_VALUE"""),42595)</f>
        <v>42595</v>
      </c>
      <c r="G2712" s="9" t="str">
        <f ca="1">IFERROR(__xludf.DUMMYFUNCTION("""COMPUTED_VALUE"""),"1 USD = 104.6347 PKR")</f>
        <v>1 USD = 104.6347 PKR</v>
      </c>
      <c r="H2712" s="9" t="str">
        <f ca="1">IFERROR(__xludf.DUMMYFUNCTION("""COMPUTED_VALUE"""),"USD PKR rate for 13/08/2016")</f>
        <v>USD PKR rate for 13/08/2016</v>
      </c>
      <c r="I2712" s="9"/>
    </row>
    <row r="2713" spans="1:9" ht="14.25" customHeight="1" x14ac:dyDescent="0.3">
      <c r="A2713" s="6">
        <v>42430</v>
      </c>
      <c r="B2713" s="7">
        <v>104.7985</v>
      </c>
      <c r="C2713" s="8">
        <f t="shared" si="21"/>
        <v>128.2743208368083</v>
      </c>
      <c r="D2713" s="9">
        <f t="shared" si="20"/>
        <v>69.16313212452539</v>
      </c>
      <c r="E2713" s="9"/>
      <c r="F2713" s="9">
        <f ca="1">IFERROR(__xludf.DUMMYFUNCTION("""COMPUTED_VALUE"""),42594)</f>
        <v>42594</v>
      </c>
      <c r="G2713" s="9" t="str">
        <f ca="1">IFERROR(__xludf.DUMMYFUNCTION("""COMPUTED_VALUE"""),"1 USD = 104.6088 PKR")</f>
        <v>1 USD = 104.6088 PKR</v>
      </c>
      <c r="H2713" s="9" t="str">
        <f ca="1">IFERROR(__xludf.DUMMYFUNCTION("""COMPUTED_VALUE"""),"USD PKR rate for 12/08/2016")</f>
        <v>USD PKR rate for 12/08/2016</v>
      </c>
      <c r="I2713" s="9"/>
    </row>
    <row r="2714" spans="1:9" ht="14.25" customHeight="1" x14ac:dyDescent="0.3">
      <c r="A2714" s="6">
        <v>42431</v>
      </c>
      <c r="B2714" s="7">
        <v>104.7685</v>
      </c>
      <c r="C2714" s="8">
        <f t="shared" si="21"/>
        <v>128.29726266937629</v>
      </c>
      <c r="D2714" s="9">
        <f t="shared" si="20"/>
        <v>69.165869957322656</v>
      </c>
      <c r="E2714" s="9"/>
      <c r="F2714" s="9">
        <f ca="1">IFERROR(__xludf.DUMMYFUNCTION("""COMPUTED_VALUE"""),42593)</f>
        <v>42593</v>
      </c>
      <c r="G2714" s="9" t="str">
        <f ca="1">IFERROR(__xludf.DUMMYFUNCTION("""COMPUTED_VALUE"""),"1 USD = 104.4687 PKR")</f>
        <v>1 USD = 104.4687 PKR</v>
      </c>
      <c r="H2714" s="9" t="str">
        <f ca="1">IFERROR(__xludf.DUMMYFUNCTION("""COMPUTED_VALUE"""),"USD PKR rate for 11/08/2016")</f>
        <v>USD PKR rate for 11/08/2016</v>
      </c>
      <c r="I2714" s="9"/>
    </row>
    <row r="2715" spans="1:9" ht="14.25" customHeight="1" x14ac:dyDescent="0.3">
      <c r="A2715" s="6">
        <v>42432</v>
      </c>
      <c r="B2715" s="7">
        <v>104.48280000000001</v>
      </c>
      <c r="C2715" s="8">
        <f t="shared" si="21"/>
        <v>128.3202086050857</v>
      </c>
      <c r="D2715" s="9">
        <f t="shared" si="20"/>
        <v>69.168607790119921</v>
      </c>
      <c r="E2715" s="9"/>
      <c r="F2715" s="9">
        <f ca="1">IFERROR(__xludf.DUMMYFUNCTION("""COMPUTED_VALUE"""),42592)</f>
        <v>42592</v>
      </c>
      <c r="G2715" s="9" t="str">
        <f ca="1">IFERROR(__xludf.DUMMYFUNCTION("""COMPUTED_VALUE"""),"1 USD = 104.5607 PKR")</f>
        <v>1 USD = 104.5607 PKR</v>
      </c>
      <c r="H2715" s="9" t="str">
        <f ca="1">IFERROR(__xludf.DUMMYFUNCTION("""COMPUTED_VALUE"""),"USD PKR rate for 10/08/2016")</f>
        <v>USD PKR rate for 10/08/2016</v>
      </c>
      <c r="I2715" s="9"/>
    </row>
    <row r="2716" spans="1:9" ht="14.25" customHeight="1" x14ac:dyDescent="0.3">
      <c r="A2716" s="6">
        <v>42433</v>
      </c>
      <c r="B2716" s="7">
        <v>104.75360000000001</v>
      </c>
      <c r="C2716" s="8">
        <f t="shared" si="21"/>
        <v>128.34315864467038</v>
      </c>
      <c r="D2716" s="9">
        <f t="shared" si="20"/>
        <v>69.171345622917187</v>
      </c>
      <c r="E2716" s="9"/>
      <c r="F2716" s="9">
        <f ca="1">IFERROR(__xludf.DUMMYFUNCTION("""COMPUTED_VALUE"""),42591)</f>
        <v>42591</v>
      </c>
      <c r="G2716" s="9" t="str">
        <f ca="1">IFERROR(__xludf.DUMMYFUNCTION("""COMPUTED_VALUE"""),"1 USD = 104.65 PKR")</f>
        <v>1 USD = 104.65 PKR</v>
      </c>
      <c r="H2716" s="9" t="str">
        <f ca="1">IFERROR(__xludf.DUMMYFUNCTION("""COMPUTED_VALUE"""),"USD PKR rate for 09/08/2016")</f>
        <v>USD PKR rate for 09/08/2016</v>
      </c>
      <c r="I2716" s="9"/>
    </row>
    <row r="2717" spans="1:9" ht="14.25" customHeight="1" x14ac:dyDescent="0.3">
      <c r="A2717" s="6">
        <v>42434</v>
      </c>
      <c r="B2717" s="7">
        <v>104.69020000000002</v>
      </c>
      <c r="C2717" s="8">
        <f t="shared" si="21"/>
        <v>128.36611278886431</v>
      </c>
      <c r="D2717" s="9">
        <f t="shared" si="20"/>
        <v>69.174083455714452</v>
      </c>
      <c r="E2717" s="9"/>
      <c r="F2717" s="9">
        <f ca="1">IFERROR(__xludf.DUMMYFUNCTION("""COMPUTED_VALUE"""),42590)</f>
        <v>42590</v>
      </c>
      <c r="G2717" s="9" t="str">
        <f ca="1">IFERROR(__xludf.DUMMYFUNCTION("""COMPUTED_VALUE"""),"1 USD = 104.5606 PKR")</f>
        <v>1 USD = 104.5606 PKR</v>
      </c>
      <c r="H2717" s="9" t="str">
        <f ca="1">IFERROR(__xludf.DUMMYFUNCTION("""COMPUTED_VALUE"""),"USD PKR rate for 08/08/2016")</f>
        <v>USD PKR rate for 08/08/2016</v>
      </c>
      <c r="I2717" s="9"/>
    </row>
    <row r="2718" spans="1:9" ht="14.25" customHeight="1" x14ac:dyDescent="0.3">
      <c r="A2718" s="6">
        <v>42435</v>
      </c>
      <c r="B2718" s="7">
        <v>104.80289999999999</v>
      </c>
      <c r="C2718" s="8">
        <f t="shared" si="21"/>
        <v>128.38907103840165</v>
      </c>
      <c r="D2718" s="9">
        <f t="shared" si="20"/>
        <v>69.176821288511718</v>
      </c>
      <c r="E2718" s="9"/>
      <c r="F2718" s="9">
        <f ca="1">IFERROR(__xludf.DUMMYFUNCTION("""COMPUTED_VALUE"""),42589)</f>
        <v>42589</v>
      </c>
      <c r="G2718" s="9" t="str">
        <f ca="1">IFERROR(__xludf.DUMMYFUNCTION("""COMPUTED_VALUE"""),"1 USD = 104.5499 PKR")</f>
        <v>1 USD = 104.5499 PKR</v>
      </c>
      <c r="H2718" s="9" t="str">
        <f ca="1">IFERROR(__xludf.DUMMYFUNCTION("""COMPUTED_VALUE"""),"USD PKR rate for 07/08/2016")</f>
        <v>USD PKR rate for 07/08/2016</v>
      </c>
      <c r="I2718" s="9"/>
    </row>
    <row r="2719" spans="1:9" ht="14.25" customHeight="1" x14ac:dyDescent="0.3">
      <c r="A2719" s="6">
        <v>42436</v>
      </c>
      <c r="B2719" s="7">
        <v>104.70180000000001</v>
      </c>
      <c r="C2719" s="8">
        <f t="shared" si="21"/>
        <v>128.41203339401659</v>
      </c>
      <c r="D2719" s="9">
        <f t="shared" si="20"/>
        <v>69.179559121308984</v>
      </c>
      <c r="E2719" s="9"/>
      <c r="F2719" s="9">
        <f ca="1">IFERROR(__xludf.DUMMYFUNCTION("""COMPUTED_VALUE"""),42588)</f>
        <v>42588</v>
      </c>
      <c r="G2719" s="9" t="str">
        <f ca="1">IFERROR(__xludf.DUMMYFUNCTION("""COMPUTED_VALUE"""),"1 USD = 104.5155 PKR")</f>
        <v>1 USD = 104.5155 PKR</v>
      </c>
      <c r="H2719" s="9" t="str">
        <f ca="1">IFERROR(__xludf.DUMMYFUNCTION("""COMPUTED_VALUE"""),"USD PKR rate for 06/08/2016")</f>
        <v>USD PKR rate for 06/08/2016</v>
      </c>
      <c r="I2719" s="9"/>
    </row>
    <row r="2720" spans="1:9" ht="14.25" customHeight="1" x14ac:dyDescent="0.3">
      <c r="A2720" s="6">
        <v>42437</v>
      </c>
      <c r="B2720" s="7">
        <v>104.7323</v>
      </c>
      <c r="C2720" s="8">
        <f t="shared" si="21"/>
        <v>128.43499985644351</v>
      </c>
      <c r="D2720" s="9">
        <f t="shared" si="20"/>
        <v>69.182296954106249</v>
      </c>
      <c r="E2720" s="9"/>
      <c r="F2720" s="9">
        <f ca="1">IFERROR(__xludf.DUMMYFUNCTION("""COMPUTED_VALUE"""),42587)</f>
        <v>42587</v>
      </c>
      <c r="G2720" s="9" t="str">
        <f ca="1">IFERROR(__xludf.DUMMYFUNCTION("""COMPUTED_VALUE"""),"1 USD = 104.5934 PKR")</f>
        <v>1 USD = 104.5934 PKR</v>
      </c>
      <c r="H2720" s="9" t="str">
        <f ca="1">IFERROR(__xludf.DUMMYFUNCTION("""COMPUTED_VALUE"""),"USD PKR rate for 05/08/2016")</f>
        <v>USD PKR rate for 05/08/2016</v>
      </c>
      <c r="I2720" s="9"/>
    </row>
    <row r="2721" spans="1:9" ht="14.25" customHeight="1" x14ac:dyDescent="0.3">
      <c r="A2721" s="6">
        <v>42438</v>
      </c>
      <c r="B2721" s="7">
        <v>104.7085</v>
      </c>
      <c r="C2721" s="8">
        <f t="shared" si="21"/>
        <v>128.45797042641681</v>
      </c>
      <c r="D2721" s="9">
        <f t="shared" si="20"/>
        <v>69.185034786903515</v>
      </c>
      <c r="E2721" s="9"/>
      <c r="F2721" s="9">
        <f ca="1">IFERROR(__xludf.DUMMYFUNCTION("""COMPUTED_VALUE"""),42586)</f>
        <v>42586</v>
      </c>
      <c r="G2721" s="9" t="str">
        <f ca="1">IFERROR(__xludf.DUMMYFUNCTION("""COMPUTED_VALUE"""),"1 USD = 104.499 PKR")</f>
        <v>1 USD = 104.499 PKR</v>
      </c>
      <c r="H2721" s="9" t="str">
        <f ca="1">IFERROR(__xludf.DUMMYFUNCTION("""COMPUTED_VALUE"""),"USD PKR rate for 04/08/2016")</f>
        <v>USD PKR rate for 04/08/2016</v>
      </c>
      <c r="I2721" s="9"/>
    </row>
    <row r="2722" spans="1:9" ht="14.25" customHeight="1" x14ac:dyDescent="0.3">
      <c r="A2722" s="6">
        <v>42439</v>
      </c>
      <c r="B2722" s="7">
        <v>104.7063</v>
      </c>
      <c r="C2722" s="8">
        <f t="shared" si="21"/>
        <v>128.48094510467135</v>
      </c>
      <c r="D2722" s="9">
        <f t="shared" si="20"/>
        <v>69.18777261970078</v>
      </c>
      <c r="E2722" s="9"/>
      <c r="F2722" s="9">
        <f ca="1">IFERROR(__xludf.DUMMYFUNCTION("""COMPUTED_VALUE"""),42585)</f>
        <v>42585</v>
      </c>
      <c r="G2722" s="9" t="str">
        <f ca="1">IFERROR(__xludf.DUMMYFUNCTION("""COMPUTED_VALUE"""),"1 USD = 104.6489 PKR")</f>
        <v>1 USD = 104.6489 PKR</v>
      </c>
      <c r="H2722" s="9" t="str">
        <f ca="1">IFERROR(__xludf.DUMMYFUNCTION("""COMPUTED_VALUE"""),"USD PKR rate for 03/08/2016")</f>
        <v>USD PKR rate for 03/08/2016</v>
      </c>
      <c r="I2722" s="9"/>
    </row>
    <row r="2723" spans="1:9" ht="14.25" customHeight="1" x14ac:dyDescent="0.3">
      <c r="A2723" s="6">
        <v>42440</v>
      </c>
      <c r="B2723" s="7">
        <v>104.16889999999999</v>
      </c>
      <c r="C2723" s="8">
        <f t="shared" si="21"/>
        <v>128.50392389194175</v>
      </c>
      <c r="D2723" s="9">
        <f t="shared" si="20"/>
        <v>69.190510452498046</v>
      </c>
      <c r="E2723" s="9"/>
      <c r="F2723" s="9">
        <f ca="1">IFERROR(__xludf.DUMMYFUNCTION("""COMPUTED_VALUE"""),42584)</f>
        <v>42584</v>
      </c>
      <c r="G2723" s="9" t="str">
        <f ca="1">IFERROR(__xludf.DUMMYFUNCTION("""COMPUTED_VALUE"""),"1 USD = 104.7019 PKR")</f>
        <v>1 USD = 104.7019 PKR</v>
      </c>
      <c r="H2723" s="9" t="str">
        <f ca="1">IFERROR(__xludf.DUMMYFUNCTION("""COMPUTED_VALUE"""),"USD PKR rate for 02/08/2016")</f>
        <v>USD PKR rate for 02/08/2016</v>
      </c>
      <c r="I2723" s="9"/>
    </row>
    <row r="2724" spans="1:9" ht="14.25" customHeight="1" x14ac:dyDescent="0.3">
      <c r="A2724" s="6">
        <v>42441</v>
      </c>
      <c r="B2724" s="7">
        <v>103.9572</v>
      </c>
      <c r="C2724" s="8">
        <f t="shared" si="21"/>
        <v>128.52690678896295</v>
      </c>
      <c r="D2724" s="9">
        <f t="shared" si="20"/>
        <v>69.193248285295311</v>
      </c>
      <c r="E2724" s="9"/>
      <c r="F2724" s="9">
        <f ca="1">IFERROR(__xludf.DUMMYFUNCTION("""COMPUTED_VALUE"""),42583)</f>
        <v>42583</v>
      </c>
      <c r="G2724" s="9" t="str">
        <f ca="1">IFERROR(__xludf.DUMMYFUNCTION("""COMPUTED_VALUE"""),"1 USD = 104.7967 PKR")</f>
        <v>1 USD = 104.7967 PKR</v>
      </c>
      <c r="H2724" s="9" t="str">
        <f ca="1">IFERROR(__xludf.DUMMYFUNCTION("""COMPUTED_VALUE"""),"USD PKR rate for 01/08/2016")</f>
        <v>USD PKR rate for 01/08/2016</v>
      </c>
      <c r="I2724" s="9"/>
    </row>
    <row r="2725" spans="1:9" ht="14.25" customHeight="1" x14ac:dyDescent="0.3">
      <c r="A2725" s="6">
        <v>42442</v>
      </c>
      <c r="B2725" s="7">
        <v>104.4723</v>
      </c>
      <c r="C2725" s="8">
        <f t="shared" si="21"/>
        <v>128.54989379646995</v>
      </c>
      <c r="D2725" s="9">
        <f t="shared" si="20"/>
        <v>69.195986118092577</v>
      </c>
      <c r="E2725" s="9"/>
      <c r="F2725" s="9">
        <f ca="1">IFERROR(__xludf.DUMMYFUNCTION("""COMPUTED_VALUE"""),42582)</f>
        <v>42582</v>
      </c>
      <c r="G2725" s="9" t="str">
        <f ca="1">IFERROR(__xludf.DUMMYFUNCTION("""COMPUTED_VALUE"""),"1 USD = 104.7612 PKR")</f>
        <v>1 USD = 104.7612 PKR</v>
      </c>
      <c r="H2725" s="9" t="str">
        <f ca="1">IFERROR(__xludf.DUMMYFUNCTION("""COMPUTED_VALUE"""),"USD PKR rate for 31/07/2016")</f>
        <v>USD PKR rate for 31/07/2016</v>
      </c>
      <c r="I2725" s="9"/>
    </row>
    <row r="2726" spans="1:9" ht="14.25" customHeight="1" x14ac:dyDescent="0.3">
      <c r="A2726" s="6">
        <v>42443</v>
      </c>
      <c r="B2726" s="7">
        <v>104.66250000000001</v>
      </c>
      <c r="C2726" s="8">
        <f t="shared" si="21"/>
        <v>128.5728849151979</v>
      </c>
      <c r="D2726" s="9">
        <f t="shared" si="20"/>
        <v>69.198723950889843</v>
      </c>
      <c r="E2726" s="9"/>
      <c r="F2726" s="9">
        <f ca="1">IFERROR(__xludf.DUMMYFUNCTION("""COMPUTED_VALUE"""),42581)</f>
        <v>42581</v>
      </c>
      <c r="G2726" s="9" t="str">
        <f ca="1">IFERROR(__xludf.DUMMYFUNCTION("""COMPUTED_VALUE"""),"1 USD = 104.8452 PKR")</f>
        <v>1 USD = 104.8452 PKR</v>
      </c>
      <c r="H2726" s="9" t="str">
        <f ca="1">IFERROR(__xludf.DUMMYFUNCTION("""COMPUTED_VALUE"""),"USD PKR rate for 30/07/2016")</f>
        <v>USD PKR rate for 30/07/2016</v>
      </c>
      <c r="I2726" s="9"/>
    </row>
    <row r="2727" spans="1:9" ht="14.25" customHeight="1" x14ac:dyDescent="0.3">
      <c r="A2727" s="6">
        <v>42444</v>
      </c>
      <c r="B2727" s="7">
        <v>104.6002</v>
      </c>
      <c r="C2727" s="8">
        <f t="shared" si="21"/>
        <v>128.59588014588215</v>
      </c>
      <c r="D2727" s="9">
        <f t="shared" si="20"/>
        <v>69.201461783687108</v>
      </c>
      <c r="E2727" s="9"/>
      <c r="F2727" s="9">
        <f ca="1">IFERROR(__xludf.DUMMYFUNCTION("""COMPUTED_VALUE"""),42580)</f>
        <v>42580</v>
      </c>
      <c r="G2727" s="9" t="str">
        <f ca="1">IFERROR(__xludf.DUMMYFUNCTION("""COMPUTED_VALUE"""),"1 USD = 104.7442 PKR")</f>
        <v>1 USD = 104.7442 PKR</v>
      </c>
      <c r="H2727" s="9" t="str">
        <f ca="1">IFERROR(__xludf.DUMMYFUNCTION("""COMPUTED_VALUE"""),"USD PKR rate for 29/07/2016")</f>
        <v>USD PKR rate for 29/07/2016</v>
      </c>
      <c r="I2727" s="9"/>
    </row>
    <row r="2728" spans="1:9" ht="14.25" customHeight="1" x14ac:dyDescent="0.3">
      <c r="A2728" s="6">
        <v>42445</v>
      </c>
      <c r="B2728" s="7">
        <v>104.4389</v>
      </c>
      <c r="C2728" s="8">
        <f t="shared" si="21"/>
        <v>128.61887948925803</v>
      </c>
      <c r="D2728" s="9">
        <f t="shared" si="20"/>
        <v>69.204199616484374</v>
      </c>
      <c r="E2728" s="9"/>
      <c r="F2728" s="9">
        <f ca="1">IFERROR(__xludf.DUMMYFUNCTION("""COMPUTED_VALUE"""),42579)</f>
        <v>42579</v>
      </c>
      <c r="G2728" s="9" t="str">
        <f ca="1">IFERROR(__xludf.DUMMYFUNCTION("""COMPUTED_VALUE"""),"1 USD = 104.814 PKR")</f>
        <v>1 USD = 104.814 PKR</v>
      </c>
      <c r="H2728" s="9" t="str">
        <f ca="1">IFERROR(__xludf.DUMMYFUNCTION("""COMPUTED_VALUE"""),"USD PKR rate for 28/07/2016")</f>
        <v>USD PKR rate for 28/07/2016</v>
      </c>
      <c r="I2728" s="9"/>
    </row>
    <row r="2729" spans="1:9" ht="14.25" customHeight="1" x14ac:dyDescent="0.3">
      <c r="A2729" s="6">
        <v>42446</v>
      </c>
      <c r="B2729" s="7">
        <v>104.5812</v>
      </c>
      <c r="C2729" s="8">
        <f t="shared" si="21"/>
        <v>128.6418829460612</v>
      </c>
      <c r="D2729" s="9">
        <f t="shared" si="20"/>
        <v>69.206937449281639</v>
      </c>
      <c r="E2729" s="9"/>
      <c r="F2729" s="9">
        <f ca="1">IFERROR(__xludf.DUMMYFUNCTION("""COMPUTED_VALUE"""),42578)</f>
        <v>42578</v>
      </c>
      <c r="G2729" s="9" t="str">
        <f ca="1">IFERROR(__xludf.DUMMYFUNCTION("""COMPUTED_VALUE"""),"1 USD = 104.6783 PKR")</f>
        <v>1 USD = 104.6783 PKR</v>
      </c>
      <c r="H2729" s="9" t="str">
        <f ca="1">IFERROR(__xludf.DUMMYFUNCTION("""COMPUTED_VALUE"""),"USD PKR rate for 27/07/2016")</f>
        <v>USD PKR rate for 27/07/2016</v>
      </c>
      <c r="I2729" s="9"/>
    </row>
    <row r="2730" spans="1:9" ht="14.25" customHeight="1" x14ac:dyDescent="0.3">
      <c r="A2730" s="6">
        <v>42447</v>
      </c>
      <c r="B2730" s="7">
        <v>104.45460000000001</v>
      </c>
      <c r="C2730" s="8">
        <f t="shared" si="21"/>
        <v>128.66489051702715</v>
      </c>
      <c r="D2730" s="9">
        <f t="shared" si="20"/>
        <v>69.209675282078905</v>
      </c>
      <c r="E2730" s="9"/>
      <c r="F2730" s="9">
        <f ca="1">IFERROR(__xludf.DUMMYFUNCTION("""COMPUTED_VALUE"""),42577)</f>
        <v>42577</v>
      </c>
      <c r="G2730" s="9" t="str">
        <f ca="1">IFERROR(__xludf.DUMMYFUNCTION("""COMPUTED_VALUE"""),"1 USD = 104.7071 PKR")</f>
        <v>1 USD = 104.7071 PKR</v>
      </c>
      <c r="H2730" s="9" t="str">
        <f ca="1">IFERROR(__xludf.DUMMYFUNCTION("""COMPUTED_VALUE"""),"USD PKR rate for 26/07/2016")</f>
        <v>USD PKR rate for 26/07/2016</v>
      </c>
      <c r="I2730" s="9"/>
    </row>
    <row r="2731" spans="1:9" ht="14.25" customHeight="1" x14ac:dyDescent="0.3">
      <c r="A2731" s="6">
        <v>42448</v>
      </c>
      <c r="B2731" s="7">
        <v>104.6399</v>
      </c>
      <c r="C2731" s="8">
        <f t="shared" si="21"/>
        <v>128.68790220289193</v>
      </c>
      <c r="D2731" s="9">
        <f t="shared" si="20"/>
        <v>69.212413114876171</v>
      </c>
      <c r="E2731" s="9"/>
      <c r="F2731" s="9">
        <f ca="1">IFERROR(__xludf.DUMMYFUNCTION("""COMPUTED_VALUE"""),42576)</f>
        <v>42576</v>
      </c>
      <c r="G2731" s="9" t="str">
        <f ca="1">IFERROR(__xludf.DUMMYFUNCTION("""COMPUTED_VALUE"""),"1 USD = 105.1567 PKR")</f>
        <v>1 USD = 105.1567 PKR</v>
      </c>
      <c r="H2731" s="9" t="str">
        <f ca="1">IFERROR(__xludf.DUMMYFUNCTION("""COMPUTED_VALUE"""),"USD PKR rate for 25/07/2016")</f>
        <v>USD PKR rate for 25/07/2016</v>
      </c>
      <c r="I2731" s="9"/>
    </row>
    <row r="2732" spans="1:9" ht="14.25" customHeight="1" x14ac:dyDescent="0.3">
      <c r="A2732" s="6">
        <v>42449</v>
      </c>
      <c r="B2732" s="7">
        <v>104.6942</v>
      </c>
      <c r="C2732" s="8">
        <f t="shared" si="21"/>
        <v>128.7109180043914</v>
      </c>
      <c r="D2732" s="9">
        <f t="shared" si="20"/>
        <v>69.215150947673436</v>
      </c>
      <c r="E2732" s="9"/>
      <c r="F2732" s="9">
        <f ca="1">IFERROR(__xludf.DUMMYFUNCTION("""COMPUTED_VALUE"""),42575)</f>
        <v>42575</v>
      </c>
      <c r="G2732" s="9" t="str">
        <f ca="1">IFERROR(__xludf.DUMMYFUNCTION("""COMPUTED_VALUE"""),"1 USD = 104.9343 PKR")</f>
        <v>1 USD = 104.9343 PKR</v>
      </c>
      <c r="H2732" s="9" t="str">
        <f ca="1">IFERROR(__xludf.DUMMYFUNCTION("""COMPUTED_VALUE"""),"USD PKR rate for 24/07/2016")</f>
        <v>USD PKR rate for 24/07/2016</v>
      </c>
      <c r="I2732" s="9"/>
    </row>
    <row r="2733" spans="1:9" ht="14.25" customHeight="1" x14ac:dyDescent="0.3">
      <c r="A2733" s="6">
        <v>42450</v>
      </c>
      <c r="B2733" s="7">
        <v>104.81440000000001</v>
      </c>
      <c r="C2733" s="8">
        <f t="shared" si="21"/>
        <v>128.73393792226167</v>
      </c>
      <c r="D2733" s="9">
        <f t="shared" si="20"/>
        <v>69.217888780470702</v>
      </c>
      <c r="E2733" s="9"/>
      <c r="F2733" s="9">
        <f ca="1">IFERROR(__xludf.DUMMYFUNCTION("""COMPUTED_VALUE"""),42574)</f>
        <v>42574</v>
      </c>
      <c r="G2733" s="9" t="str">
        <f ca="1">IFERROR(__xludf.DUMMYFUNCTION("""COMPUTED_VALUE"""),"1 USD = 105.0075 PKR")</f>
        <v>1 USD = 105.0075 PKR</v>
      </c>
      <c r="H2733" s="9" t="str">
        <f ca="1">IFERROR(__xludf.DUMMYFUNCTION("""COMPUTED_VALUE"""),"USD PKR rate for 23/07/2016")</f>
        <v>USD PKR rate for 23/07/2016</v>
      </c>
      <c r="I2733" s="9"/>
    </row>
    <row r="2734" spans="1:9" ht="14.25" customHeight="1" x14ac:dyDescent="0.3">
      <c r="A2734" s="6">
        <v>42451</v>
      </c>
      <c r="B2734" s="7">
        <v>104.7008</v>
      </c>
      <c r="C2734" s="8">
        <f t="shared" si="21"/>
        <v>128.7569619572389</v>
      </c>
      <c r="D2734" s="9">
        <f t="shared" si="20"/>
        <v>69.220626613267967</v>
      </c>
      <c r="E2734" s="9"/>
      <c r="F2734" s="9">
        <f ca="1">IFERROR(__xludf.DUMMYFUNCTION("""COMPUTED_VALUE"""),42573)</f>
        <v>42573</v>
      </c>
      <c r="G2734" s="9" t="str">
        <f ca="1">IFERROR(__xludf.DUMMYFUNCTION("""COMPUTED_VALUE"""),"1 USD = 105.0179 PKR")</f>
        <v>1 USD = 105.0179 PKR</v>
      </c>
      <c r="H2734" s="9" t="str">
        <f ca="1">IFERROR(__xludf.DUMMYFUNCTION("""COMPUTED_VALUE"""),"USD PKR rate for 22/07/2016")</f>
        <v>USD PKR rate for 22/07/2016</v>
      </c>
      <c r="I2734" s="9"/>
    </row>
    <row r="2735" spans="1:9" ht="14.25" customHeight="1" x14ac:dyDescent="0.3">
      <c r="A2735" s="6">
        <v>42452</v>
      </c>
      <c r="B2735" s="7">
        <v>104.7577</v>
      </c>
      <c r="C2735" s="8">
        <f t="shared" si="21"/>
        <v>128.77999011005946</v>
      </c>
      <c r="D2735" s="9">
        <f t="shared" si="20"/>
        <v>69.223364446065233</v>
      </c>
      <c r="E2735" s="9"/>
      <c r="F2735" s="9">
        <f ca="1">IFERROR(__xludf.DUMMYFUNCTION("""COMPUTED_VALUE"""),42572)</f>
        <v>42572</v>
      </c>
      <c r="G2735" s="9" t="str">
        <f ca="1">IFERROR(__xludf.DUMMYFUNCTION("""COMPUTED_VALUE"""),"1 USD = 104.7844 PKR")</f>
        <v>1 USD = 104.7844 PKR</v>
      </c>
      <c r="H2735" s="9" t="str">
        <f ca="1">IFERROR(__xludf.DUMMYFUNCTION("""COMPUTED_VALUE"""),"USD PKR rate for 21/07/2016")</f>
        <v>USD PKR rate for 21/07/2016</v>
      </c>
      <c r="I2735" s="9"/>
    </row>
    <row r="2736" spans="1:9" ht="14.25" customHeight="1" x14ac:dyDescent="0.3">
      <c r="A2736" s="6">
        <v>42453</v>
      </c>
      <c r="B2736" s="7">
        <v>104.84829999999999</v>
      </c>
      <c r="C2736" s="8">
        <f t="shared" si="21"/>
        <v>128.80302238145981</v>
      </c>
      <c r="D2736" s="9">
        <f t="shared" si="20"/>
        <v>69.226102278862498</v>
      </c>
      <c r="E2736" s="9"/>
      <c r="F2736" s="9">
        <f ca="1">IFERROR(__xludf.DUMMYFUNCTION("""COMPUTED_VALUE"""),42571)</f>
        <v>42571</v>
      </c>
      <c r="G2736" s="9" t="str">
        <f ca="1">IFERROR(__xludf.DUMMYFUNCTION("""COMPUTED_VALUE"""),"1 USD = 104.7807 PKR")</f>
        <v>1 USD = 104.7807 PKR</v>
      </c>
      <c r="H2736" s="9" t="str">
        <f ca="1">IFERROR(__xludf.DUMMYFUNCTION("""COMPUTED_VALUE"""),"USD PKR rate for 20/07/2016")</f>
        <v>USD PKR rate for 20/07/2016</v>
      </c>
      <c r="I2736" s="9"/>
    </row>
    <row r="2737" spans="1:9" ht="14.25" customHeight="1" x14ac:dyDescent="0.3">
      <c r="A2737" s="6">
        <v>42454</v>
      </c>
      <c r="B2737" s="7">
        <v>104.74809999999999</v>
      </c>
      <c r="C2737" s="8">
        <f t="shared" si="21"/>
        <v>128.82605877217657</v>
      </c>
      <c r="D2737" s="9">
        <f t="shared" si="20"/>
        <v>69.228840111659764</v>
      </c>
      <c r="E2737" s="9"/>
      <c r="F2737" s="9">
        <f ca="1">IFERROR(__xludf.DUMMYFUNCTION("""COMPUTED_VALUE"""),42570)</f>
        <v>42570</v>
      </c>
      <c r="G2737" s="9" t="str">
        <f ca="1">IFERROR(__xludf.DUMMYFUNCTION("""COMPUTED_VALUE"""),"1 USD = 104.953 PKR")</f>
        <v>1 USD = 104.953 PKR</v>
      </c>
      <c r="H2737" s="9" t="str">
        <f ca="1">IFERROR(__xludf.DUMMYFUNCTION("""COMPUTED_VALUE"""),"USD PKR rate for 19/07/2016")</f>
        <v>USD PKR rate for 19/07/2016</v>
      </c>
      <c r="I2737" s="9"/>
    </row>
    <row r="2738" spans="1:9" ht="14.25" customHeight="1" x14ac:dyDescent="0.3">
      <c r="A2738" s="6">
        <v>42455</v>
      </c>
      <c r="B2738" s="7">
        <v>104.7068</v>
      </c>
      <c r="C2738" s="8">
        <f t="shared" si="21"/>
        <v>128.84909928294647</v>
      </c>
      <c r="D2738" s="9">
        <f t="shared" si="20"/>
        <v>69.23157794445703</v>
      </c>
      <c r="E2738" s="9"/>
      <c r="F2738" s="9">
        <f ca="1">IFERROR(__xludf.DUMMYFUNCTION("""COMPUTED_VALUE"""),42569)</f>
        <v>42569</v>
      </c>
      <c r="G2738" s="9" t="str">
        <f ca="1">IFERROR(__xludf.DUMMYFUNCTION("""COMPUTED_VALUE"""),"1 USD = 104.9794 PKR")</f>
        <v>1 USD = 104.9794 PKR</v>
      </c>
      <c r="H2738" s="9" t="str">
        <f ca="1">IFERROR(__xludf.DUMMYFUNCTION("""COMPUTED_VALUE"""),"USD PKR rate for 18/07/2016")</f>
        <v>USD PKR rate for 18/07/2016</v>
      </c>
      <c r="I2738" s="9"/>
    </row>
    <row r="2739" spans="1:9" ht="14.25" customHeight="1" x14ac:dyDescent="0.3">
      <c r="A2739" s="6">
        <v>42456</v>
      </c>
      <c r="B2739" s="7">
        <v>104.7007</v>
      </c>
      <c r="C2739" s="8">
        <f t="shared" si="21"/>
        <v>128.87214391450627</v>
      </c>
      <c r="D2739" s="9">
        <f t="shared" si="20"/>
        <v>69.234315777254295</v>
      </c>
      <c r="E2739" s="9"/>
      <c r="F2739" s="9">
        <f ca="1">IFERROR(__xludf.DUMMYFUNCTION("""COMPUTED_VALUE"""),42568)</f>
        <v>42568</v>
      </c>
      <c r="G2739" s="9" t="str">
        <f ca="1">IFERROR(__xludf.DUMMYFUNCTION("""COMPUTED_VALUE"""),"1 USD = 105.2476 PKR")</f>
        <v>1 USD = 105.2476 PKR</v>
      </c>
      <c r="H2739" s="9" t="str">
        <f ca="1">IFERROR(__xludf.DUMMYFUNCTION("""COMPUTED_VALUE"""),"USD PKR rate for 17/07/2016")</f>
        <v>USD PKR rate for 17/07/2016</v>
      </c>
      <c r="I2739" s="9"/>
    </row>
    <row r="2740" spans="1:9" ht="14.25" customHeight="1" x14ac:dyDescent="0.3">
      <c r="A2740" s="6">
        <v>42457</v>
      </c>
      <c r="B2740" s="7">
        <v>104.75</v>
      </c>
      <c r="C2740" s="8">
        <f t="shared" si="21"/>
        <v>128.89519266759322</v>
      </c>
      <c r="D2740" s="9">
        <f t="shared" si="20"/>
        <v>69.237053610051561</v>
      </c>
      <c r="E2740" s="9"/>
      <c r="F2740" s="9">
        <f ca="1">IFERROR(__xludf.DUMMYFUNCTION("""COMPUTED_VALUE"""),42567)</f>
        <v>42567</v>
      </c>
      <c r="G2740" s="9" t="str">
        <f ca="1">IFERROR(__xludf.DUMMYFUNCTION("""COMPUTED_VALUE"""),"1 USD = 104.7841 PKR")</f>
        <v>1 USD = 104.7841 PKR</v>
      </c>
      <c r="H2740" s="9" t="str">
        <f ca="1">IFERROR(__xludf.DUMMYFUNCTION("""COMPUTED_VALUE"""),"USD PKR rate for 16/07/2016")</f>
        <v>USD PKR rate for 16/07/2016</v>
      </c>
      <c r="I2740" s="9"/>
    </row>
    <row r="2741" spans="1:9" ht="14.25" customHeight="1" x14ac:dyDescent="0.3">
      <c r="A2741" s="6">
        <v>42458</v>
      </c>
      <c r="B2741" s="7">
        <v>104.69540000000001</v>
      </c>
      <c r="C2741" s="8">
        <f t="shared" si="21"/>
        <v>128.91824554294428</v>
      </c>
      <c r="D2741" s="9">
        <f t="shared" si="20"/>
        <v>69.239791442848826</v>
      </c>
      <c r="E2741" s="9"/>
      <c r="F2741" s="9">
        <f ca="1">IFERROR(__xludf.DUMMYFUNCTION("""COMPUTED_VALUE"""),42566)</f>
        <v>42566</v>
      </c>
      <c r="G2741" s="9" t="str">
        <f ca="1">IFERROR(__xludf.DUMMYFUNCTION("""COMPUTED_VALUE"""),"1 USD = 104.7578 PKR")</f>
        <v>1 USD = 104.7578 PKR</v>
      </c>
      <c r="H2741" s="9" t="str">
        <f ca="1">IFERROR(__xludf.DUMMYFUNCTION("""COMPUTED_VALUE"""),"USD PKR rate for 15/07/2016")</f>
        <v>USD PKR rate for 15/07/2016</v>
      </c>
      <c r="I2741" s="9"/>
    </row>
    <row r="2742" spans="1:9" ht="14.25" customHeight="1" x14ac:dyDescent="0.3">
      <c r="A2742" s="6">
        <v>42459</v>
      </c>
      <c r="B2742" s="7">
        <v>104.7038</v>
      </c>
      <c r="C2742" s="8">
        <f t="shared" si="21"/>
        <v>128.94130254129678</v>
      </c>
      <c r="D2742" s="9">
        <f t="shared" si="20"/>
        <v>69.242529275646092</v>
      </c>
      <c r="E2742" s="9"/>
      <c r="F2742" s="9">
        <f ca="1">IFERROR(__xludf.DUMMYFUNCTION("""COMPUTED_VALUE"""),42565)</f>
        <v>42565</v>
      </c>
      <c r="G2742" s="9" t="str">
        <f ca="1">IFERROR(__xludf.DUMMYFUNCTION("""COMPUTED_VALUE"""),"1 USD = 104.7438 PKR")</f>
        <v>1 USD = 104.7438 PKR</v>
      </c>
      <c r="H2742" s="9" t="str">
        <f ca="1">IFERROR(__xludf.DUMMYFUNCTION("""COMPUTED_VALUE"""),"USD PKR rate for 14/07/2016")</f>
        <v>USD PKR rate for 14/07/2016</v>
      </c>
      <c r="I2742" s="9"/>
    </row>
    <row r="2743" spans="1:9" ht="14.25" customHeight="1" x14ac:dyDescent="0.3">
      <c r="A2743" s="6">
        <v>42460</v>
      </c>
      <c r="B2743" s="7">
        <v>104.7602</v>
      </c>
      <c r="C2743" s="8">
        <f t="shared" si="21"/>
        <v>128.9643636633881</v>
      </c>
      <c r="D2743" s="9">
        <f t="shared" si="20"/>
        <v>69.245267108443358</v>
      </c>
      <c r="E2743" s="9"/>
      <c r="F2743" s="9">
        <f ca="1">IFERROR(__xludf.DUMMYFUNCTION("""COMPUTED_VALUE"""),42564)</f>
        <v>42564</v>
      </c>
      <c r="G2743" s="9" t="str">
        <f ca="1">IFERROR(__xludf.DUMMYFUNCTION("""COMPUTED_VALUE"""),"1 USD = 104.9802 PKR")</f>
        <v>1 USD = 104.9802 PKR</v>
      </c>
      <c r="H2743" s="9" t="str">
        <f ca="1">IFERROR(__xludf.DUMMYFUNCTION("""COMPUTED_VALUE"""),"USD PKR rate for 13/07/2016")</f>
        <v>USD PKR rate for 13/07/2016</v>
      </c>
      <c r="I2743" s="9"/>
    </row>
    <row r="2744" spans="1:9" ht="14.25" customHeight="1" x14ac:dyDescent="0.3">
      <c r="A2744" s="6">
        <v>42461</v>
      </c>
      <c r="B2744" s="7">
        <v>104.7608</v>
      </c>
      <c r="C2744" s="8">
        <f t="shared" si="21"/>
        <v>128.98742890995575</v>
      </c>
      <c r="D2744" s="9">
        <f t="shared" si="20"/>
        <v>69.248004941240623</v>
      </c>
      <c r="E2744" s="9"/>
      <c r="F2744" s="9">
        <f ca="1">IFERROR(__xludf.DUMMYFUNCTION("""COMPUTED_VALUE"""),42563)</f>
        <v>42563</v>
      </c>
      <c r="G2744" s="9" t="str">
        <f ca="1">IFERROR(__xludf.DUMMYFUNCTION("""COMPUTED_VALUE"""),"1 USD = 104.8336 PKR")</f>
        <v>1 USD = 104.8336 PKR</v>
      </c>
      <c r="H2744" s="9" t="str">
        <f ca="1">IFERROR(__xludf.DUMMYFUNCTION("""COMPUTED_VALUE"""),"USD PKR rate for 12/07/2016")</f>
        <v>USD PKR rate for 12/07/2016</v>
      </c>
      <c r="I2744" s="9"/>
    </row>
    <row r="2745" spans="1:9" ht="14.25" customHeight="1" x14ac:dyDescent="0.3">
      <c r="A2745" s="6">
        <v>42462</v>
      </c>
      <c r="B2745" s="7">
        <v>104.7784</v>
      </c>
      <c r="C2745" s="8">
        <f t="shared" si="21"/>
        <v>129.01049828173743</v>
      </c>
      <c r="D2745" s="9">
        <f t="shared" si="20"/>
        <v>69.250742774037889</v>
      </c>
      <c r="E2745" s="9"/>
      <c r="F2745" s="9">
        <f ca="1">IFERROR(__xludf.DUMMYFUNCTION("""COMPUTED_VALUE"""),42562)</f>
        <v>42562</v>
      </c>
      <c r="G2745" s="9" t="str">
        <f ca="1">IFERROR(__xludf.DUMMYFUNCTION("""COMPUTED_VALUE"""),"1 USD = 104.7929 PKR")</f>
        <v>1 USD = 104.7929 PKR</v>
      </c>
      <c r="H2745" s="9" t="str">
        <f ca="1">IFERROR(__xludf.DUMMYFUNCTION("""COMPUTED_VALUE"""),"USD PKR rate for 11/07/2016")</f>
        <v>USD PKR rate for 11/07/2016</v>
      </c>
      <c r="I2745" s="9"/>
    </row>
    <row r="2746" spans="1:9" ht="14.25" customHeight="1" x14ac:dyDescent="0.3">
      <c r="A2746" s="6">
        <v>42463</v>
      </c>
      <c r="B2746" s="7">
        <v>104.7676</v>
      </c>
      <c r="C2746" s="8">
        <f t="shared" si="21"/>
        <v>129.03357177947089</v>
      </c>
      <c r="D2746" s="9">
        <f t="shared" si="20"/>
        <v>69.253480606835154</v>
      </c>
      <c r="E2746" s="9"/>
      <c r="F2746" s="9">
        <f ca="1">IFERROR(__xludf.DUMMYFUNCTION("""COMPUTED_VALUE"""),42561)</f>
        <v>42561</v>
      </c>
      <c r="G2746" s="9" t="str">
        <f ca="1">IFERROR(__xludf.DUMMYFUNCTION("""COMPUTED_VALUE"""),"1 USD = 104.7913 PKR")</f>
        <v>1 USD = 104.7913 PKR</v>
      </c>
      <c r="H2746" s="9" t="str">
        <f ca="1">IFERROR(__xludf.DUMMYFUNCTION("""COMPUTED_VALUE"""),"USD PKR rate for 10/07/2016")</f>
        <v>USD PKR rate for 10/07/2016</v>
      </c>
      <c r="I2746" s="9"/>
    </row>
    <row r="2747" spans="1:9" ht="14.25" customHeight="1" x14ac:dyDescent="0.3">
      <c r="A2747" s="6">
        <v>42464</v>
      </c>
      <c r="B2747" s="7">
        <v>104.1688</v>
      </c>
      <c r="C2747" s="8">
        <f t="shared" si="21"/>
        <v>129.05664940389406</v>
      </c>
      <c r="D2747" s="9">
        <f t="shared" si="20"/>
        <v>69.25621843963242</v>
      </c>
      <c r="E2747" s="9"/>
      <c r="F2747" s="9">
        <f ca="1">IFERROR(__xludf.DUMMYFUNCTION("""COMPUTED_VALUE"""),42560)</f>
        <v>42560</v>
      </c>
      <c r="G2747" s="9" t="str">
        <f ca="1">IFERROR(__xludf.DUMMYFUNCTION("""COMPUTED_VALUE"""),"1 USD = 104.7058 PKR")</f>
        <v>1 USD = 104.7058 PKR</v>
      </c>
      <c r="H2747" s="9" t="str">
        <f ca="1">IFERROR(__xludf.DUMMYFUNCTION("""COMPUTED_VALUE"""),"USD PKR rate for 09/07/2016")</f>
        <v>USD PKR rate for 09/07/2016</v>
      </c>
      <c r="I2747" s="9"/>
    </row>
    <row r="2748" spans="1:9" ht="14.25" customHeight="1" x14ac:dyDescent="0.3">
      <c r="A2748" s="6">
        <v>42465</v>
      </c>
      <c r="B2748" s="7">
        <v>104.70350000000001</v>
      </c>
      <c r="C2748" s="8">
        <f t="shared" si="21"/>
        <v>129.07973115574492</v>
      </c>
      <c r="D2748" s="9">
        <f t="shared" si="20"/>
        <v>69.258956272429685</v>
      </c>
      <c r="E2748" s="9"/>
      <c r="F2748" s="9">
        <f ca="1">IFERROR(__xludf.DUMMYFUNCTION("""COMPUTED_VALUE"""),42559)</f>
        <v>42559</v>
      </c>
      <c r="G2748" s="9" t="str">
        <f ca="1">IFERROR(__xludf.DUMMYFUNCTION("""COMPUTED_VALUE"""),"1 USD = 104.669 PKR")</f>
        <v>1 USD = 104.669 PKR</v>
      </c>
      <c r="H2748" s="9" t="str">
        <f ca="1">IFERROR(__xludf.DUMMYFUNCTION("""COMPUTED_VALUE"""),"USD PKR rate for 08/07/2016")</f>
        <v>USD PKR rate for 08/07/2016</v>
      </c>
      <c r="I2748" s="9"/>
    </row>
    <row r="2749" spans="1:9" ht="14.25" customHeight="1" x14ac:dyDescent="0.3">
      <c r="A2749" s="6">
        <v>42466</v>
      </c>
      <c r="B2749" s="7">
        <v>104.62569999999999</v>
      </c>
      <c r="C2749" s="8">
        <f t="shared" si="21"/>
        <v>129.10281703576186</v>
      </c>
      <c r="D2749" s="9">
        <f t="shared" si="20"/>
        <v>69.261694105226951</v>
      </c>
      <c r="E2749" s="9"/>
      <c r="F2749" s="9">
        <f ca="1">IFERROR(__xludf.DUMMYFUNCTION("""COMPUTED_VALUE"""),42558)</f>
        <v>42558</v>
      </c>
      <c r="G2749" s="9" t="str">
        <f ca="1">IFERROR(__xludf.DUMMYFUNCTION("""COMPUTED_VALUE"""),"1 USD = 104.9839 PKR")</f>
        <v>1 USD = 104.9839 PKR</v>
      </c>
      <c r="H2749" s="9" t="str">
        <f ca="1">IFERROR(__xludf.DUMMYFUNCTION("""COMPUTED_VALUE"""),"USD PKR rate for 07/07/2016")</f>
        <v>USD PKR rate for 07/07/2016</v>
      </c>
      <c r="I2749" s="9"/>
    </row>
    <row r="2750" spans="1:9" ht="14.25" customHeight="1" x14ac:dyDescent="0.3">
      <c r="A2750" s="6">
        <v>42467</v>
      </c>
      <c r="B2750" s="7">
        <v>104.6555</v>
      </c>
      <c r="C2750" s="8">
        <f t="shared" si="21"/>
        <v>129.12590704468309</v>
      </c>
      <c r="D2750" s="9">
        <f t="shared" si="20"/>
        <v>69.264431938024217</v>
      </c>
      <c r="E2750" s="9"/>
      <c r="F2750" s="9">
        <f ca="1">IFERROR(__xludf.DUMMYFUNCTION("""COMPUTED_VALUE"""),42557)</f>
        <v>42557</v>
      </c>
      <c r="G2750" s="9" t="str">
        <f ca="1">IFERROR(__xludf.DUMMYFUNCTION("""COMPUTED_VALUE"""),"1 USD = 104.8524 PKR")</f>
        <v>1 USD = 104.8524 PKR</v>
      </c>
      <c r="H2750" s="9" t="str">
        <f ca="1">IFERROR(__xludf.DUMMYFUNCTION("""COMPUTED_VALUE"""),"USD PKR rate for 06/07/2016")</f>
        <v>USD PKR rate for 06/07/2016</v>
      </c>
      <c r="I2750" s="9"/>
    </row>
    <row r="2751" spans="1:9" ht="14.25" customHeight="1" x14ac:dyDescent="0.3">
      <c r="A2751" s="6">
        <v>42468</v>
      </c>
      <c r="B2751" s="7">
        <v>104.67</v>
      </c>
      <c r="C2751" s="8">
        <f t="shared" si="21"/>
        <v>129.14900118324709</v>
      </c>
      <c r="D2751" s="9">
        <f t="shared" si="20"/>
        <v>69.267169770821482</v>
      </c>
      <c r="E2751" s="9"/>
      <c r="F2751" s="9">
        <f ca="1">IFERROR(__xludf.DUMMYFUNCTION("""COMPUTED_VALUE"""),42556)</f>
        <v>42556</v>
      </c>
      <c r="G2751" s="9" t="str">
        <f ca="1">IFERROR(__xludf.DUMMYFUNCTION("""COMPUTED_VALUE"""),"1 USD = 105.0969 PKR")</f>
        <v>1 USD = 105.0969 PKR</v>
      </c>
      <c r="H2751" s="9" t="str">
        <f ca="1">IFERROR(__xludf.DUMMYFUNCTION("""COMPUTED_VALUE"""),"USD PKR rate for 05/07/2016")</f>
        <v>USD PKR rate for 05/07/2016</v>
      </c>
      <c r="I2751" s="9"/>
    </row>
    <row r="2752" spans="1:9" ht="14.25" customHeight="1" x14ac:dyDescent="0.3">
      <c r="A2752" s="6">
        <v>42469</v>
      </c>
      <c r="B2752" s="7">
        <v>104.7218</v>
      </c>
      <c r="C2752" s="8">
        <f t="shared" si="21"/>
        <v>129.17209945219238</v>
      </c>
      <c r="D2752" s="9">
        <f t="shared" si="20"/>
        <v>69.269907603618748</v>
      </c>
      <c r="E2752" s="9"/>
      <c r="F2752" s="9">
        <f ca="1">IFERROR(__xludf.DUMMYFUNCTION("""COMPUTED_VALUE"""),42555)</f>
        <v>42555</v>
      </c>
      <c r="G2752" s="9" t="str">
        <f ca="1">IFERROR(__xludf.DUMMYFUNCTION("""COMPUTED_VALUE"""),"1 USD = 104.594 PKR")</f>
        <v>1 USD = 104.594 PKR</v>
      </c>
      <c r="H2752" s="9" t="str">
        <f ca="1">IFERROR(__xludf.DUMMYFUNCTION("""COMPUTED_VALUE"""),"USD PKR rate for 04/07/2016")</f>
        <v>USD PKR rate for 04/07/2016</v>
      </c>
      <c r="I2752" s="9"/>
    </row>
    <row r="2753" spans="1:9" ht="14.25" customHeight="1" x14ac:dyDescent="0.3">
      <c r="A2753" s="6">
        <v>42470</v>
      </c>
      <c r="B2753" s="7">
        <v>104.70640000000002</v>
      </c>
      <c r="C2753" s="8">
        <f t="shared" si="21"/>
        <v>129.19520185225775</v>
      </c>
      <c r="D2753" s="9">
        <f t="shared" si="20"/>
        <v>69.272645436416013</v>
      </c>
      <c r="E2753" s="9"/>
      <c r="F2753" s="9">
        <f ca="1">IFERROR(__xludf.DUMMYFUNCTION("""COMPUTED_VALUE"""),42554)</f>
        <v>42554</v>
      </c>
      <c r="G2753" s="9" t="str">
        <f ca="1">IFERROR(__xludf.DUMMYFUNCTION("""COMPUTED_VALUE"""),"1 USD = 104.667 PKR")</f>
        <v>1 USD = 104.667 PKR</v>
      </c>
      <c r="H2753" s="9" t="str">
        <f ca="1">IFERROR(__xludf.DUMMYFUNCTION("""COMPUTED_VALUE"""),"USD PKR rate for 03/07/2016")</f>
        <v>USD PKR rate for 03/07/2016</v>
      </c>
      <c r="I2753" s="9"/>
    </row>
    <row r="2754" spans="1:9" ht="14.25" customHeight="1" x14ac:dyDescent="0.3">
      <c r="A2754" s="6">
        <v>42471</v>
      </c>
      <c r="B2754" s="7">
        <v>104.69920000000002</v>
      </c>
      <c r="C2754" s="8">
        <f t="shared" si="21"/>
        <v>129.21830838418202</v>
      </c>
      <c r="D2754" s="9">
        <f t="shared" si="20"/>
        <v>69.275383269213279</v>
      </c>
      <c r="E2754" s="9"/>
      <c r="F2754" s="9">
        <f ca="1">IFERROR(__xludf.DUMMYFUNCTION("""COMPUTED_VALUE"""),42553)</f>
        <v>42553</v>
      </c>
      <c r="G2754" s="9" t="str">
        <f ca="1">IFERROR(__xludf.DUMMYFUNCTION("""COMPUTED_VALUE"""),"1 USD = 104.7674 PKR")</f>
        <v>1 USD = 104.7674 PKR</v>
      </c>
      <c r="H2754" s="9" t="str">
        <f ca="1">IFERROR(__xludf.DUMMYFUNCTION("""COMPUTED_VALUE"""),"USD PKR rate for 02/07/2016")</f>
        <v>USD PKR rate for 02/07/2016</v>
      </c>
      <c r="I2754" s="9"/>
    </row>
    <row r="2755" spans="1:9" ht="14.25" customHeight="1" x14ac:dyDescent="0.3">
      <c r="A2755" s="6">
        <v>42472</v>
      </c>
      <c r="B2755" s="7">
        <v>104.67610000000001</v>
      </c>
      <c r="C2755" s="8">
        <f t="shared" si="21"/>
        <v>129.24141904870416</v>
      </c>
      <c r="D2755" s="9">
        <f t="shared" si="20"/>
        <v>69.278121102010545</v>
      </c>
      <c r="E2755" s="9"/>
      <c r="F2755" s="9">
        <f ca="1">IFERROR(__xludf.DUMMYFUNCTION("""COMPUTED_VALUE"""),42552)</f>
        <v>42552</v>
      </c>
      <c r="G2755" s="9" t="str">
        <f ca="1">IFERROR(__xludf.DUMMYFUNCTION("""COMPUTED_VALUE"""),"1 USD = 104.6721 PKR")</f>
        <v>1 USD = 104.6721 PKR</v>
      </c>
      <c r="H2755" s="9" t="str">
        <f ca="1">IFERROR(__xludf.DUMMYFUNCTION("""COMPUTED_VALUE"""),"USD PKR rate for 01/07/2016")</f>
        <v>USD PKR rate for 01/07/2016</v>
      </c>
      <c r="I2755" s="9"/>
    </row>
    <row r="2756" spans="1:9" ht="14.25" customHeight="1" x14ac:dyDescent="0.3">
      <c r="A2756" s="6">
        <v>42473</v>
      </c>
      <c r="B2756" s="7">
        <v>104.732</v>
      </c>
      <c r="C2756" s="8">
        <f t="shared" si="21"/>
        <v>129.2645338465633</v>
      </c>
      <c r="D2756" s="9">
        <f t="shared" si="20"/>
        <v>69.28085893480781</v>
      </c>
      <c r="E2756" s="9"/>
      <c r="F2756" s="9">
        <f ca="1">IFERROR(__xludf.DUMMYFUNCTION("""COMPUTED_VALUE"""),42551)</f>
        <v>42551</v>
      </c>
      <c r="G2756" s="9" t="str">
        <f ca="1">IFERROR(__xludf.DUMMYFUNCTION("""COMPUTED_VALUE"""),"1 USD = 104.5445 PKR")</f>
        <v>1 USD = 104.5445 PKR</v>
      </c>
      <c r="H2756" s="9" t="str">
        <f ca="1">IFERROR(__xludf.DUMMYFUNCTION("""COMPUTED_VALUE"""),"USD PKR rate for 30/06/2016")</f>
        <v>USD PKR rate for 30/06/2016</v>
      </c>
      <c r="I2756" s="9"/>
    </row>
    <row r="2757" spans="1:9" ht="14.25" customHeight="1" x14ac:dyDescent="0.3">
      <c r="A2757" s="6">
        <v>42474</v>
      </c>
      <c r="B2757" s="7">
        <v>104.71210000000001</v>
      </c>
      <c r="C2757" s="8">
        <f t="shared" si="21"/>
        <v>129.2876527784986</v>
      </c>
      <c r="D2757" s="9">
        <f t="shared" si="20"/>
        <v>69.283596767605076</v>
      </c>
      <c r="E2757" s="9"/>
      <c r="F2757" s="9">
        <f ca="1">IFERROR(__xludf.DUMMYFUNCTION("""COMPUTED_VALUE"""),42550)</f>
        <v>42550</v>
      </c>
      <c r="G2757" s="9" t="str">
        <f ca="1">IFERROR(__xludf.DUMMYFUNCTION("""COMPUTED_VALUE"""),"1 USD = 104.7295 PKR")</f>
        <v>1 USD = 104.7295 PKR</v>
      </c>
      <c r="H2757" s="9" t="str">
        <f ca="1">IFERROR(__xludf.DUMMYFUNCTION("""COMPUTED_VALUE"""),"USD PKR rate for 29/06/2016")</f>
        <v>USD PKR rate for 29/06/2016</v>
      </c>
      <c r="I2757" s="9"/>
    </row>
    <row r="2758" spans="1:9" ht="14.25" customHeight="1" x14ac:dyDescent="0.3">
      <c r="A2758" s="6">
        <v>42475</v>
      </c>
      <c r="B2758" s="7">
        <v>104.7333</v>
      </c>
      <c r="C2758" s="8">
        <f t="shared" si="21"/>
        <v>129.31077584524959</v>
      </c>
      <c r="D2758" s="9">
        <f t="shared" si="20"/>
        <v>69.286334600402341</v>
      </c>
      <c r="E2758" s="9"/>
      <c r="F2758" s="9">
        <f ca="1">IFERROR(__xludf.DUMMYFUNCTION("""COMPUTED_VALUE"""),42549)</f>
        <v>42549</v>
      </c>
      <c r="G2758" s="9" t="str">
        <f ca="1">IFERROR(__xludf.DUMMYFUNCTION("""COMPUTED_VALUE"""),"1 USD = 104.7285 PKR")</f>
        <v>1 USD = 104.7285 PKR</v>
      </c>
      <c r="H2758" s="9" t="str">
        <f ca="1">IFERROR(__xludf.DUMMYFUNCTION("""COMPUTED_VALUE"""),"USD PKR rate for 28/06/2016")</f>
        <v>USD PKR rate for 28/06/2016</v>
      </c>
      <c r="I2758" s="9"/>
    </row>
    <row r="2759" spans="1:9" ht="14.25" customHeight="1" x14ac:dyDescent="0.3">
      <c r="A2759" s="6">
        <v>42476</v>
      </c>
      <c r="B2759" s="7">
        <v>104.7276</v>
      </c>
      <c r="C2759" s="8">
        <f t="shared" si="21"/>
        <v>129.33390304755571</v>
      </c>
      <c r="D2759" s="9">
        <f t="shared" si="20"/>
        <v>69.289072433199607</v>
      </c>
      <c r="E2759" s="9"/>
      <c r="F2759" s="9">
        <f ca="1">IFERROR(__xludf.DUMMYFUNCTION("""COMPUTED_VALUE"""),42548)</f>
        <v>42548</v>
      </c>
      <c r="G2759" s="9" t="str">
        <f ca="1">IFERROR(__xludf.DUMMYFUNCTION("""COMPUTED_VALUE"""),"1 USD = 104.6291 PKR")</f>
        <v>1 USD = 104.6291 PKR</v>
      </c>
      <c r="H2759" s="9" t="str">
        <f ca="1">IFERROR(__xludf.DUMMYFUNCTION("""COMPUTED_VALUE"""),"USD PKR rate for 27/06/2016")</f>
        <v>USD PKR rate for 27/06/2016</v>
      </c>
      <c r="I2759" s="9"/>
    </row>
    <row r="2760" spans="1:9" ht="14.25" customHeight="1" x14ac:dyDescent="0.3">
      <c r="A2760" s="6">
        <v>42477</v>
      </c>
      <c r="B2760" s="7">
        <v>104.7504</v>
      </c>
      <c r="C2760" s="8">
        <f t="shared" si="21"/>
        <v>129.35703438615664</v>
      </c>
      <c r="D2760" s="9">
        <f t="shared" si="20"/>
        <v>69.291810265996872</v>
      </c>
      <c r="E2760" s="9"/>
      <c r="F2760" s="9">
        <f ca="1">IFERROR(__xludf.DUMMYFUNCTION("""COMPUTED_VALUE"""),42547)</f>
        <v>42547</v>
      </c>
      <c r="G2760" s="9" t="str">
        <f ca="1">IFERROR(__xludf.DUMMYFUNCTION("""COMPUTED_VALUE"""),"1 USD = 104.5134 PKR")</f>
        <v>1 USD = 104.5134 PKR</v>
      </c>
      <c r="H2760" s="9" t="str">
        <f ca="1">IFERROR(__xludf.DUMMYFUNCTION("""COMPUTED_VALUE"""),"USD PKR rate for 26/06/2016")</f>
        <v>USD PKR rate for 26/06/2016</v>
      </c>
      <c r="I2760" s="9"/>
    </row>
    <row r="2761" spans="1:9" ht="14.25" customHeight="1" x14ac:dyDescent="0.3">
      <c r="A2761" s="6">
        <v>42478</v>
      </c>
      <c r="B2761" s="7">
        <v>104.76110000000001</v>
      </c>
      <c r="C2761" s="8">
        <f t="shared" si="21"/>
        <v>129.3801698617921</v>
      </c>
      <c r="D2761" s="9">
        <f t="shared" si="20"/>
        <v>69.294548098794138</v>
      </c>
      <c r="E2761" s="9"/>
      <c r="F2761" s="9">
        <f ca="1">IFERROR(__xludf.DUMMYFUNCTION("""COMPUTED_VALUE"""),42546)</f>
        <v>42546</v>
      </c>
      <c r="G2761" s="9" t="str">
        <f ca="1">IFERROR(__xludf.DUMMYFUNCTION("""COMPUTED_VALUE"""),"1 USD = 104.5882 PKR")</f>
        <v>1 USD = 104.5882 PKR</v>
      </c>
      <c r="H2761" s="9" t="str">
        <f ca="1">IFERROR(__xludf.DUMMYFUNCTION("""COMPUTED_VALUE"""),"USD PKR rate for 25/06/2016")</f>
        <v>USD PKR rate for 25/06/2016</v>
      </c>
      <c r="I2761" s="9"/>
    </row>
    <row r="2762" spans="1:9" ht="14.25" customHeight="1" x14ac:dyDescent="0.3">
      <c r="A2762" s="6">
        <v>42479</v>
      </c>
      <c r="B2762" s="7">
        <v>104.7698</v>
      </c>
      <c r="C2762" s="8">
        <f t="shared" si="21"/>
        <v>129.40330947520204</v>
      </c>
      <c r="D2762" s="9">
        <f t="shared" si="20"/>
        <v>69.297285931591404</v>
      </c>
      <c r="E2762" s="9"/>
      <c r="F2762" s="9">
        <f ca="1">IFERROR(__xludf.DUMMYFUNCTION("""COMPUTED_VALUE"""),42545)</f>
        <v>42545</v>
      </c>
      <c r="G2762" s="9" t="str">
        <f ca="1">IFERROR(__xludf.DUMMYFUNCTION("""COMPUTED_VALUE"""),"1 USD = 104.5419 PKR")</f>
        <v>1 USD = 104.5419 PKR</v>
      </c>
      <c r="H2762" s="9" t="str">
        <f ca="1">IFERROR(__xludf.DUMMYFUNCTION("""COMPUTED_VALUE"""),"USD PKR rate for 24/06/2016")</f>
        <v>USD PKR rate for 24/06/2016</v>
      </c>
      <c r="I2762" s="9"/>
    </row>
    <row r="2763" spans="1:9" ht="14.25" customHeight="1" x14ac:dyDescent="0.3">
      <c r="A2763" s="6">
        <v>42480</v>
      </c>
      <c r="B2763" s="7">
        <v>104.69500000000001</v>
      </c>
      <c r="C2763" s="8">
        <f t="shared" si="21"/>
        <v>129.42645322712644</v>
      </c>
      <c r="D2763" s="9">
        <f t="shared" si="20"/>
        <v>69.300023764388669</v>
      </c>
      <c r="E2763" s="9"/>
      <c r="F2763" s="9">
        <f ca="1">IFERROR(__xludf.DUMMYFUNCTION("""COMPUTED_VALUE"""),42544)</f>
        <v>42544</v>
      </c>
      <c r="G2763" s="9" t="str">
        <f ca="1">IFERROR(__xludf.DUMMYFUNCTION("""COMPUTED_VALUE"""),"1 USD = 105.3867 PKR")</f>
        <v>1 USD = 105.3867 PKR</v>
      </c>
      <c r="H2763" s="9" t="str">
        <f ca="1">IFERROR(__xludf.DUMMYFUNCTION("""COMPUTED_VALUE"""),"USD PKR rate for 23/06/2016")</f>
        <v>USD PKR rate for 23/06/2016</v>
      </c>
      <c r="I2763" s="9"/>
    </row>
    <row r="2764" spans="1:9" ht="14.25" customHeight="1" x14ac:dyDescent="0.3">
      <c r="A2764" s="6">
        <v>42481</v>
      </c>
      <c r="B2764" s="7">
        <v>104.71360000000001</v>
      </c>
      <c r="C2764" s="8">
        <f t="shared" si="21"/>
        <v>129.44960111830554</v>
      </c>
      <c r="D2764" s="9">
        <f t="shared" si="20"/>
        <v>69.302761597185935</v>
      </c>
      <c r="E2764" s="9"/>
      <c r="F2764" s="9">
        <f ca="1">IFERROR(__xludf.DUMMYFUNCTION("""COMPUTED_VALUE"""),42543)</f>
        <v>42543</v>
      </c>
      <c r="G2764" s="9" t="str">
        <f ca="1">IFERROR(__xludf.DUMMYFUNCTION("""COMPUTED_VALUE"""),"1 USD = 104.5372 PKR")</f>
        <v>1 USD = 104.5372 PKR</v>
      </c>
      <c r="H2764" s="9" t="str">
        <f ca="1">IFERROR(__xludf.DUMMYFUNCTION("""COMPUTED_VALUE"""),"USD PKR rate for 22/06/2016")</f>
        <v>USD PKR rate for 22/06/2016</v>
      </c>
      <c r="I2764" s="9"/>
    </row>
    <row r="2765" spans="1:9" ht="14.25" customHeight="1" x14ac:dyDescent="0.3">
      <c r="A2765" s="6">
        <v>42482</v>
      </c>
      <c r="B2765" s="7">
        <v>104.81760000000001</v>
      </c>
      <c r="C2765" s="8">
        <f t="shared" si="21"/>
        <v>129.47275314947962</v>
      </c>
      <c r="D2765" s="9">
        <f t="shared" si="20"/>
        <v>69.3054994299832</v>
      </c>
      <c r="E2765" s="9"/>
      <c r="F2765" s="9">
        <f ca="1">IFERROR(__xludf.DUMMYFUNCTION("""COMPUTED_VALUE"""),42542)</f>
        <v>42542</v>
      </c>
      <c r="G2765" s="9" t="str">
        <f ca="1">IFERROR(__xludf.DUMMYFUNCTION("""COMPUTED_VALUE"""),"1 USD = 104.7381 PKR")</f>
        <v>1 USD = 104.7381 PKR</v>
      </c>
      <c r="H2765" s="9" t="str">
        <f ca="1">IFERROR(__xludf.DUMMYFUNCTION("""COMPUTED_VALUE"""),"USD PKR rate for 21/06/2016")</f>
        <v>USD PKR rate for 21/06/2016</v>
      </c>
      <c r="I2765" s="9"/>
    </row>
    <row r="2766" spans="1:9" ht="14.25" customHeight="1" x14ac:dyDescent="0.3">
      <c r="A2766" s="6">
        <v>42483</v>
      </c>
      <c r="B2766" s="7">
        <v>104.7747</v>
      </c>
      <c r="C2766" s="8">
        <f t="shared" si="21"/>
        <v>129.49590932138898</v>
      </c>
      <c r="D2766" s="9">
        <f t="shared" si="20"/>
        <v>69.308237262780466</v>
      </c>
      <c r="E2766" s="9"/>
      <c r="F2766" s="9">
        <f ca="1">IFERROR(__xludf.DUMMYFUNCTION("""COMPUTED_VALUE"""),42541)</f>
        <v>42541</v>
      </c>
      <c r="G2766" s="9" t="str">
        <f ca="1">IFERROR(__xludf.DUMMYFUNCTION("""COMPUTED_VALUE"""),"1 USD = 104.7878 PKR")</f>
        <v>1 USD = 104.7878 PKR</v>
      </c>
      <c r="H2766" s="9" t="str">
        <f ca="1">IFERROR(__xludf.DUMMYFUNCTION("""COMPUTED_VALUE"""),"USD PKR rate for 20/06/2016")</f>
        <v>USD PKR rate for 20/06/2016</v>
      </c>
      <c r="I2766" s="9"/>
    </row>
    <row r="2767" spans="1:9" ht="14.25" customHeight="1" x14ac:dyDescent="0.3">
      <c r="A2767" s="6">
        <v>42484</v>
      </c>
      <c r="B2767" s="7">
        <v>104.6901</v>
      </c>
      <c r="C2767" s="8">
        <f t="shared" si="21"/>
        <v>129.51906963477455</v>
      </c>
      <c r="D2767" s="9">
        <f t="shared" si="20"/>
        <v>69.310975095577746</v>
      </c>
      <c r="E2767" s="9"/>
      <c r="F2767" s="9">
        <f ca="1">IFERROR(__xludf.DUMMYFUNCTION("""COMPUTED_VALUE"""),42540)</f>
        <v>42540</v>
      </c>
      <c r="G2767" s="9" t="str">
        <f ca="1">IFERROR(__xludf.DUMMYFUNCTION("""COMPUTED_VALUE"""),"1 USD = 104.3964 PKR")</f>
        <v>1 USD = 104.3964 PKR</v>
      </c>
      <c r="H2767" s="9" t="str">
        <f ca="1">IFERROR(__xludf.DUMMYFUNCTION("""COMPUTED_VALUE"""),"USD PKR rate for 19/06/2016")</f>
        <v>USD PKR rate for 19/06/2016</v>
      </c>
      <c r="I2767" s="9"/>
    </row>
    <row r="2768" spans="1:9" ht="14.25" customHeight="1" x14ac:dyDescent="0.3">
      <c r="A2768" s="6">
        <v>42485</v>
      </c>
      <c r="B2768" s="7">
        <v>104.7559</v>
      </c>
      <c r="C2768" s="8">
        <f t="shared" si="21"/>
        <v>129.5422340903767</v>
      </c>
      <c r="D2768" s="9">
        <f t="shared" si="20"/>
        <v>69.313712928375011</v>
      </c>
      <c r="E2768" s="9"/>
      <c r="F2768" s="9">
        <f ca="1">IFERROR(__xludf.DUMMYFUNCTION("""COMPUTED_VALUE"""),42539)</f>
        <v>42539</v>
      </c>
      <c r="G2768" s="9" t="str">
        <f ca="1">IFERROR(__xludf.DUMMYFUNCTION("""COMPUTED_VALUE"""),"1 USD = 104.658 PKR")</f>
        <v>1 USD = 104.658 PKR</v>
      </c>
      <c r="H2768" s="9" t="str">
        <f ca="1">IFERROR(__xludf.DUMMYFUNCTION("""COMPUTED_VALUE"""),"USD PKR rate for 18/06/2016")</f>
        <v>USD PKR rate for 18/06/2016</v>
      </c>
      <c r="I2768" s="9"/>
    </row>
    <row r="2769" spans="1:9" ht="14.25" customHeight="1" x14ac:dyDescent="0.3">
      <c r="A2769" s="6">
        <v>42486</v>
      </c>
      <c r="B2769" s="7">
        <v>104.78489999999999</v>
      </c>
      <c r="C2769" s="8">
        <f t="shared" si="21"/>
        <v>129.56540268893636</v>
      </c>
      <c r="D2769" s="9">
        <f t="shared" si="20"/>
        <v>69.316450761172277</v>
      </c>
      <c r="E2769" s="9"/>
      <c r="F2769" s="9">
        <f ca="1">IFERROR(__xludf.DUMMYFUNCTION("""COMPUTED_VALUE"""),42538)</f>
        <v>42538</v>
      </c>
      <c r="G2769" s="9" t="str">
        <f ca="1">IFERROR(__xludf.DUMMYFUNCTION("""COMPUTED_VALUE"""),"1 USD = 104.5524 PKR")</f>
        <v>1 USD = 104.5524 PKR</v>
      </c>
      <c r="H2769" s="9" t="str">
        <f ca="1">IFERROR(__xludf.DUMMYFUNCTION("""COMPUTED_VALUE"""),"USD PKR rate for 17/06/2016")</f>
        <v>USD PKR rate for 17/06/2016</v>
      </c>
      <c r="I2769" s="9"/>
    </row>
    <row r="2770" spans="1:9" ht="14.25" customHeight="1" x14ac:dyDescent="0.3">
      <c r="A2770" s="6">
        <v>42487</v>
      </c>
      <c r="B2770" s="7">
        <v>104.7295</v>
      </c>
      <c r="C2770" s="8">
        <f t="shared" si="21"/>
        <v>129.5885754311945</v>
      </c>
      <c r="D2770" s="9">
        <f t="shared" si="20"/>
        <v>69.319188593969542</v>
      </c>
      <c r="E2770" s="9"/>
      <c r="F2770" s="9">
        <f ca="1">IFERROR(__xludf.DUMMYFUNCTION("""COMPUTED_VALUE"""),42537)</f>
        <v>42537</v>
      </c>
      <c r="G2770" s="9" t="str">
        <f ca="1">IFERROR(__xludf.DUMMYFUNCTION("""COMPUTED_VALUE"""),"1 USD = 104.5464 PKR")</f>
        <v>1 USD = 104.5464 PKR</v>
      </c>
      <c r="H2770" s="9" t="str">
        <f ca="1">IFERROR(__xludf.DUMMYFUNCTION("""COMPUTED_VALUE"""),"USD PKR rate for 16/06/2016")</f>
        <v>USD PKR rate for 16/06/2016</v>
      </c>
      <c r="I2770" s="9"/>
    </row>
    <row r="2771" spans="1:9" ht="14.25" customHeight="1" x14ac:dyDescent="0.3">
      <c r="A2771" s="6">
        <v>42488</v>
      </c>
      <c r="B2771" s="7">
        <v>104.79600000000001</v>
      </c>
      <c r="C2771" s="8">
        <f t="shared" si="21"/>
        <v>129.61175231789224</v>
      </c>
      <c r="D2771" s="9">
        <f t="shared" si="20"/>
        <v>69.321926426766808</v>
      </c>
      <c r="E2771" s="9"/>
      <c r="F2771" s="9">
        <f ca="1">IFERROR(__xludf.DUMMYFUNCTION("""COMPUTED_VALUE"""),42536)</f>
        <v>42536</v>
      </c>
      <c r="G2771" s="9" t="str">
        <f ca="1">IFERROR(__xludf.DUMMYFUNCTION("""COMPUTED_VALUE"""),"1 USD = 104.4922 PKR")</f>
        <v>1 USD = 104.4922 PKR</v>
      </c>
      <c r="H2771" s="9" t="str">
        <f ca="1">IFERROR(__xludf.DUMMYFUNCTION("""COMPUTED_VALUE"""),"USD PKR rate for 15/06/2016")</f>
        <v>USD PKR rate for 15/06/2016</v>
      </c>
      <c r="I2771" s="9"/>
    </row>
    <row r="2772" spans="1:9" ht="14.25" customHeight="1" x14ac:dyDescent="0.3">
      <c r="A2772" s="6">
        <v>42489</v>
      </c>
      <c r="B2772" s="7">
        <v>104.82480000000001</v>
      </c>
      <c r="C2772" s="8">
        <f t="shared" si="21"/>
        <v>129.63493334977079</v>
      </c>
      <c r="D2772" s="9">
        <f t="shared" si="20"/>
        <v>69.324664259564074</v>
      </c>
      <c r="E2772" s="9"/>
      <c r="F2772" s="9">
        <f ca="1">IFERROR(__xludf.DUMMYFUNCTION("""COMPUTED_VALUE"""),42535)</f>
        <v>42535</v>
      </c>
      <c r="G2772" s="9" t="str">
        <f ca="1">IFERROR(__xludf.DUMMYFUNCTION("""COMPUTED_VALUE"""),"1 USD = 104.6233 PKR")</f>
        <v>1 USD = 104.6233 PKR</v>
      </c>
      <c r="H2772" s="9" t="str">
        <f ca="1">IFERROR(__xludf.DUMMYFUNCTION("""COMPUTED_VALUE"""),"USD PKR rate for 14/06/2016")</f>
        <v>USD PKR rate for 14/06/2016</v>
      </c>
      <c r="I2772" s="9"/>
    </row>
    <row r="2773" spans="1:9" ht="14.25" customHeight="1" x14ac:dyDescent="0.3">
      <c r="A2773" s="6">
        <v>42490</v>
      </c>
      <c r="B2773" s="7">
        <v>104.8339</v>
      </c>
      <c r="C2773" s="8">
        <f t="shared" si="21"/>
        <v>129.65811852757153</v>
      </c>
      <c r="D2773" s="9">
        <f t="shared" si="20"/>
        <v>69.327402092361339</v>
      </c>
      <c r="E2773" s="9"/>
      <c r="F2773" s="9">
        <f ca="1">IFERROR(__xludf.DUMMYFUNCTION("""COMPUTED_VALUE"""),42534)</f>
        <v>42534</v>
      </c>
      <c r="G2773" s="9" t="str">
        <f ca="1">IFERROR(__xludf.DUMMYFUNCTION("""COMPUTED_VALUE"""),"1 USD = 104.5207 PKR")</f>
        <v>1 USD = 104.5207 PKR</v>
      </c>
      <c r="H2773" s="9" t="str">
        <f ca="1">IFERROR(__xludf.DUMMYFUNCTION("""COMPUTED_VALUE"""),"USD PKR rate for 13/06/2016")</f>
        <v>USD PKR rate for 13/06/2016</v>
      </c>
      <c r="I2773" s="9"/>
    </row>
    <row r="2774" spans="1:9" ht="14.25" customHeight="1" x14ac:dyDescent="0.3">
      <c r="A2774" s="6">
        <v>42491</v>
      </c>
      <c r="B2774" s="7">
        <v>104.6901</v>
      </c>
      <c r="C2774" s="8">
        <f t="shared" si="21"/>
        <v>129.68130785203596</v>
      </c>
      <c r="D2774" s="9">
        <f t="shared" si="20"/>
        <v>69.330139925158605</v>
      </c>
      <c r="E2774" s="9"/>
      <c r="F2774" s="9">
        <f ca="1">IFERROR(__xludf.DUMMYFUNCTION("""COMPUTED_VALUE"""),42533)</f>
        <v>42533</v>
      </c>
      <c r="G2774" s="9" t="str">
        <f ca="1">IFERROR(__xludf.DUMMYFUNCTION("""COMPUTED_VALUE"""),"1 USD = 104.1151 PKR")</f>
        <v>1 USD = 104.1151 PKR</v>
      </c>
      <c r="H2774" s="9" t="str">
        <f ca="1">IFERROR(__xludf.DUMMYFUNCTION("""COMPUTED_VALUE"""),"USD PKR rate for 12/06/2016")</f>
        <v>USD PKR rate for 12/06/2016</v>
      </c>
      <c r="I2774" s="9"/>
    </row>
    <row r="2775" spans="1:9" ht="14.25" customHeight="1" x14ac:dyDescent="0.3">
      <c r="A2775" s="6">
        <v>42492</v>
      </c>
      <c r="B2775" s="7">
        <v>104.7901</v>
      </c>
      <c r="C2775" s="8">
        <f t="shared" si="21"/>
        <v>129.70450132390556</v>
      </c>
      <c r="D2775" s="9">
        <f t="shared" si="20"/>
        <v>69.33287775795587</v>
      </c>
      <c r="E2775" s="9"/>
      <c r="F2775" s="9">
        <f ca="1">IFERROR(__xludf.DUMMYFUNCTION("""COMPUTED_VALUE"""),42532)</f>
        <v>42532</v>
      </c>
      <c r="G2775" s="9" t="str">
        <f ca="1">IFERROR(__xludf.DUMMYFUNCTION("""COMPUTED_VALUE"""),"1 USD = 104.2917 PKR")</f>
        <v>1 USD = 104.2917 PKR</v>
      </c>
      <c r="H2775" s="9" t="str">
        <f ca="1">IFERROR(__xludf.DUMMYFUNCTION("""COMPUTED_VALUE"""),"USD PKR rate for 11/06/2016")</f>
        <v>USD PKR rate for 11/06/2016</v>
      </c>
      <c r="I2775" s="9"/>
    </row>
    <row r="2776" spans="1:9" ht="14.25" customHeight="1" x14ac:dyDescent="0.3">
      <c r="A2776" s="6">
        <v>42493</v>
      </c>
      <c r="B2776" s="7">
        <v>104.6922</v>
      </c>
      <c r="C2776" s="8">
        <f t="shared" si="21"/>
        <v>129.72769894392235</v>
      </c>
      <c r="D2776" s="9">
        <f t="shared" si="20"/>
        <v>69.335615590753136</v>
      </c>
      <c r="E2776" s="9"/>
      <c r="F2776" s="9">
        <f ca="1">IFERROR(__xludf.DUMMYFUNCTION("""COMPUTED_VALUE"""),42531)</f>
        <v>42531</v>
      </c>
      <c r="G2776" s="9" t="str">
        <f ca="1">IFERROR(__xludf.DUMMYFUNCTION("""COMPUTED_VALUE"""),"1 USD = 104.2686 PKR")</f>
        <v>1 USD = 104.2686 PKR</v>
      </c>
      <c r="H2776" s="9" t="str">
        <f ca="1">IFERROR(__xludf.DUMMYFUNCTION("""COMPUTED_VALUE"""),"USD PKR rate for 10/06/2016")</f>
        <v>USD PKR rate for 10/06/2016</v>
      </c>
      <c r="I2776" s="9"/>
    </row>
    <row r="2777" spans="1:9" ht="14.25" customHeight="1" x14ac:dyDescent="0.3">
      <c r="A2777" s="6">
        <v>42494</v>
      </c>
      <c r="B2777" s="7">
        <v>104.6819</v>
      </c>
      <c r="C2777" s="8">
        <f t="shared" si="21"/>
        <v>129.7509007128281</v>
      </c>
      <c r="D2777" s="9">
        <f t="shared" si="20"/>
        <v>69.338353423550402</v>
      </c>
      <c r="E2777" s="9"/>
      <c r="F2777" s="9">
        <f ca="1">IFERROR(__xludf.DUMMYFUNCTION("""COMPUTED_VALUE"""),42530)</f>
        <v>42530</v>
      </c>
      <c r="G2777" s="9" t="str">
        <f ca="1">IFERROR(__xludf.DUMMYFUNCTION("""COMPUTED_VALUE"""),"1 USD = 104.3464 PKR")</f>
        <v>1 USD = 104.3464 PKR</v>
      </c>
      <c r="H2777" s="9" t="str">
        <f ca="1">IFERROR(__xludf.DUMMYFUNCTION("""COMPUTED_VALUE"""),"USD PKR rate for 09/06/2016")</f>
        <v>USD PKR rate for 09/06/2016</v>
      </c>
      <c r="I2777" s="9"/>
    </row>
    <row r="2778" spans="1:9" ht="14.25" customHeight="1" x14ac:dyDescent="0.3">
      <c r="A2778" s="6">
        <v>42495</v>
      </c>
      <c r="B2778" s="7">
        <v>104.76179999999999</v>
      </c>
      <c r="C2778" s="8">
        <f t="shared" si="21"/>
        <v>129.77410663136487</v>
      </c>
      <c r="D2778" s="9">
        <f t="shared" si="20"/>
        <v>69.341091256347667</v>
      </c>
      <c r="E2778" s="9"/>
      <c r="F2778" s="9">
        <f ca="1">IFERROR(__xludf.DUMMYFUNCTION("""COMPUTED_VALUE"""),42529)</f>
        <v>42529</v>
      </c>
      <c r="G2778" s="9" t="str">
        <f ca="1">IFERROR(__xludf.DUMMYFUNCTION("""COMPUTED_VALUE"""),"1 USD = 104.5341 PKR")</f>
        <v>1 USD = 104.5341 PKR</v>
      </c>
      <c r="H2778" s="9" t="str">
        <f ca="1">IFERROR(__xludf.DUMMYFUNCTION("""COMPUTED_VALUE"""),"USD PKR rate for 08/06/2016")</f>
        <v>USD PKR rate for 08/06/2016</v>
      </c>
      <c r="I2778" s="9"/>
    </row>
    <row r="2779" spans="1:9" ht="14.25" customHeight="1" x14ac:dyDescent="0.3">
      <c r="A2779" s="6">
        <v>42496</v>
      </c>
      <c r="B2779" s="7">
        <v>104.77119999999999</v>
      </c>
      <c r="C2779" s="8">
        <f t="shared" si="21"/>
        <v>129.79731670027476</v>
      </c>
      <c r="D2779" s="9">
        <f t="shared" si="20"/>
        <v>69.343829089144933</v>
      </c>
      <c r="E2779" s="9"/>
      <c r="F2779" s="9">
        <f ca="1">IFERROR(__xludf.DUMMYFUNCTION("""COMPUTED_VALUE"""),42528)</f>
        <v>42528</v>
      </c>
      <c r="G2779" s="9" t="str">
        <f ca="1">IFERROR(__xludf.DUMMYFUNCTION("""COMPUTED_VALUE"""),"1 USD = 104.4202 PKR")</f>
        <v>1 USD = 104.4202 PKR</v>
      </c>
      <c r="H2779" s="9" t="str">
        <f ca="1">IFERROR(__xludf.DUMMYFUNCTION("""COMPUTED_VALUE"""),"USD PKR rate for 07/06/2016")</f>
        <v>USD PKR rate for 07/06/2016</v>
      </c>
      <c r="I2779" s="9"/>
    </row>
    <row r="2780" spans="1:9" ht="14.25" customHeight="1" x14ac:dyDescent="0.3">
      <c r="A2780" s="6">
        <v>42497</v>
      </c>
      <c r="B2780" s="7">
        <v>104.7855</v>
      </c>
      <c r="C2780" s="8">
        <f t="shared" si="21"/>
        <v>129.82053092030014</v>
      </c>
      <c r="D2780" s="9">
        <f t="shared" si="20"/>
        <v>69.346566921942198</v>
      </c>
      <c r="E2780" s="9"/>
      <c r="F2780" s="9">
        <f ca="1">IFERROR(__xludf.DUMMYFUNCTION("""COMPUTED_VALUE"""),42527)</f>
        <v>42527</v>
      </c>
      <c r="G2780" s="9" t="str">
        <f ca="1">IFERROR(__xludf.DUMMYFUNCTION("""COMPUTED_VALUE"""),"1 USD = 104.6206 PKR")</f>
        <v>1 USD = 104.6206 PKR</v>
      </c>
      <c r="H2780" s="9" t="str">
        <f ca="1">IFERROR(__xludf.DUMMYFUNCTION("""COMPUTED_VALUE"""),"USD PKR rate for 06/06/2016")</f>
        <v>USD PKR rate for 06/06/2016</v>
      </c>
      <c r="I2780" s="9"/>
    </row>
    <row r="2781" spans="1:9" ht="14.25" customHeight="1" x14ac:dyDescent="0.3">
      <c r="A2781" s="6">
        <v>42498</v>
      </c>
      <c r="B2781" s="7">
        <v>104.6665</v>
      </c>
      <c r="C2781" s="8">
        <f t="shared" si="21"/>
        <v>129.84374929218336</v>
      </c>
      <c r="D2781" s="9">
        <f t="shared" si="20"/>
        <v>69.349304754739464</v>
      </c>
      <c r="E2781" s="9"/>
      <c r="F2781" s="9">
        <f ca="1">IFERROR(__xludf.DUMMYFUNCTION("""COMPUTED_VALUE"""),42526)</f>
        <v>42526</v>
      </c>
      <c r="G2781" s="9" t="str">
        <f ca="1">IFERROR(__xludf.DUMMYFUNCTION("""COMPUTED_VALUE"""),"1 USD = 104.7361 PKR")</f>
        <v>1 USD = 104.7361 PKR</v>
      </c>
      <c r="H2781" s="9" t="str">
        <f ca="1">IFERROR(__xludf.DUMMYFUNCTION("""COMPUTED_VALUE"""),"USD PKR rate for 05/06/2016")</f>
        <v>USD PKR rate for 05/06/2016</v>
      </c>
      <c r="I2781" s="9"/>
    </row>
    <row r="2782" spans="1:9" ht="14.25" customHeight="1" x14ac:dyDescent="0.3">
      <c r="A2782" s="6">
        <v>42499</v>
      </c>
      <c r="B2782" s="7">
        <v>104.6985</v>
      </c>
      <c r="C2782" s="8">
        <f t="shared" si="21"/>
        <v>129.86697181666702</v>
      </c>
      <c r="D2782" s="9">
        <f t="shared" si="20"/>
        <v>69.352042587536729</v>
      </c>
      <c r="E2782" s="9"/>
      <c r="F2782" s="9">
        <f ca="1">IFERROR(__xludf.DUMMYFUNCTION("""COMPUTED_VALUE"""),42525)</f>
        <v>42525</v>
      </c>
      <c r="G2782" s="9" t="str">
        <f ca="1">IFERROR(__xludf.DUMMYFUNCTION("""COMPUTED_VALUE"""),"1 USD = 104.7063 PKR")</f>
        <v>1 USD = 104.7063 PKR</v>
      </c>
      <c r="H2782" s="9" t="str">
        <f ca="1">IFERROR(__xludf.DUMMYFUNCTION("""COMPUTED_VALUE"""),"USD PKR rate for 04/06/2016")</f>
        <v>USD PKR rate for 04/06/2016</v>
      </c>
      <c r="I2782" s="9"/>
    </row>
    <row r="2783" spans="1:9" ht="14.25" customHeight="1" x14ac:dyDescent="0.3">
      <c r="A2783" s="6">
        <v>42500</v>
      </c>
      <c r="B2783" s="7">
        <v>104.71339999999999</v>
      </c>
      <c r="C2783" s="8">
        <f t="shared" si="21"/>
        <v>129.89019849449383</v>
      </c>
      <c r="D2783" s="9">
        <f t="shared" si="20"/>
        <v>69.354780420333995</v>
      </c>
      <c r="E2783" s="9"/>
      <c r="F2783" s="9">
        <f ca="1">IFERROR(__xludf.DUMMYFUNCTION("""COMPUTED_VALUE"""),42524)</f>
        <v>42524</v>
      </c>
      <c r="G2783" s="9" t="str">
        <f ca="1">IFERROR(__xludf.DUMMYFUNCTION("""COMPUTED_VALUE"""),"1 USD = 104.6386 PKR")</f>
        <v>1 USD = 104.6386 PKR</v>
      </c>
      <c r="H2783" s="9" t="str">
        <f ca="1">IFERROR(__xludf.DUMMYFUNCTION("""COMPUTED_VALUE"""),"USD PKR rate for 03/06/2016")</f>
        <v>USD PKR rate for 03/06/2016</v>
      </c>
      <c r="I2783" s="9"/>
    </row>
    <row r="2784" spans="1:9" ht="14.25" customHeight="1" x14ac:dyDescent="0.3">
      <c r="A2784" s="6">
        <v>42501</v>
      </c>
      <c r="B2784" s="7">
        <v>104.741</v>
      </c>
      <c r="C2784" s="8">
        <f t="shared" si="21"/>
        <v>129.91342932640654</v>
      </c>
      <c r="D2784" s="9">
        <f t="shared" si="20"/>
        <v>69.357518253131261</v>
      </c>
      <c r="E2784" s="9"/>
      <c r="F2784" s="9">
        <f ca="1">IFERROR(__xludf.DUMMYFUNCTION("""COMPUTED_VALUE"""),42523)</f>
        <v>42523</v>
      </c>
      <c r="G2784" s="9" t="str">
        <f ca="1">IFERROR(__xludf.DUMMYFUNCTION("""COMPUTED_VALUE"""),"1 USD = 104.7397 PKR")</f>
        <v>1 USD = 104.7397 PKR</v>
      </c>
      <c r="H2784" s="9" t="str">
        <f ca="1">IFERROR(__xludf.DUMMYFUNCTION("""COMPUTED_VALUE"""),"USD PKR rate for 02/06/2016")</f>
        <v>USD PKR rate for 02/06/2016</v>
      </c>
      <c r="I2784" s="9"/>
    </row>
    <row r="2785" spans="1:9" ht="14.25" customHeight="1" x14ac:dyDescent="0.3">
      <c r="A2785" s="6">
        <v>42502</v>
      </c>
      <c r="B2785" s="7">
        <v>104.648</v>
      </c>
      <c r="C2785" s="8">
        <f t="shared" si="21"/>
        <v>129.93666431314807</v>
      </c>
      <c r="D2785" s="9">
        <f t="shared" si="20"/>
        <v>69.360256085928526</v>
      </c>
      <c r="E2785" s="9"/>
      <c r="F2785" s="9">
        <f ca="1">IFERROR(__xludf.DUMMYFUNCTION("""COMPUTED_VALUE"""),42522)</f>
        <v>42522</v>
      </c>
      <c r="G2785" s="9" t="str">
        <f ca="1">IFERROR(__xludf.DUMMYFUNCTION("""COMPUTED_VALUE"""),"1 USD = 104.7529 PKR")</f>
        <v>1 USD = 104.7529 PKR</v>
      </c>
      <c r="H2785" s="9" t="str">
        <f ca="1">IFERROR(__xludf.DUMMYFUNCTION("""COMPUTED_VALUE"""),"USD PKR rate for 01/06/2016")</f>
        <v>USD PKR rate for 01/06/2016</v>
      </c>
      <c r="I2785" s="9"/>
    </row>
    <row r="2786" spans="1:9" ht="14.25" customHeight="1" x14ac:dyDescent="0.3">
      <c r="A2786" s="6">
        <v>42503</v>
      </c>
      <c r="B2786" s="7">
        <v>104.6217</v>
      </c>
      <c r="C2786" s="8">
        <f t="shared" si="21"/>
        <v>129.9599034554617</v>
      </c>
      <c r="D2786" s="9">
        <f t="shared" si="20"/>
        <v>69.362993918725792</v>
      </c>
      <c r="E2786" s="9"/>
      <c r="F2786" s="9">
        <f ca="1">IFERROR(__xludf.DUMMYFUNCTION("""COMPUTED_VALUE"""),42521)</f>
        <v>42521</v>
      </c>
      <c r="G2786" s="9" t="str">
        <f ca="1">IFERROR(__xludf.DUMMYFUNCTION("""COMPUTED_VALUE"""),"1 USD = 104.8497 PKR")</f>
        <v>1 USD = 104.8497 PKR</v>
      </c>
      <c r="H2786" s="9" t="str">
        <f ca="1">IFERROR(__xludf.DUMMYFUNCTION("""COMPUTED_VALUE"""),"USD PKR rate for 31/05/2016")</f>
        <v>USD PKR rate for 31/05/2016</v>
      </c>
      <c r="I2786" s="9"/>
    </row>
    <row r="2787" spans="1:9" ht="14.25" customHeight="1" x14ac:dyDescent="0.3">
      <c r="A2787" s="6">
        <v>42504</v>
      </c>
      <c r="B2787" s="7">
        <v>104.6758</v>
      </c>
      <c r="C2787" s="8">
        <f t="shared" si="21"/>
        <v>129.98314675409057</v>
      </c>
      <c r="D2787" s="9">
        <f t="shared" si="20"/>
        <v>69.365731751523057</v>
      </c>
      <c r="E2787" s="9"/>
      <c r="F2787" s="9">
        <f ca="1">IFERROR(__xludf.DUMMYFUNCTION("""COMPUTED_VALUE"""),42520)</f>
        <v>42520</v>
      </c>
      <c r="G2787" s="9" t="str">
        <f ca="1">IFERROR(__xludf.DUMMYFUNCTION("""COMPUTED_VALUE"""),"1 USD = 104.7859 PKR")</f>
        <v>1 USD = 104.7859 PKR</v>
      </c>
      <c r="H2787" s="9" t="str">
        <f ca="1">IFERROR(__xludf.DUMMYFUNCTION("""COMPUTED_VALUE"""),"USD PKR rate for 30/05/2016")</f>
        <v>USD PKR rate for 30/05/2016</v>
      </c>
      <c r="I2787" s="9"/>
    </row>
    <row r="2788" spans="1:9" ht="14.25" customHeight="1" x14ac:dyDescent="0.3">
      <c r="A2788" s="6">
        <v>42505</v>
      </c>
      <c r="B2788" s="7">
        <v>104.70740000000001</v>
      </c>
      <c r="C2788" s="8">
        <f t="shared" si="21"/>
        <v>130.00639420977802</v>
      </c>
      <c r="D2788" s="9">
        <f t="shared" si="20"/>
        <v>69.368469584320323</v>
      </c>
      <c r="E2788" s="9"/>
      <c r="F2788" s="9">
        <f ca="1">IFERROR(__xludf.DUMMYFUNCTION("""COMPUTED_VALUE"""),42519)</f>
        <v>42519</v>
      </c>
      <c r="G2788" s="9" t="str">
        <f ca="1">IFERROR(__xludf.DUMMYFUNCTION("""COMPUTED_VALUE"""),"1 USD = 104.6835 PKR")</f>
        <v>1 USD = 104.6835 PKR</v>
      </c>
      <c r="H2788" s="9" t="str">
        <f ca="1">IFERROR(__xludf.DUMMYFUNCTION("""COMPUTED_VALUE"""),"USD PKR rate for 29/05/2016")</f>
        <v>USD PKR rate for 29/05/2016</v>
      </c>
      <c r="I2788" s="9"/>
    </row>
    <row r="2789" spans="1:9" ht="14.25" customHeight="1" x14ac:dyDescent="0.3">
      <c r="A2789" s="6">
        <v>42506</v>
      </c>
      <c r="B2789" s="7">
        <v>104.5885</v>
      </c>
      <c r="C2789" s="8">
        <f t="shared" si="21"/>
        <v>130.02964582326751</v>
      </c>
      <c r="D2789" s="9">
        <f t="shared" si="20"/>
        <v>69.371207417117589</v>
      </c>
      <c r="E2789" s="9"/>
      <c r="F2789" s="9">
        <f ca="1">IFERROR(__xludf.DUMMYFUNCTION("""COMPUTED_VALUE"""),42518)</f>
        <v>42518</v>
      </c>
      <c r="G2789" s="9" t="str">
        <f ca="1">IFERROR(__xludf.DUMMYFUNCTION("""COMPUTED_VALUE"""),"1 USD = 104.5777 PKR")</f>
        <v>1 USD = 104.5777 PKR</v>
      </c>
      <c r="H2789" s="9" t="str">
        <f ca="1">IFERROR(__xludf.DUMMYFUNCTION("""COMPUTED_VALUE"""),"USD PKR rate for 28/05/2016")</f>
        <v>USD PKR rate for 28/05/2016</v>
      </c>
      <c r="I2789" s="9"/>
    </row>
    <row r="2790" spans="1:9" ht="14.25" customHeight="1" x14ac:dyDescent="0.3">
      <c r="A2790" s="6">
        <v>42507</v>
      </c>
      <c r="B2790" s="7">
        <v>104.53489999999999</v>
      </c>
      <c r="C2790" s="8">
        <f t="shared" si="21"/>
        <v>130.0529015953027</v>
      </c>
      <c r="D2790" s="9">
        <f t="shared" si="20"/>
        <v>69.373945249914854</v>
      </c>
      <c r="E2790" s="9"/>
      <c r="F2790" s="9">
        <f ca="1">IFERROR(__xludf.DUMMYFUNCTION("""COMPUTED_VALUE"""),42517)</f>
        <v>42517</v>
      </c>
      <c r="G2790" s="9" t="str">
        <f ca="1">IFERROR(__xludf.DUMMYFUNCTION("""COMPUTED_VALUE"""),"1 USD = 104.5852 PKR")</f>
        <v>1 USD = 104.5852 PKR</v>
      </c>
      <c r="H2790" s="9" t="str">
        <f ca="1">IFERROR(__xludf.DUMMYFUNCTION("""COMPUTED_VALUE"""),"USD PKR rate for 27/05/2016")</f>
        <v>USD PKR rate for 27/05/2016</v>
      </c>
      <c r="I2790" s="9"/>
    </row>
    <row r="2791" spans="1:9" ht="14.25" customHeight="1" x14ac:dyDescent="0.3">
      <c r="A2791" s="6">
        <v>42508</v>
      </c>
      <c r="B2791" s="7">
        <v>104.2735</v>
      </c>
      <c r="C2791" s="8">
        <f t="shared" si="21"/>
        <v>130.07616152662735</v>
      </c>
      <c r="D2791" s="9">
        <f t="shared" si="20"/>
        <v>69.37668308271212</v>
      </c>
      <c r="E2791" s="9"/>
      <c r="F2791" s="9">
        <f ca="1">IFERROR(__xludf.DUMMYFUNCTION("""COMPUTED_VALUE"""),42516)</f>
        <v>42516</v>
      </c>
      <c r="G2791" s="9" t="str">
        <f ca="1">IFERROR(__xludf.DUMMYFUNCTION("""COMPUTED_VALUE"""),"1 USD = 104.8045 PKR")</f>
        <v>1 USD = 104.8045 PKR</v>
      </c>
      <c r="H2791" s="9" t="str">
        <f ca="1">IFERROR(__xludf.DUMMYFUNCTION("""COMPUTED_VALUE"""),"USD PKR rate for 26/05/2016")</f>
        <v>USD PKR rate for 26/05/2016</v>
      </c>
      <c r="I2791" s="9"/>
    </row>
    <row r="2792" spans="1:9" ht="14.25" customHeight="1" x14ac:dyDescent="0.3">
      <c r="A2792" s="6">
        <v>42509</v>
      </c>
      <c r="B2792" s="7">
        <v>104.2681</v>
      </c>
      <c r="C2792" s="8">
        <f t="shared" si="21"/>
        <v>130.0994256179853</v>
      </c>
      <c r="D2792" s="9">
        <f t="shared" si="20"/>
        <v>69.379420915509385</v>
      </c>
      <c r="E2792" s="9"/>
      <c r="F2792" s="9">
        <f ca="1">IFERROR(__xludf.DUMMYFUNCTION("""COMPUTED_VALUE"""),42515)</f>
        <v>42515</v>
      </c>
      <c r="G2792" s="9" t="str">
        <f ca="1">IFERROR(__xludf.DUMMYFUNCTION("""COMPUTED_VALUE"""),"1 USD = 104.7597 PKR")</f>
        <v>1 USD = 104.7597 PKR</v>
      </c>
      <c r="H2792" s="9" t="str">
        <f ca="1">IFERROR(__xludf.DUMMYFUNCTION("""COMPUTED_VALUE"""),"USD PKR rate for 25/05/2016")</f>
        <v>USD PKR rate for 25/05/2016</v>
      </c>
      <c r="I2792" s="9"/>
    </row>
    <row r="2793" spans="1:9" ht="14.25" customHeight="1" x14ac:dyDescent="0.3">
      <c r="A2793" s="6">
        <v>42510</v>
      </c>
      <c r="B2793" s="7">
        <v>104.82120000000002</v>
      </c>
      <c r="C2793" s="8">
        <f t="shared" si="21"/>
        <v>130.1226938701206</v>
      </c>
      <c r="D2793" s="9">
        <f t="shared" si="20"/>
        <v>69.382158748306651</v>
      </c>
      <c r="E2793" s="9"/>
      <c r="F2793" s="9">
        <f ca="1">IFERROR(__xludf.DUMMYFUNCTION("""COMPUTED_VALUE"""),42514)</f>
        <v>42514</v>
      </c>
      <c r="G2793" s="9" t="str">
        <f ca="1">IFERROR(__xludf.DUMMYFUNCTION("""COMPUTED_VALUE"""),"1 USD = 104.8444 PKR")</f>
        <v>1 USD = 104.8444 PKR</v>
      </c>
      <c r="H2793" s="9" t="str">
        <f ca="1">IFERROR(__xludf.DUMMYFUNCTION("""COMPUTED_VALUE"""),"USD PKR rate for 24/05/2016")</f>
        <v>USD PKR rate for 24/05/2016</v>
      </c>
      <c r="I2793" s="9"/>
    </row>
    <row r="2794" spans="1:9" ht="14.25" customHeight="1" x14ac:dyDescent="0.3">
      <c r="A2794" s="6">
        <v>42511</v>
      </c>
      <c r="B2794" s="7">
        <v>104.7732</v>
      </c>
      <c r="C2794" s="8">
        <f t="shared" si="21"/>
        <v>130.14596628377728</v>
      </c>
      <c r="D2794" s="9">
        <f t="shared" si="20"/>
        <v>69.384896581103916</v>
      </c>
      <c r="E2794" s="9"/>
      <c r="F2794" s="9">
        <f ca="1">IFERROR(__xludf.DUMMYFUNCTION("""COMPUTED_VALUE"""),42513)</f>
        <v>42513</v>
      </c>
      <c r="G2794" s="9" t="str">
        <f ca="1">IFERROR(__xludf.DUMMYFUNCTION("""COMPUTED_VALUE"""),"1 USD = 105.1681 PKR")</f>
        <v>1 USD = 105.1681 PKR</v>
      </c>
      <c r="H2794" s="9" t="str">
        <f ca="1">IFERROR(__xludf.DUMMYFUNCTION("""COMPUTED_VALUE"""),"USD PKR rate for 23/05/2016")</f>
        <v>USD PKR rate for 23/05/2016</v>
      </c>
      <c r="I2794" s="9"/>
    </row>
    <row r="2795" spans="1:9" ht="14.25" customHeight="1" x14ac:dyDescent="0.3">
      <c r="A2795" s="6">
        <v>42512</v>
      </c>
      <c r="B2795" s="7">
        <v>104.75210000000001</v>
      </c>
      <c r="C2795" s="8">
        <f t="shared" si="21"/>
        <v>130.16924285969989</v>
      </c>
      <c r="D2795" s="9">
        <f t="shared" si="20"/>
        <v>69.387634413901182</v>
      </c>
      <c r="E2795" s="9"/>
      <c r="F2795" s="9">
        <f ca="1">IFERROR(__xludf.DUMMYFUNCTION("""COMPUTED_VALUE"""),42512)</f>
        <v>42512</v>
      </c>
      <c r="G2795" s="9" t="str">
        <f ca="1">IFERROR(__xludf.DUMMYFUNCTION("""COMPUTED_VALUE"""),"1 USD = 104.7521 PKR")</f>
        <v>1 USD = 104.7521 PKR</v>
      </c>
      <c r="H2795" s="9" t="str">
        <f ca="1">IFERROR(__xludf.DUMMYFUNCTION("""COMPUTED_VALUE"""),"USD PKR rate for 22/05/2016")</f>
        <v>USD PKR rate for 22/05/2016</v>
      </c>
      <c r="I2795" s="9"/>
    </row>
    <row r="2796" spans="1:9" ht="14.25" customHeight="1" x14ac:dyDescent="0.3">
      <c r="A2796" s="6">
        <v>42513</v>
      </c>
      <c r="B2796" s="7">
        <v>105.1681</v>
      </c>
      <c r="C2796" s="8">
        <f t="shared" si="21"/>
        <v>130.19252359863273</v>
      </c>
      <c r="D2796" s="9">
        <f t="shared" si="20"/>
        <v>69.390372246698448</v>
      </c>
      <c r="E2796" s="9"/>
      <c r="F2796" s="9">
        <f ca="1">IFERROR(__xludf.DUMMYFUNCTION("""COMPUTED_VALUE"""),42511)</f>
        <v>42511</v>
      </c>
      <c r="G2796" s="9" t="str">
        <f ca="1">IFERROR(__xludf.DUMMYFUNCTION("""COMPUTED_VALUE"""),"1 USD = 104.7732 PKR")</f>
        <v>1 USD = 104.7732 PKR</v>
      </c>
      <c r="H2796" s="9" t="str">
        <f ca="1">IFERROR(__xludf.DUMMYFUNCTION("""COMPUTED_VALUE"""),"USD PKR rate for 21/05/2016")</f>
        <v>USD PKR rate for 21/05/2016</v>
      </c>
      <c r="I2796" s="9"/>
    </row>
    <row r="2797" spans="1:9" ht="14.25" customHeight="1" x14ac:dyDescent="0.3">
      <c r="A2797" s="6">
        <v>42514</v>
      </c>
      <c r="B2797" s="7">
        <v>104.84439999999999</v>
      </c>
      <c r="C2797" s="8">
        <f t="shared" si="21"/>
        <v>130.21580850132031</v>
      </c>
      <c r="D2797" s="9">
        <f t="shared" si="20"/>
        <v>69.393110079495713</v>
      </c>
      <c r="E2797" s="9"/>
      <c r="F2797" s="9">
        <f ca="1">IFERROR(__xludf.DUMMYFUNCTION("""COMPUTED_VALUE"""),42510)</f>
        <v>42510</v>
      </c>
      <c r="G2797" s="9" t="str">
        <f ca="1">IFERROR(__xludf.DUMMYFUNCTION("""COMPUTED_VALUE"""),"1 USD = 104.8212 PKR")</f>
        <v>1 USD = 104.8212 PKR</v>
      </c>
      <c r="H2797" s="9" t="str">
        <f ca="1">IFERROR(__xludf.DUMMYFUNCTION("""COMPUTED_VALUE"""),"USD PKR rate for 20/05/2016")</f>
        <v>USD PKR rate for 20/05/2016</v>
      </c>
      <c r="I2797" s="9"/>
    </row>
    <row r="2798" spans="1:9" ht="14.25" customHeight="1" x14ac:dyDescent="0.3">
      <c r="A2798" s="6">
        <v>42515</v>
      </c>
      <c r="B2798" s="7">
        <v>104.7597</v>
      </c>
      <c r="C2798" s="8">
        <f t="shared" si="21"/>
        <v>130.23909756850733</v>
      </c>
      <c r="D2798" s="9">
        <f t="shared" si="20"/>
        <v>69.395847912292979</v>
      </c>
      <c r="E2798" s="9"/>
      <c r="F2798" s="9">
        <f ca="1">IFERROR(__xludf.DUMMYFUNCTION("""COMPUTED_VALUE"""),42509)</f>
        <v>42509</v>
      </c>
      <c r="G2798" s="9" t="str">
        <f ca="1">IFERROR(__xludf.DUMMYFUNCTION("""COMPUTED_VALUE"""),"1 USD = 104.2681 PKR")</f>
        <v>1 USD = 104.2681 PKR</v>
      </c>
      <c r="H2798" s="9" t="str">
        <f ca="1">IFERROR(__xludf.DUMMYFUNCTION("""COMPUTED_VALUE"""),"USD PKR rate for 19/05/2016")</f>
        <v>USD PKR rate for 19/05/2016</v>
      </c>
      <c r="I2798" s="9"/>
    </row>
    <row r="2799" spans="1:9" ht="14.25" customHeight="1" x14ac:dyDescent="0.3">
      <c r="A2799" s="6">
        <v>42516</v>
      </c>
      <c r="B2799" s="7">
        <v>104.8045</v>
      </c>
      <c r="C2799" s="8">
        <f t="shared" si="21"/>
        <v>130.26239080093862</v>
      </c>
      <c r="D2799" s="9">
        <f t="shared" si="20"/>
        <v>69.398585745090244</v>
      </c>
      <c r="E2799" s="9"/>
      <c r="F2799" s="9">
        <f ca="1">IFERROR(__xludf.DUMMYFUNCTION("""COMPUTED_VALUE"""),42508)</f>
        <v>42508</v>
      </c>
      <c r="G2799" s="9" t="str">
        <f ca="1">IFERROR(__xludf.DUMMYFUNCTION("""COMPUTED_VALUE"""),"1 USD = 104.2735 PKR")</f>
        <v>1 USD = 104.2735 PKR</v>
      </c>
      <c r="H2799" s="9" t="str">
        <f ca="1">IFERROR(__xludf.DUMMYFUNCTION("""COMPUTED_VALUE"""),"USD PKR rate for 18/05/2016")</f>
        <v>USD PKR rate for 18/05/2016</v>
      </c>
      <c r="I2799" s="9"/>
    </row>
    <row r="2800" spans="1:9" ht="14.25" customHeight="1" x14ac:dyDescent="0.3">
      <c r="A2800" s="6">
        <v>42517</v>
      </c>
      <c r="B2800" s="7">
        <v>104.5852</v>
      </c>
      <c r="C2800" s="8">
        <f t="shared" si="21"/>
        <v>130.28568819935916</v>
      </c>
      <c r="D2800" s="9">
        <f t="shared" si="20"/>
        <v>69.40132357788751</v>
      </c>
      <c r="E2800" s="9"/>
      <c r="F2800" s="9">
        <f ca="1">IFERROR(__xludf.DUMMYFUNCTION("""COMPUTED_VALUE"""),42507)</f>
        <v>42507</v>
      </c>
      <c r="G2800" s="9" t="str">
        <f ca="1">IFERROR(__xludf.DUMMYFUNCTION("""COMPUTED_VALUE"""),"1 USD = 104.5349 PKR")</f>
        <v>1 USD = 104.5349 PKR</v>
      </c>
      <c r="H2800" s="9" t="str">
        <f ca="1">IFERROR(__xludf.DUMMYFUNCTION("""COMPUTED_VALUE"""),"USD PKR rate for 17/05/2016")</f>
        <v>USD PKR rate for 17/05/2016</v>
      </c>
      <c r="I2800" s="9"/>
    </row>
    <row r="2801" spans="1:9" ht="14.25" customHeight="1" x14ac:dyDescent="0.3">
      <c r="A2801" s="6">
        <v>42518</v>
      </c>
      <c r="B2801" s="7">
        <v>104.57769999999999</v>
      </c>
      <c r="C2801" s="8">
        <f t="shared" si="21"/>
        <v>130.30898976451402</v>
      </c>
      <c r="D2801" s="9">
        <f t="shared" si="20"/>
        <v>69.404061410684776</v>
      </c>
      <c r="E2801" s="9"/>
      <c r="F2801" s="9">
        <f ca="1">IFERROR(__xludf.DUMMYFUNCTION("""COMPUTED_VALUE"""),42506)</f>
        <v>42506</v>
      </c>
      <c r="G2801" s="9" t="str">
        <f ca="1">IFERROR(__xludf.DUMMYFUNCTION("""COMPUTED_VALUE"""),"1 USD = 104.5885 PKR")</f>
        <v>1 USD = 104.5885 PKR</v>
      </c>
      <c r="H2801" s="9" t="str">
        <f ca="1">IFERROR(__xludf.DUMMYFUNCTION("""COMPUTED_VALUE"""),"USD PKR rate for 16/05/2016")</f>
        <v>USD PKR rate for 16/05/2016</v>
      </c>
      <c r="I2801" s="9"/>
    </row>
    <row r="2802" spans="1:9" ht="14.25" customHeight="1" x14ac:dyDescent="0.3">
      <c r="A2802" s="6">
        <v>42519</v>
      </c>
      <c r="B2802" s="7">
        <v>104.6835</v>
      </c>
      <c r="C2802" s="8">
        <f t="shared" si="21"/>
        <v>130.33229549714838</v>
      </c>
      <c r="D2802" s="9">
        <f t="shared" si="20"/>
        <v>69.406799243482041</v>
      </c>
      <c r="E2802" s="9"/>
      <c r="F2802" s="9">
        <f ca="1">IFERROR(__xludf.DUMMYFUNCTION("""COMPUTED_VALUE"""),42505)</f>
        <v>42505</v>
      </c>
      <c r="G2802" s="9" t="str">
        <f ca="1">IFERROR(__xludf.DUMMYFUNCTION("""COMPUTED_VALUE"""),"1 USD = 104.7074 PKR")</f>
        <v>1 USD = 104.7074 PKR</v>
      </c>
      <c r="H2802" s="9" t="str">
        <f ca="1">IFERROR(__xludf.DUMMYFUNCTION("""COMPUTED_VALUE"""),"USD PKR rate for 15/05/2016")</f>
        <v>USD PKR rate for 15/05/2016</v>
      </c>
      <c r="I2802" s="9"/>
    </row>
    <row r="2803" spans="1:9" ht="14.25" customHeight="1" x14ac:dyDescent="0.3">
      <c r="A2803" s="6">
        <v>42520</v>
      </c>
      <c r="B2803" s="7">
        <v>104.7859</v>
      </c>
      <c r="C2803" s="8">
        <f t="shared" si="21"/>
        <v>130.35560539800753</v>
      </c>
      <c r="D2803" s="9">
        <f t="shared" si="20"/>
        <v>69.409537076279307</v>
      </c>
      <c r="E2803" s="9"/>
      <c r="F2803" s="9">
        <f ca="1">IFERROR(__xludf.DUMMYFUNCTION("""COMPUTED_VALUE"""),42504)</f>
        <v>42504</v>
      </c>
      <c r="G2803" s="9" t="str">
        <f ca="1">IFERROR(__xludf.DUMMYFUNCTION("""COMPUTED_VALUE"""),"1 USD = 104.6758 PKR")</f>
        <v>1 USD = 104.6758 PKR</v>
      </c>
      <c r="H2803" s="9" t="str">
        <f ca="1">IFERROR(__xludf.DUMMYFUNCTION("""COMPUTED_VALUE"""),"USD PKR rate for 14/05/2016")</f>
        <v>USD PKR rate for 14/05/2016</v>
      </c>
      <c r="I2803" s="9"/>
    </row>
    <row r="2804" spans="1:9" ht="14.25" customHeight="1" x14ac:dyDescent="0.3">
      <c r="A2804" s="6">
        <v>42521</v>
      </c>
      <c r="B2804" s="7">
        <v>104.8497</v>
      </c>
      <c r="C2804" s="8">
        <f t="shared" si="21"/>
        <v>130.37891946783714</v>
      </c>
      <c r="D2804" s="9">
        <f t="shared" si="20"/>
        <v>69.412274909076572</v>
      </c>
      <c r="E2804" s="9"/>
      <c r="F2804" s="9">
        <f ca="1">IFERROR(__xludf.DUMMYFUNCTION("""COMPUTED_VALUE"""),42503)</f>
        <v>42503</v>
      </c>
      <c r="G2804" s="9" t="str">
        <f ca="1">IFERROR(__xludf.DUMMYFUNCTION("""COMPUTED_VALUE"""),"1 USD = 104.6217 PKR")</f>
        <v>1 USD = 104.6217 PKR</v>
      </c>
      <c r="H2804" s="9" t="str">
        <f ca="1">IFERROR(__xludf.DUMMYFUNCTION("""COMPUTED_VALUE"""),"USD PKR rate for 13/05/2016")</f>
        <v>USD PKR rate for 13/05/2016</v>
      </c>
      <c r="I2804" s="9"/>
    </row>
    <row r="2805" spans="1:9" ht="14.25" customHeight="1" x14ac:dyDescent="0.3">
      <c r="A2805" s="6">
        <v>42522</v>
      </c>
      <c r="B2805" s="7">
        <v>104.7529</v>
      </c>
      <c r="C2805" s="8">
        <f t="shared" si="21"/>
        <v>130.40223770738274</v>
      </c>
      <c r="D2805" s="9">
        <f t="shared" si="20"/>
        <v>69.415012741873838</v>
      </c>
      <c r="E2805" s="9"/>
      <c r="F2805" s="9">
        <f ca="1">IFERROR(__xludf.DUMMYFUNCTION("""COMPUTED_VALUE"""),42502)</f>
        <v>42502</v>
      </c>
      <c r="G2805" s="9" t="str">
        <f ca="1">IFERROR(__xludf.DUMMYFUNCTION("""COMPUTED_VALUE"""),"1 USD = 104.648 PKR")</f>
        <v>1 USD = 104.648 PKR</v>
      </c>
      <c r="H2805" s="9" t="str">
        <f ca="1">IFERROR(__xludf.DUMMYFUNCTION("""COMPUTED_VALUE"""),"USD PKR rate for 12/05/2016")</f>
        <v>USD PKR rate for 12/05/2016</v>
      </c>
      <c r="I2805" s="9"/>
    </row>
    <row r="2806" spans="1:9" ht="14.25" customHeight="1" x14ac:dyDescent="0.3">
      <c r="A2806" s="6">
        <v>42523</v>
      </c>
      <c r="B2806" s="7">
        <v>104.7397</v>
      </c>
      <c r="C2806" s="8">
        <f t="shared" si="21"/>
        <v>130.42556011739012</v>
      </c>
      <c r="D2806" s="9">
        <f t="shared" si="20"/>
        <v>69.417750574671103</v>
      </c>
      <c r="E2806" s="9"/>
      <c r="F2806" s="9">
        <f ca="1">IFERROR(__xludf.DUMMYFUNCTION("""COMPUTED_VALUE"""),42501)</f>
        <v>42501</v>
      </c>
      <c r="G2806" s="9" t="str">
        <f ca="1">IFERROR(__xludf.DUMMYFUNCTION("""COMPUTED_VALUE"""),"1 USD = 104.741 PKR")</f>
        <v>1 USD = 104.741 PKR</v>
      </c>
      <c r="H2806" s="9" t="str">
        <f ca="1">IFERROR(__xludf.DUMMYFUNCTION("""COMPUTED_VALUE"""),"USD PKR rate for 11/05/2016")</f>
        <v>USD PKR rate for 11/05/2016</v>
      </c>
      <c r="I2806" s="9"/>
    </row>
    <row r="2807" spans="1:9" ht="14.25" customHeight="1" x14ac:dyDescent="0.3">
      <c r="A2807" s="6">
        <v>42524</v>
      </c>
      <c r="B2807" s="7">
        <v>104.6386</v>
      </c>
      <c r="C2807" s="8">
        <f t="shared" si="21"/>
        <v>130.44888669860509</v>
      </c>
      <c r="D2807" s="9">
        <f t="shared" si="20"/>
        <v>69.420488407468369</v>
      </c>
      <c r="E2807" s="9"/>
      <c r="F2807" s="9">
        <f ca="1">IFERROR(__xludf.DUMMYFUNCTION("""COMPUTED_VALUE"""),42500)</f>
        <v>42500</v>
      </c>
      <c r="G2807" s="9" t="str">
        <f ca="1">IFERROR(__xludf.DUMMYFUNCTION("""COMPUTED_VALUE"""),"1 USD = 104.7134 PKR")</f>
        <v>1 USD = 104.7134 PKR</v>
      </c>
      <c r="H2807" s="9" t="str">
        <f ca="1">IFERROR(__xludf.DUMMYFUNCTION("""COMPUTED_VALUE"""),"USD PKR rate for 10/05/2016")</f>
        <v>USD PKR rate for 10/05/2016</v>
      </c>
      <c r="I2807" s="9"/>
    </row>
    <row r="2808" spans="1:9" ht="14.25" customHeight="1" x14ac:dyDescent="0.3">
      <c r="A2808" s="6">
        <v>42525</v>
      </c>
      <c r="B2808" s="7">
        <v>104.7063</v>
      </c>
      <c r="C2808" s="8">
        <f t="shared" si="21"/>
        <v>130.47221745177373</v>
      </c>
      <c r="D2808" s="9">
        <f t="shared" ref="D2808:D3062" si="22">(A2808-$A$3)/365.2524</f>
        <v>69.423226240265635</v>
      </c>
      <c r="E2808" s="9"/>
      <c r="F2808" s="9">
        <f ca="1">IFERROR(__xludf.DUMMYFUNCTION("""COMPUTED_VALUE"""),42499)</f>
        <v>42499</v>
      </c>
      <c r="G2808" s="9" t="str">
        <f ca="1">IFERROR(__xludf.DUMMYFUNCTION("""COMPUTED_VALUE"""),"1 USD = 104.6985 PKR")</f>
        <v>1 USD = 104.6985 PKR</v>
      </c>
      <c r="H2808" s="9" t="str">
        <f ca="1">IFERROR(__xludf.DUMMYFUNCTION("""COMPUTED_VALUE"""),"USD PKR rate for 09/05/2016")</f>
        <v>USD PKR rate for 09/05/2016</v>
      </c>
      <c r="I2808" s="9"/>
    </row>
    <row r="2809" spans="1:9" ht="14.25" customHeight="1" x14ac:dyDescent="0.3">
      <c r="A2809" s="6">
        <v>42526</v>
      </c>
      <c r="B2809" s="7">
        <v>104.73609999999999</v>
      </c>
      <c r="C2809" s="8">
        <f t="shared" ref="C2809:C3063" si="23">(1+$C$1)^D2809*$C$3</f>
        <v>130.49555237764216</v>
      </c>
      <c r="D2809" s="9">
        <f t="shared" si="22"/>
        <v>69.4259640730629</v>
      </c>
      <c r="E2809" s="9"/>
      <c r="F2809" s="9">
        <f ca="1">IFERROR(__xludf.DUMMYFUNCTION("""COMPUTED_VALUE"""),42498)</f>
        <v>42498</v>
      </c>
      <c r="G2809" s="9" t="str">
        <f ca="1">IFERROR(__xludf.DUMMYFUNCTION("""COMPUTED_VALUE"""),"1 USD = 104.6665 PKR")</f>
        <v>1 USD = 104.6665 PKR</v>
      </c>
      <c r="H2809" s="9" t="str">
        <f ca="1">IFERROR(__xludf.DUMMYFUNCTION("""COMPUTED_VALUE"""),"USD PKR rate for 08/05/2016")</f>
        <v>USD PKR rate for 08/05/2016</v>
      </c>
      <c r="I2809" s="9"/>
    </row>
    <row r="2810" spans="1:9" ht="14.25" customHeight="1" x14ac:dyDescent="0.3">
      <c r="A2810" s="6">
        <v>42527</v>
      </c>
      <c r="B2810" s="7">
        <v>104.6206</v>
      </c>
      <c r="C2810" s="8">
        <f t="shared" si="23"/>
        <v>130.51889147695667</v>
      </c>
      <c r="D2810" s="9">
        <f t="shared" si="22"/>
        <v>69.428701905860166</v>
      </c>
      <c r="E2810" s="9"/>
      <c r="F2810" s="9">
        <f ca="1">IFERROR(__xludf.DUMMYFUNCTION("""COMPUTED_VALUE"""),42497)</f>
        <v>42497</v>
      </c>
      <c r="G2810" s="9" t="str">
        <f ca="1">IFERROR(__xludf.DUMMYFUNCTION("""COMPUTED_VALUE"""),"1 USD = 104.7855 PKR")</f>
        <v>1 USD = 104.7855 PKR</v>
      </c>
      <c r="H2810" s="9" t="str">
        <f ca="1">IFERROR(__xludf.DUMMYFUNCTION("""COMPUTED_VALUE"""),"USD PKR rate for 07/05/2016")</f>
        <v>USD PKR rate for 07/05/2016</v>
      </c>
      <c r="I2810" s="9"/>
    </row>
    <row r="2811" spans="1:9" ht="14.25" customHeight="1" x14ac:dyDescent="0.3">
      <c r="A2811" s="6">
        <v>42528</v>
      </c>
      <c r="B2811" s="7">
        <v>104.42019999999999</v>
      </c>
      <c r="C2811" s="8">
        <f t="shared" si="23"/>
        <v>130.54223475046368</v>
      </c>
      <c r="D2811" s="9">
        <f t="shared" si="22"/>
        <v>69.431439738657431</v>
      </c>
      <c r="E2811" s="9"/>
      <c r="F2811" s="9">
        <f ca="1">IFERROR(__xludf.DUMMYFUNCTION("""COMPUTED_VALUE"""),42496)</f>
        <v>42496</v>
      </c>
      <c r="G2811" s="9" t="str">
        <f ca="1">IFERROR(__xludf.DUMMYFUNCTION("""COMPUTED_VALUE"""),"1 USD = 104.7712 PKR")</f>
        <v>1 USD = 104.7712 PKR</v>
      </c>
      <c r="H2811" s="9" t="str">
        <f ca="1">IFERROR(__xludf.DUMMYFUNCTION("""COMPUTED_VALUE"""),"USD PKR rate for 06/05/2016")</f>
        <v>USD PKR rate for 06/05/2016</v>
      </c>
      <c r="I2811" s="9"/>
    </row>
    <row r="2812" spans="1:9" ht="14.25" customHeight="1" x14ac:dyDescent="0.3">
      <c r="A2812" s="6">
        <v>42529</v>
      </c>
      <c r="B2812" s="7">
        <v>104.5341</v>
      </c>
      <c r="C2812" s="8">
        <f t="shared" si="23"/>
        <v>130.56558219890962</v>
      </c>
      <c r="D2812" s="9">
        <f t="shared" si="22"/>
        <v>69.434177571454697</v>
      </c>
      <c r="E2812" s="9"/>
      <c r="F2812" s="9">
        <f ca="1">IFERROR(__xludf.DUMMYFUNCTION("""COMPUTED_VALUE"""),42495)</f>
        <v>42495</v>
      </c>
      <c r="G2812" s="9" t="str">
        <f ca="1">IFERROR(__xludf.DUMMYFUNCTION("""COMPUTED_VALUE"""),"1 USD = 104.7618 PKR")</f>
        <v>1 USD = 104.7618 PKR</v>
      </c>
      <c r="H2812" s="9" t="str">
        <f ca="1">IFERROR(__xludf.DUMMYFUNCTION("""COMPUTED_VALUE"""),"USD PKR rate for 05/05/2016")</f>
        <v>USD PKR rate for 05/05/2016</v>
      </c>
      <c r="I2812" s="9"/>
    </row>
    <row r="2813" spans="1:9" ht="14.25" customHeight="1" x14ac:dyDescent="0.3">
      <c r="A2813" s="6">
        <v>42530</v>
      </c>
      <c r="B2813" s="7">
        <v>104.34640000000002</v>
      </c>
      <c r="C2813" s="8">
        <f t="shared" si="23"/>
        <v>130.58893382304149</v>
      </c>
      <c r="D2813" s="9">
        <f t="shared" si="22"/>
        <v>69.436915404251963</v>
      </c>
      <c r="E2813" s="9"/>
      <c r="F2813" s="9">
        <f ca="1">IFERROR(__xludf.DUMMYFUNCTION("""COMPUTED_VALUE"""),42494)</f>
        <v>42494</v>
      </c>
      <c r="G2813" s="9" t="str">
        <f ca="1">IFERROR(__xludf.DUMMYFUNCTION("""COMPUTED_VALUE"""),"1 USD = 104.6819 PKR")</f>
        <v>1 USD = 104.6819 PKR</v>
      </c>
      <c r="H2813" s="9" t="str">
        <f ca="1">IFERROR(__xludf.DUMMYFUNCTION("""COMPUTED_VALUE"""),"USD PKR rate for 04/05/2016")</f>
        <v>USD PKR rate for 04/05/2016</v>
      </c>
      <c r="I2813" s="9"/>
    </row>
    <row r="2814" spans="1:9" ht="14.25" customHeight="1" x14ac:dyDescent="0.3">
      <c r="A2814" s="6">
        <v>42531</v>
      </c>
      <c r="B2814" s="7">
        <v>104.26860000000001</v>
      </c>
      <c r="C2814" s="8">
        <f t="shared" si="23"/>
        <v>130.61228962360585</v>
      </c>
      <c r="D2814" s="9">
        <f t="shared" si="22"/>
        <v>69.439653237049228</v>
      </c>
      <c r="E2814" s="9"/>
      <c r="F2814" s="9">
        <f ca="1">IFERROR(__xludf.DUMMYFUNCTION("""COMPUTED_VALUE"""),42493)</f>
        <v>42493</v>
      </c>
      <c r="G2814" s="9" t="str">
        <f ca="1">IFERROR(__xludf.DUMMYFUNCTION("""COMPUTED_VALUE"""),"1 USD = 104.6922 PKR")</f>
        <v>1 USD = 104.6922 PKR</v>
      </c>
      <c r="H2814" s="9" t="str">
        <f ca="1">IFERROR(__xludf.DUMMYFUNCTION("""COMPUTED_VALUE"""),"USD PKR rate for 03/05/2016")</f>
        <v>USD PKR rate for 03/05/2016</v>
      </c>
      <c r="I2814" s="9"/>
    </row>
    <row r="2815" spans="1:9" ht="14.25" customHeight="1" x14ac:dyDescent="0.3">
      <c r="A2815" s="6">
        <v>42532</v>
      </c>
      <c r="B2815" s="7">
        <v>104.29170000000002</v>
      </c>
      <c r="C2815" s="8">
        <f t="shared" si="23"/>
        <v>130.63564960134977</v>
      </c>
      <c r="D2815" s="9">
        <f t="shared" si="22"/>
        <v>69.442391069846494</v>
      </c>
      <c r="E2815" s="9"/>
      <c r="F2815" s="9">
        <f ca="1">IFERROR(__xludf.DUMMYFUNCTION("""COMPUTED_VALUE"""),42492)</f>
        <v>42492</v>
      </c>
      <c r="G2815" s="9" t="str">
        <f ca="1">IFERROR(__xludf.DUMMYFUNCTION("""COMPUTED_VALUE"""),"1 USD = 104.7901 PKR")</f>
        <v>1 USD = 104.7901 PKR</v>
      </c>
      <c r="H2815" s="9" t="str">
        <f ca="1">IFERROR(__xludf.DUMMYFUNCTION("""COMPUTED_VALUE"""),"USD PKR rate for 02/05/2016")</f>
        <v>USD PKR rate for 02/05/2016</v>
      </c>
      <c r="I2815" s="9"/>
    </row>
    <row r="2816" spans="1:9" ht="14.25" customHeight="1" x14ac:dyDescent="0.3">
      <c r="A2816" s="6">
        <v>42533</v>
      </c>
      <c r="B2816" s="7">
        <v>104.1151</v>
      </c>
      <c r="C2816" s="8">
        <f t="shared" si="23"/>
        <v>130.65901375702029</v>
      </c>
      <c r="D2816" s="9">
        <f t="shared" si="22"/>
        <v>69.445128902643759</v>
      </c>
      <c r="E2816" s="9"/>
      <c r="F2816" s="9">
        <f ca="1">IFERROR(__xludf.DUMMYFUNCTION("""COMPUTED_VALUE"""),42491)</f>
        <v>42491</v>
      </c>
      <c r="G2816" s="9" t="str">
        <f ca="1">IFERROR(__xludf.DUMMYFUNCTION("""COMPUTED_VALUE"""),"1 USD = 104.6901 PKR")</f>
        <v>1 USD = 104.6901 PKR</v>
      </c>
      <c r="H2816" s="9" t="str">
        <f ca="1">IFERROR(__xludf.DUMMYFUNCTION("""COMPUTED_VALUE"""),"USD PKR rate for 01/05/2016")</f>
        <v>USD PKR rate for 01/05/2016</v>
      </c>
      <c r="I2816" s="9"/>
    </row>
    <row r="2817" spans="1:9" ht="14.25" customHeight="1" x14ac:dyDescent="0.3">
      <c r="A2817" s="6">
        <v>42534</v>
      </c>
      <c r="B2817" s="7">
        <v>104.52070000000002</v>
      </c>
      <c r="C2817" s="8">
        <f t="shared" si="23"/>
        <v>130.68238209136464</v>
      </c>
      <c r="D2817" s="9">
        <f t="shared" si="22"/>
        <v>69.447866735441025</v>
      </c>
      <c r="E2817" s="9"/>
      <c r="F2817" s="9">
        <f ca="1">IFERROR(__xludf.DUMMYFUNCTION("""COMPUTED_VALUE"""),42490)</f>
        <v>42490</v>
      </c>
      <c r="G2817" s="9" t="str">
        <f ca="1">IFERROR(__xludf.DUMMYFUNCTION("""COMPUTED_VALUE"""),"1 USD = 104.8339 PKR")</f>
        <v>1 USD = 104.8339 PKR</v>
      </c>
      <c r="H2817" s="9" t="str">
        <f ca="1">IFERROR(__xludf.DUMMYFUNCTION("""COMPUTED_VALUE"""),"USD PKR rate for 30/04/2016")</f>
        <v>USD PKR rate for 30/04/2016</v>
      </c>
      <c r="I2817" s="9"/>
    </row>
    <row r="2818" spans="1:9" ht="14.25" customHeight="1" x14ac:dyDescent="0.3">
      <c r="A2818" s="6">
        <v>42535</v>
      </c>
      <c r="B2818" s="7">
        <v>104.6233</v>
      </c>
      <c r="C2818" s="8">
        <f t="shared" si="23"/>
        <v>130.70575460513018</v>
      </c>
      <c r="D2818" s="9">
        <f t="shared" si="22"/>
        <v>69.45060456823829</v>
      </c>
      <c r="E2818" s="9"/>
      <c r="F2818" s="9">
        <f ca="1">IFERROR(__xludf.DUMMYFUNCTION("""COMPUTED_VALUE"""),42489)</f>
        <v>42489</v>
      </c>
      <c r="G2818" s="9" t="str">
        <f ca="1">IFERROR(__xludf.DUMMYFUNCTION("""COMPUTED_VALUE"""),"1 USD = 104.8248 PKR")</f>
        <v>1 USD = 104.8248 PKR</v>
      </c>
      <c r="H2818" s="9" t="str">
        <f ca="1">IFERROR(__xludf.DUMMYFUNCTION("""COMPUTED_VALUE"""),"USD PKR rate for 29/04/2016")</f>
        <v>USD PKR rate for 29/04/2016</v>
      </c>
      <c r="I2818" s="9"/>
    </row>
    <row r="2819" spans="1:9" ht="14.25" customHeight="1" x14ac:dyDescent="0.3">
      <c r="A2819" s="6">
        <v>42536</v>
      </c>
      <c r="B2819" s="7">
        <v>104.4922</v>
      </c>
      <c r="C2819" s="8">
        <f t="shared" si="23"/>
        <v>130.72913129906439</v>
      </c>
      <c r="D2819" s="9">
        <f t="shared" si="22"/>
        <v>69.453342401035556</v>
      </c>
      <c r="E2819" s="9"/>
      <c r="F2819" s="9">
        <f ca="1">IFERROR(__xludf.DUMMYFUNCTION("""COMPUTED_VALUE"""),42488)</f>
        <v>42488</v>
      </c>
      <c r="G2819" s="9" t="str">
        <f ca="1">IFERROR(__xludf.DUMMYFUNCTION("""COMPUTED_VALUE"""),"1 USD = 104.796 PKR")</f>
        <v>1 USD = 104.796 PKR</v>
      </c>
      <c r="H2819" s="9" t="str">
        <f ca="1">IFERROR(__xludf.DUMMYFUNCTION("""COMPUTED_VALUE"""),"USD PKR rate for 28/04/2016")</f>
        <v>USD PKR rate for 28/04/2016</v>
      </c>
      <c r="I2819" s="9"/>
    </row>
    <row r="2820" spans="1:9" ht="14.25" customHeight="1" x14ac:dyDescent="0.3">
      <c r="A2820" s="6">
        <v>42537</v>
      </c>
      <c r="B2820" s="7">
        <v>104.54640000000001</v>
      </c>
      <c r="C2820" s="8">
        <f t="shared" si="23"/>
        <v>130.75251217391491</v>
      </c>
      <c r="D2820" s="9">
        <f t="shared" si="22"/>
        <v>69.456080233832822</v>
      </c>
      <c r="E2820" s="9"/>
      <c r="F2820" s="9">
        <f ca="1">IFERROR(__xludf.DUMMYFUNCTION("""COMPUTED_VALUE"""),42487)</f>
        <v>42487</v>
      </c>
      <c r="G2820" s="9" t="str">
        <f ca="1">IFERROR(__xludf.DUMMYFUNCTION("""COMPUTED_VALUE"""),"1 USD = 104.7295 PKR")</f>
        <v>1 USD = 104.7295 PKR</v>
      </c>
      <c r="H2820" s="9" t="str">
        <f ca="1">IFERROR(__xludf.DUMMYFUNCTION("""COMPUTED_VALUE"""),"USD PKR rate for 27/04/2016")</f>
        <v>USD PKR rate for 27/04/2016</v>
      </c>
      <c r="I2820" s="9"/>
    </row>
    <row r="2821" spans="1:9" ht="14.25" customHeight="1" x14ac:dyDescent="0.3">
      <c r="A2821" s="6">
        <v>42538</v>
      </c>
      <c r="B2821" s="7">
        <v>104.55240000000001</v>
      </c>
      <c r="C2821" s="8">
        <f t="shared" si="23"/>
        <v>130.77589723042934</v>
      </c>
      <c r="D2821" s="9">
        <f t="shared" si="22"/>
        <v>69.458818066630087</v>
      </c>
      <c r="E2821" s="9"/>
      <c r="F2821" s="9">
        <f ca="1">IFERROR(__xludf.DUMMYFUNCTION("""COMPUTED_VALUE"""),42486)</f>
        <v>42486</v>
      </c>
      <c r="G2821" s="9" t="str">
        <f ca="1">IFERROR(__xludf.DUMMYFUNCTION("""COMPUTED_VALUE"""),"1 USD = 104.7849 PKR")</f>
        <v>1 USD = 104.7849 PKR</v>
      </c>
      <c r="H2821" s="9" t="str">
        <f ca="1">IFERROR(__xludf.DUMMYFUNCTION("""COMPUTED_VALUE"""),"USD PKR rate for 26/04/2016")</f>
        <v>USD PKR rate for 26/04/2016</v>
      </c>
      <c r="I2821" s="9"/>
    </row>
    <row r="2822" spans="1:9" ht="14.25" customHeight="1" x14ac:dyDescent="0.3">
      <c r="A2822" s="6">
        <v>42539</v>
      </c>
      <c r="B2822" s="7">
        <v>104.658</v>
      </c>
      <c r="C2822" s="8">
        <f t="shared" si="23"/>
        <v>130.79928646935582</v>
      </c>
      <c r="D2822" s="9">
        <f t="shared" si="22"/>
        <v>69.461555899427353</v>
      </c>
      <c r="E2822" s="9"/>
      <c r="F2822" s="9">
        <f ca="1">IFERROR(__xludf.DUMMYFUNCTION("""COMPUTED_VALUE"""),42485)</f>
        <v>42485</v>
      </c>
      <c r="G2822" s="9" t="str">
        <f ca="1">IFERROR(__xludf.DUMMYFUNCTION("""COMPUTED_VALUE"""),"1 USD = 104.7559 PKR")</f>
        <v>1 USD = 104.7559 PKR</v>
      </c>
      <c r="H2822" s="9" t="str">
        <f ca="1">IFERROR(__xludf.DUMMYFUNCTION("""COMPUTED_VALUE"""),"USD PKR rate for 25/04/2016")</f>
        <v>USD PKR rate for 25/04/2016</v>
      </c>
      <c r="I2822" s="9"/>
    </row>
    <row r="2823" spans="1:9" ht="14.25" customHeight="1" x14ac:dyDescent="0.3">
      <c r="A2823" s="6">
        <v>42540</v>
      </c>
      <c r="B2823" s="7">
        <v>104.3964</v>
      </c>
      <c r="C2823" s="8">
        <f t="shared" si="23"/>
        <v>130.82267989144228</v>
      </c>
      <c r="D2823" s="9">
        <f t="shared" si="22"/>
        <v>69.464293732224618</v>
      </c>
      <c r="E2823" s="9"/>
      <c r="F2823" s="9">
        <f ca="1">IFERROR(__xludf.DUMMYFUNCTION("""COMPUTED_VALUE"""),42484)</f>
        <v>42484</v>
      </c>
      <c r="G2823" s="9" t="str">
        <f ca="1">IFERROR(__xludf.DUMMYFUNCTION("""COMPUTED_VALUE"""),"1 USD = 104.6901 PKR")</f>
        <v>1 USD = 104.6901 PKR</v>
      </c>
      <c r="H2823" s="9" t="str">
        <f ca="1">IFERROR(__xludf.DUMMYFUNCTION("""COMPUTED_VALUE"""),"USD PKR rate for 24/04/2016")</f>
        <v>USD PKR rate for 24/04/2016</v>
      </c>
      <c r="I2823" s="9"/>
    </row>
    <row r="2824" spans="1:9" ht="14.25" customHeight="1" x14ac:dyDescent="0.3">
      <c r="A2824" s="6">
        <v>42541</v>
      </c>
      <c r="B2824" s="7">
        <v>104.7878</v>
      </c>
      <c r="C2824" s="8">
        <f t="shared" si="23"/>
        <v>130.84607749743688</v>
      </c>
      <c r="D2824" s="9">
        <f t="shared" si="22"/>
        <v>69.467031565021884</v>
      </c>
      <c r="E2824" s="9"/>
      <c r="F2824" s="9">
        <f ca="1">IFERROR(__xludf.DUMMYFUNCTION("""COMPUTED_VALUE"""),42483)</f>
        <v>42483</v>
      </c>
      <c r="G2824" s="9" t="str">
        <f ca="1">IFERROR(__xludf.DUMMYFUNCTION("""COMPUTED_VALUE"""),"1 USD = 104.7747 PKR")</f>
        <v>1 USD = 104.7747 PKR</v>
      </c>
      <c r="H2824" s="9" t="str">
        <f ca="1">IFERROR(__xludf.DUMMYFUNCTION("""COMPUTED_VALUE"""),"USD PKR rate for 23/04/2016")</f>
        <v>USD PKR rate for 23/04/2016</v>
      </c>
      <c r="I2824" s="9"/>
    </row>
    <row r="2825" spans="1:9" ht="14.25" customHeight="1" x14ac:dyDescent="0.3">
      <c r="A2825" s="6">
        <v>42542</v>
      </c>
      <c r="B2825" s="7">
        <v>104.7381</v>
      </c>
      <c r="C2825" s="8">
        <f t="shared" si="23"/>
        <v>130.86947928808786</v>
      </c>
      <c r="D2825" s="9">
        <f t="shared" si="22"/>
        <v>69.46976939781915</v>
      </c>
      <c r="E2825" s="9"/>
      <c r="F2825" s="9">
        <f ca="1">IFERROR(__xludf.DUMMYFUNCTION("""COMPUTED_VALUE"""),42482)</f>
        <v>42482</v>
      </c>
      <c r="G2825" s="9" t="str">
        <f ca="1">IFERROR(__xludf.DUMMYFUNCTION("""COMPUTED_VALUE"""),"1 USD = 104.8176 PKR")</f>
        <v>1 USD = 104.8176 PKR</v>
      </c>
      <c r="H2825" s="9" t="str">
        <f ca="1">IFERROR(__xludf.DUMMYFUNCTION("""COMPUTED_VALUE"""),"USD PKR rate for 22/04/2016")</f>
        <v>USD PKR rate for 22/04/2016</v>
      </c>
      <c r="I2825" s="9"/>
    </row>
    <row r="2826" spans="1:9" ht="14.25" customHeight="1" x14ac:dyDescent="0.3">
      <c r="A2826" s="6">
        <v>42543</v>
      </c>
      <c r="B2826" s="7">
        <v>104.5372</v>
      </c>
      <c r="C2826" s="8">
        <f t="shared" si="23"/>
        <v>130.8928852641437</v>
      </c>
      <c r="D2826" s="9">
        <f t="shared" si="22"/>
        <v>69.472507230616415</v>
      </c>
      <c r="E2826" s="9"/>
      <c r="F2826" s="9">
        <f ca="1">IFERROR(__xludf.DUMMYFUNCTION("""COMPUTED_VALUE"""),42481)</f>
        <v>42481</v>
      </c>
      <c r="G2826" s="9" t="str">
        <f ca="1">IFERROR(__xludf.DUMMYFUNCTION("""COMPUTED_VALUE"""),"1 USD = 104.7136 PKR")</f>
        <v>1 USD = 104.7136 PKR</v>
      </c>
      <c r="H2826" s="9" t="str">
        <f ca="1">IFERROR(__xludf.DUMMYFUNCTION("""COMPUTED_VALUE"""),"USD PKR rate for 21/04/2016")</f>
        <v>USD PKR rate for 21/04/2016</v>
      </c>
      <c r="I2826" s="9"/>
    </row>
    <row r="2827" spans="1:9" ht="14.25" customHeight="1" x14ac:dyDescent="0.3">
      <c r="A2827" s="6">
        <v>42544</v>
      </c>
      <c r="B2827" s="7">
        <v>105.38670000000002</v>
      </c>
      <c r="C2827" s="8">
        <f t="shared" si="23"/>
        <v>130.91629542635292</v>
      </c>
      <c r="D2827" s="9">
        <f t="shared" si="22"/>
        <v>69.475245063413681</v>
      </c>
      <c r="E2827" s="9"/>
      <c r="F2827" s="9">
        <f ca="1">IFERROR(__xludf.DUMMYFUNCTION("""COMPUTED_VALUE"""),42480)</f>
        <v>42480</v>
      </c>
      <c r="G2827" s="9" t="str">
        <f ca="1">IFERROR(__xludf.DUMMYFUNCTION("""COMPUTED_VALUE"""),"1 USD = 104.695 PKR")</f>
        <v>1 USD = 104.695 PKR</v>
      </c>
      <c r="H2827" s="9" t="str">
        <f ca="1">IFERROR(__xludf.DUMMYFUNCTION("""COMPUTED_VALUE"""),"USD PKR rate for 20/04/2016")</f>
        <v>USD PKR rate for 20/04/2016</v>
      </c>
      <c r="I2827" s="9"/>
    </row>
    <row r="2828" spans="1:9" ht="14.25" customHeight="1" x14ac:dyDescent="0.3">
      <c r="A2828" s="6">
        <v>42545</v>
      </c>
      <c r="B2828" s="7">
        <v>104.5419</v>
      </c>
      <c r="C2828" s="8">
        <f t="shared" si="23"/>
        <v>130.93970977546422</v>
      </c>
      <c r="D2828" s="9">
        <f t="shared" si="22"/>
        <v>69.477982896210946</v>
      </c>
      <c r="E2828" s="9"/>
      <c r="F2828" s="9">
        <f ca="1">IFERROR(__xludf.DUMMYFUNCTION("""COMPUTED_VALUE"""),42479)</f>
        <v>42479</v>
      </c>
      <c r="G2828" s="9" t="str">
        <f ca="1">IFERROR(__xludf.DUMMYFUNCTION("""COMPUTED_VALUE"""),"1 USD = 104.7698 PKR")</f>
        <v>1 USD = 104.7698 PKR</v>
      </c>
      <c r="H2828" s="9" t="str">
        <f ca="1">IFERROR(__xludf.DUMMYFUNCTION("""COMPUTED_VALUE"""),"USD PKR rate for 19/04/2016")</f>
        <v>USD PKR rate for 19/04/2016</v>
      </c>
      <c r="I2828" s="9"/>
    </row>
    <row r="2829" spans="1:9" ht="14.25" customHeight="1" x14ac:dyDescent="0.3">
      <c r="A2829" s="6">
        <v>42546</v>
      </c>
      <c r="B2829" s="7">
        <v>104.5882</v>
      </c>
      <c r="C2829" s="8">
        <f t="shared" si="23"/>
        <v>130.96312831222644</v>
      </c>
      <c r="D2829" s="9">
        <f t="shared" si="22"/>
        <v>69.480720729008212</v>
      </c>
      <c r="E2829" s="9"/>
      <c r="F2829" s="9">
        <f ca="1">IFERROR(__xludf.DUMMYFUNCTION("""COMPUTED_VALUE"""),42478)</f>
        <v>42478</v>
      </c>
      <c r="G2829" s="9" t="str">
        <f ca="1">IFERROR(__xludf.DUMMYFUNCTION("""COMPUTED_VALUE"""),"1 USD = 104.7611 PKR")</f>
        <v>1 USD = 104.7611 PKR</v>
      </c>
      <c r="H2829" s="9" t="str">
        <f ca="1">IFERROR(__xludf.DUMMYFUNCTION("""COMPUTED_VALUE"""),"USD PKR rate for 18/04/2016")</f>
        <v>USD PKR rate for 18/04/2016</v>
      </c>
      <c r="I2829" s="9"/>
    </row>
    <row r="2830" spans="1:9" ht="14.25" customHeight="1" x14ac:dyDescent="0.3">
      <c r="A2830" s="6">
        <v>42547</v>
      </c>
      <c r="B2830" s="7">
        <v>104.5134</v>
      </c>
      <c r="C2830" s="8">
        <f t="shared" si="23"/>
        <v>130.98655103738847</v>
      </c>
      <c r="D2830" s="9">
        <f t="shared" si="22"/>
        <v>69.483458561805477</v>
      </c>
      <c r="E2830" s="9"/>
      <c r="F2830" s="9">
        <f ca="1">IFERROR(__xludf.DUMMYFUNCTION("""COMPUTED_VALUE"""),42477)</f>
        <v>42477</v>
      </c>
      <c r="G2830" s="9" t="str">
        <f ca="1">IFERROR(__xludf.DUMMYFUNCTION("""COMPUTED_VALUE"""),"1 USD = 104.7504 PKR")</f>
        <v>1 USD = 104.7504 PKR</v>
      </c>
      <c r="H2830" s="9" t="str">
        <f ca="1">IFERROR(__xludf.DUMMYFUNCTION("""COMPUTED_VALUE"""),"USD PKR rate for 17/04/2016")</f>
        <v>USD PKR rate for 17/04/2016</v>
      </c>
      <c r="I2830" s="9"/>
    </row>
    <row r="2831" spans="1:9" ht="14.25" customHeight="1" x14ac:dyDescent="0.3">
      <c r="A2831" s="6">
        <v>42548</v>
      </c>
      <c r="B2831" s="7">
        <v>104.62909999999999</v>
      </c>
      <c r="C2831" s="8">
        <f t="shared" si="23"/>
        <v>131.00997795169954</v>
      </c>
      <c r="D2831" s="9">
        <f t="shared" si="22"/>
        <v>69.486196394602743</v>
      </c>
      <c r="E2831" s="9"/>
      <c r="F2831" s="9">
        <f ca="1">IFERROR(__xludf.DUMMYFUNCTION("""COMPUTED_VALUE"""),42476)</f>
        <v>42476</v>
      </c>
      <c r="G2831" s="9" t="str">
        <f ca="1">IFERROR(__xludf.DUMMYFUNCTION("""COMPUTED_VALUE"""),"1 USD = 104.7276 PKR")</f>
        <v>1 USD = 104.7276 PKR</v>
      </c>
      <c r="H2831" s="9" t="str">
        <f ca="1">IFERROR(__xludf.DUMMYFUNCTION("""COMPUTED_VALUE"""),"USD PKR rate for 16/04/2016")</f>
        <v>USD PKR rate for 16/04/2016</v>
      </c>
      <c r="I2831" s="9"/>
    </row>
    <row r="2832" spans="1:9" ht="14.25" customHeight="1" x14ac:dyDescent="0.3">
      <c r="A2832" s="6">
        <v>42549</v>
      </c>
      <c r="B2832" s="7">
        <v>104.7285</v>
      </c>
      <c r="C2832" s="8">
        <f t="shared" si="23"/>
        <v>131.03340905590878</v>
      </c>
      <c r="D2832" s="9">
        <f t="shared" si="22"/>
        <v>69.488934227400009</v>
      </c>
      <c r="E2832" s="9"/>
      <c r="F2832" s="9">
        <f ca="1">IFERROR(__xludf.DUMMYFUNCTION("""COMPUTED_VALUE"""),42475)</f>
        <v>42475</v>
      </c>
      <c r="G2832" s="9" t="str">
        <f ca="1">IFERROR(__xludf.DUMMYFUNCTION("""COMPUTED_VALUE"""),"1 USD = 104.7333 PKR")</f>
        <v>1 USD = 104.7333 PKR</v>
      </c>
      <c r="H2832" s="9" t="str">
        <f ca="1">IFERROR(__xludf.DUMMYFUNCTION("""COMPUTED_VALUE"""),"USD PKR rate for 15/04/2016")</f>
        <v>USD PKR rate for 15/04/2016</v>
      </c>
      <c r="I2832" s="9"/>
    </row>
    <row r="2833" spans="1:9" ht="14.25" customHeight="1" x14ac:dyDescent="0.3">
      <c r="A2833" s="6">
        <v>42550</v>
      </c>
      <c r="B2833" s="7">
        <v>104.7295</v>
      </c>
      <c r="C2833" s="8">
        <f t="shared" si="23"/>
        <v>131.05684435076563</v>
      </c>
      <c r="D2833" s="9">
        <f t="shared" si="22"/>
        <v>69.491672060197274</v>
      </c>
      <c r="E2833" s="9"/>
      <c r="F2833" s="9">
        <f ca="1">IFERROR(__xludf.DUMMYFUNCTION("""COMPUTED_VALUE"""),42474)</f>
        <v>42474</v>
      </c>
      <c r="G2833" s="9" t="str">
        <f ca="1">IFERROR(__xludf.DUMMYFUNCTION("""COMPUTED_VALUE"""),"1 USD = 104.7121 PKR")</f>
        <v>1 USD = 104.7121 PKR</v>
      </c>
      <c r="H2833" s="9" t="str">
        <f ca="1">IFERROR(__xludf.DUMMYFUNCTION("""COMPUTED_VALUE"""),"USD PKR rate for 14/04/2016")</f>
        <v>USD PKR rate for 14/04/2016</v>
      </c>
      <c r="I2833" s="9"/>
    </row>
    <row r="2834" spans="1:9" ht="14.25" customHeight="1" x14ac:dyDescent="0.3">
      <c r="A2834" s="6">
        <v>42551</v>
      </c>
      <c r="B2834" s="7">
        <v>104.5445</v>
      </c>
      <c r="C2834" s="8">
        <f t="shared" si="23"/>
        <v>131.08028383701952</v>
      </c>
      <c r="D2834" s="9">
        <f t="shared" si="22"/>
        <v>69.49440989299454</v>
      </c>
      <c r="E2834" s="9"/>
      <c r="F2834" s="9">
        <f ca="1">IFERROR(__xludf.DUMMYFUNCTION("""COMPUTED_VALUE"""),42473)</f>
        <v>42473</v>
      </c>
      <c r="G2834" s="9" t="str">
        <f ca="1">IFERROR(__xludf.DUMMYFUNCTION("""COMPUTED_VALUE"""),"1 USD = 104.732 PKR")</f>
        <v>1 USD = 104.732 PKR</v>
      </c>
      <c r="H2834" s="9" t="str">
        <f ca="1">IFERROR(__xludf.DUMMYFUNCTION("""COMPUTED_VALUE"""),"USD PKR rate for 13/04/2016")</f>
        <v>USD PKR rate for 13/04/2016</v>
      </c>
      <c r="I2834" s="9"/>
    </row>
    <row r="2835" spans="1:9" ht="14.25" customHeight="1" x14ac:dyDescent="0.3">
      <c r="A2835" s="6">
        <v>42552</v>
      </c>
      <c r="B2835" s="7">
        <v>104.67210000000001</v>
      </c>
      <c r="C2835" s="8">
        <f t="shared" si="23"/>
        <v>131.10372751542008</v>
      </c>
      <c r="D2835" s="9">
        <f t="shared" si="22"/>
        <v>69.497147725791805</v>
      </c>
      <c r="E2835" s="9"/>
      <c r="F2835" s="9">
        <f ca="1">IFERROR(__xludf.DUMMYFUNCTION("""COMPUTED_VALUE"""),42472)</f>
        <v>42472</v>
      </c>
      <c r="G2835" s="9" t="str">
        <f ca="1">IFERROR(__xludf.DUMMYFUNCTION("""COMPUTED_VALUE"""),"1 USD = 104.6761 PKR")</f>
        <v>1 USD = 104.6761 PKR</v>
      </c>
      <c r="H2835" s="9" t="str">
        <f ca="1">IFERROR(__xludf.DUMMYFUNCTION("""COMPUTED_VALUE"""),"USD PKR rate for 12/04/2016")</f>
        <v>USD PKR rate for 12/04/2016</v>
      </c>
      <c r="I2835" s="9"/>
    </row>
    <row r="2836" spans="1:9" ht="14.25" customHeight="1" x14ac:dyDescent="0.3">
      <c r="A2836" s="6">
        <v>42553</v>
      </c>
      <c r="B2836" s="7">
        <v>104.76739999999999</v>
      </c>
      <c r="C2836" s="8">
        <f t="shared" si="23"/>
        <v>131.12717538671711</v>
      </c>
      <c r="D2836" s="9">
        <f t="shared" si="22"/>
        <v>69.499885558589071</v>
      </c>
      <c r="E2836" s="9"/>
      <c r="F2836" s="9">
        <f ca="1">IFERROR(__xludf.DUMMYFUNCTION("""COMPUTED_VALUE"""),42471)</f>
        <v>42471</v>
      </c>
      <c r="G2836" s="9" t="str">
        <f ca="1">IFERROR(__xludf.DUMMYFUNCTION("""COMPUTED_VALUE"""),"1 USD = 104.6992 PKR")</f>
        <v>1 USD = 104.6992 PKR</v>
      </c>
      <c r="H2836" s="9" t="str">
        <f ca="1">IFERROR(__xludf.DUMMYFUNCTION("""COMPUTED_VALUE"""),"USD PKR rate for 11/04/2016")</f>
        <v>USD PKR rate for 11/04/2016</v>
      </c>
      <c r="I2836" s="9"/>
    </row>
    <row r="2837" spans="1:9" ht="14.25" customHeight="1" x14ac:dyDescent="0.3">
      <c r="A2837" s="6">
        <v>42554</v>
      </c>
      <c r="B2837" s="7">
        <v>104.667</v>
      </c>
      <c r="C2837" s="8">
        <f t="shared" si="23"/>
        <v>131.15062745166048</v>
      </c>
      <c r="D2837" s="9">
        <f t="shared" si="22"/>
        <v>69.502623391386336</v>
      </c>
      <c r="E2837" s="9"/>
      <c r="F2837" s="9">
        <f ca="1">IFERROR(__xludf.DUMMYFUNCTION("""COMPUTED_VALUE"""),42470)</f>
        <v>42470</v>
      </c>
      <c r="G2837" s="9" t="str">
        <f ca="1">IFERROR(__xludf.DUMMYFUNCTION("""COMPUTED_VALUE"""),"1 USD = 104.7064 PKR")</f>
        <v>1 USD = 104.7064 PKR</v>
      </c>
      <c r="H2837" s="9" t="str">
        <f ca="1">IFERROR(__xludf.DUMMYFUNCTION("""COMPUTED_VALUE"""),"USD PKR rate for 10/04/2016")</f>
        <v>USD PKR rate for 10/04/2016</v>
      </c>
      <c r="I2837" s="9"/>
    </row>
    <row r="2838" spans="1:9" ht="14.25" customHeight="1" x14ac:dyDescent="0.3">
      <c r="A2838" s="6">
        <v>42555</v>
      </c>
      <c r="B2838" s="7">
        <v>104.59400000000001</v>
      </c>
      <c r="C2838" s="8">
        <f t="shared" si="23"/>
        <v>131.17408371100024</v>
      </c>
      <c r="D2838" s="9">
        <f t="shared" si="22"/>
        <v>69.505361224183602</v>
      </c>
      <c r="E2838" s="9"/>
      <c r="F2838" s="9">
        <f ca="1">IFERROR(__xludf.DUMMYFUNCTION("""COMPUTED_VALUE"""),42469)</f>
        <v>42469</v>
      </c>
      <c r="G2838" s="9" t="str">
        <f ca="1">IFERROR(__xludf.DUMMYFUNCTION("""COMPUTED_VALUE"""),"1 USD = 104.7218 PKR")</f>
        <v>1 USD = 104.7218 PKR</v>
      </c>
      <c r="H2838" s="9" t="str">
        <f ca="1">IFERROR(__xludf.DUMMYFUNCTION("""COMPUTED_VALUE"""),"USD PKR rate for 09/04/2016")</f>
        <v>USD PKR rate for 09/04/2016</v>
      </c>
      <c r="I2838" s="9"/>
    </row>
    <row r="2839" spans="1:9" ht="14.25" customHeight="1" x14ac:dyDescent="0.3">
      <c r="A2839" s="6">
        <v>42556</v>
      </c>
      <c r="B2839" s="7">
        <v>105.09690000000001</v>
      </c>
      <c r="C2839" s="8">
        <f t="shared" si="23"/>
        <v>131.19754416548645</v>
      </c>
      <c r="D2839" s="9">
        <f t="shared" si="22"/>
        <v>69.508099056980868</v>
      </c>
      <c r="E2839" s="9"/>
      <c r="F2839" s="9">
        <f ca="1">IFERROR(__xludf.DUMMYFUNCTION("""COMPUTED_VALUE"""),42468)</f>
        <v>42468</v>
      </c>
      <c r="G2839" s="9" t="str">
        <f ca="1">IFERROR(__xludf.DUMMYFUNCTION("""COMPUTED_VALUE"""),"1 USD = 104.67 PKR")</f>
        <v>1 USD = 104.67 PKR</v>
      </c>
      <c r="H2839" s="9" t="str">
        <f ca="1">IFERROR(__xludf.DUMMYFUNCTION("""COMPUTED_VALUE"""),"USD PKR rate for 08/04/2016")</f>
        <v>USD PKR rate for 08/04/2016</v>
      </c>
      <c r="I2839" s="9"/>
    </row>
    <row r="2840" spans="1:9" ht="14.25" customHeight="1" x14ac:dyDescent="0.3">
      <c r="A2840" s="6">
        <v>42557</v>
      </c>
      <c r="B2840" s="7">
        <v>104.85240000000002</v>
      </c>
      <c r="C2840" s="8">
        <f t="shared" si="23"/>
        <v>131.2210088158696</v>
      </c>
      <c r="D2840" s="9">
        <f t="shared" si="22"/>
        <v>69.510836889778133</v>
      </c>
      <c r="E2840" s="9"/>
      <c r="F2840" s="9">
        <f ca="1">IFERROR(__xludf.DUMMYFUNCTION("""COMPUTED_VALUE"""),42467)</f>
        <v>42467</v>
      </c>
      <c r="G2840" s="9" t="str">
        <f ca="1">IFERROR(__xludf.DUMMYFUNCTION("""COMPUTED_VALUE"""),"1 USD = 104.6555 PKR")</f>
        <v>1 USD = 104.6555 PKR</v>
      </c>
      <c r="H2840" s="9" t="str">
        <f ca="1">IFERROR(__xludf.DUMMYFUNCTION("""COMPUTED_VALUE"""),"USD PKR rate for 07/04/2016")</f>
        <v>USD PKR rate for 07/04/2016</v>
      </c>
      <c r="I2840" s="9"/>
    </row>
    <row r="2841" spans="1:9" ht="14.25" customHeight="1" x14ac:dyDescent="0.3">
      <c r="A2841" s="6">
        <v>42558</v>
      </c>
      <c r="B2841" s="7">
        <v>104.98390000000001</v>
      </c>
      <c r="C2841" s="8">
        <f t="shared" si="23"/>
        <v>131.24447766290004</v>
      </c>
      <c r="D2841" s="9">
        <f t="shared" si="22"/>
        <v>69.513574722575399</v>
      </c>
      <c r="E2841" s="9"/>
      <c r="F2841" s="9">
        <f ca="1">IFERROR(__xludf.DUMMYFUNCTION("""COMPUTED_VALUE"""),42466)</f>
        <v>42466</v>
      </c>
      <c r="G2841" s="9" t="str">
        <f ca="1">IFERROR(__xludf.DUMMYFUNCTION("""COMPUTED_VALUE"""),"1 USD = 104.6257 PKR")</f>
        <v>1 USD = 104.6257 PKR</v>
      </c>
      <c r="H2841" s="9" t="str">
        <f ca="1">IFERROR(__xludf.DUMMYFUNCTION("""COMPUTED_VALUE"""),"USD PKR rate for 06/04/2016")</f>
        <v>USD PKR rate for 06/04/2016</v>
      </c>
      <c r="I2841" s="9"/>
    </row>
    <row r="2842" spans="1:9" ht="14.25" customHeight="1" x14ac:dyDescent="0.3">
      <c r="A2842" s="6">
        <v>42559</v>
      </c>
      <c r="B2842" s="7">
        <v>104.669</v>
      </c>
      <c r="C2842" s="8">
        <f t="shared" si="23"/>
        <v>131.26795070732834</v>
      </c>
      <c r="D2842" s="9">
        <f t="shared" si="22"/>
        <v>69.516312555372664</v>
      </c>
      <c r="E2842" s="9"/>
      <c r="F2842" s="9">
        <f ca="1">IFERROR(__xludf.DUMMYFUNCTION("""COMPUTED_VALUE"""),42465)</f>
        <v>42465</v>
      </c>
      <c r="G2842" s="9" t="str">
        <f ca="1">IFERROR(__xludf.DUMMYFUNCTION("""COMPUTED_VALUE"""),"1 USD = 104.7035 PKR")</f>
        <v>1 USD = 104.7035 PKR</v>
      </c>
      <c r="H2842" s="9" t="str">
        <f ca="1">IFERROR(__xludf.DUMMYFUNCTION("""COMPUTED_VALUE"""),"USD PKR rate for 05/04/2016")</f>
        <v>USD PKR rate for 05/04/2016</v>
      </c>
      <c r="I2842" s="9"/>
    </row>
    <row r="2843" spans="1:9" ht="14.25" customHeight="1" x14ac:dyDescent="0.3">
      <c r="A2843" s="6">
        <v>42560</v>
      </c>
      <c r="B2843" s="7">
        <v>104.70580000000001</v>
      </c>
      <c r="C2843" s="8">
        <f t="shared" si="23"/>
        <v>131.2914279499052</v>
      </c>
      <c r="D2843" s="9">
        <f t="shared" si="22"/>
        <v>69.51905038816993</v>
      </c>
      <c r="E2843" s="9"/>
      <c r="F2843" s="9">
        <f ca="1">IFERROR(__xludf.DUMMYFUNCTION("""COMPUTED_VALUE"""),42464)</f>
        <v>42464</v>
      </c>
      <c r="G2843" s="9" t="str">
        <f ca="1">IFERROR(__xludf.DUMMYFUNCTION("""COMPUTED_VALUE"""),"1 USD = 104.1688 PKR")</f>
        <v>1 USD = 104.1688 PKR</v>
      </c>
      <c r="H2843" s="9" t="str">
        <f ca="1">IFERROR(__xludf.DUMMYFUNCTION("""COMPUTED_VALUE"""),"USD PKR rate for 04/04/2016")</f>
        <v>USD PKR rate for 04/04/2016</v>
      </c>
      <c r="I2843" s="9"/>
    </row>
    <row r="2844" spans="1:9" ht="14.25" customHeight="1" x14ac:dyDescent="0.3">
      <c r="A2844" s="6">
        <v>42561</v>
      </c>
      <c r="B2844" s="7">
        <v>104.79130000000001</v>
      </c>
      <c r="C2844" s="8">
        <f t="shared" si="23"/>
        <v>131.31490939138146</v>
      </c>
      <c r="D2844" s="9">
        <f t="shared" si="22"/>
        <v>69.521788220967196</v>
      </c>
      <c r="E2844" s="9"/>
      <c r="F2844" s="9">
        <f ca="1">IFERROR(__xludf.DUMMYFUNCTION("""COMPUTED_VALUE"""),42463)</f>
        <v>42463</v>
      </c>
      <c r="G2844" s="9" t="str">
        <f ca="1">IFERROR(__xludf.DUMMYFUNCTION("""COMPUTED_VALUE"""),"1 USD = 104.7676 PKR")</f>
        <v>1 USD = 104.7676 PKR</v>
      </c>
      <c r="H2844" s="9" t="str">
        <f ca="1">IFERROR(__xludf.DUMMYFUNCTION("""COMPUTED_VALUE"""),"USD PKR rate for 03/04/2016")</f>
        <v>USD PKR rate for 03/04/2016</v>
      </c>
      <c r="I2844" s="9"/>
    </row>
    <row r="2845" spans="1:9" ht="14.25" customHeight="1" x14ac:dyDescent="0.3">
      <c r="A2845" s="6">
        <v>42562</v>
      </c>
      <c r="B2845" s="7">
        <v>104.79290000000002</v>
      </c>
      <c r="C2845" s="8">
        <f t="shared" si="23"/>
        <v>131.33839503250809</v>
      </c>
      <c r="D2845" s="9">
        <f t="shared" si="22"/>
        <v>69.524526053764461</v>
      </c>
      <c r="E2845" s="9"/>
      <c r="F2845" s="9">
        <f ca="1">IFERROR(__xludf.DUMMYFUNCTION("""COMPUTED_VALUE"""),42462)</f>
        <v>42462</v>
      </c>
      <c r="G2845" s="9" t="str">
        <f ca="1">IFERROR(__xludf.DUMMYFUNCTION("""COMPUTED_VALUE"""),"1 USD = 104.7784 PKR")</f>
        <v>1 USD = 104.7784 PKR</v>
      </c>
      <c r="H2845" s="9" t="str">
        <f ca="1">IFERROR(__xludf.DUMMYFUNCTION("""COMPUTED_VALUE"""),"USD PKR rate for 02/04/2016")</f>
        <v>USD PKR rate for 02/04/2016</v>
      </c>
      <c r="I2845" s="9"/>
    </row>
    <row r="2846" spans="1:9" ht="14.25" customHeight="1" x14ac:dyDescent="0.3">
      <c r="A2846" s="6">
        <v>42563</v>
      </c>
      <c r="B2846" s="7">
        <v>104.8336</v>
      </c>
      <c r="C2846" s="8">
        <f t="shared" si="23"/>
        <v>131.36188487403618</v>
      </c>
      <c r="D2846" s="9">
        <f t="shared" si="22"/>
        <v>69.527263886561727</v>
      </c>
      <c r="E2846" s="9"/>
      <c r="F2846" s="9">
        <f ca="1">IFERROR(__xludf.DUMMYFUNCTION("""COMPUTED_VALUE"""),42461)</f>
        <v>42461</v>
      </c>
      <c r="G2846" s="9" t="str">
        <f ca="1">IFERROR(__xludf.DUMMYFUNCTION("""COMPUTED_VALUE"""),"1 USD = 104.7608 PKR")</f>
        <v>1 USD = 104.7608 PKR</v>
      </c>
      <c r="H2846" s="9" t="str">
        <f ca="1">IFERROR(__xludf.DUMMYFUNCTION("""COMPUTED_VALUE"""),"USD PKR rate for 01/04/2016")</f>
        <v>USD PKR rate for 01/04/2016</v>
      </c>
      <c r="I2846" s="9"/>
    </row>
    <row r="2847" spans="1:9" ht="14.25" customHeight="1" x14ac:dyDescent="0.3">
      <c r="A2847" s="6">
        <v>42564</v>
      </c>
      <c r="B2847" s="7">
        <v>104.9802</v>
      </c>
      <c r="C2847" s="8">
        <f t="shared" si="23"/>
        <v>131.385378916717</v>
      </c>
      <c r="D2847" s="9">
        <f t="shared" si="22"/>
        <v>69.530001719358992</v>
      </c>
      <c r="E2847" s="9"/>
      <c r="F2847" s="9">
        <f ca="1">IFERROR(__xludf.DUMMYFUNCTION("""COMPUTED_VALUE"""),42460)</f>
        <v>42460</v>
      </c>
      <c r="G2847" s="9" t="str">
        <f ca="1">IFERROR(__xludf.DUMMYFUNCTION("""COMPUTED_VALUE"""),"1 USD = 104.7602 PKR")</f>
        <v>1 USD = 104.7602 PKR</v>
      </c>
      <c r="H2847" s="9" t="str">
        <f ca="1">IFERROR(__xludf.DUMMYFUNCTION("""COMPUTED_VALUE"""),"USD PKR rate for 31/03/2016")</f>
        <v>USD PKR rate for 31/03/2016</v>
      </c>
      <c r="I2847" s="9"/>
    </row>
    <row r="2848" spans="1:9" ht="14.25" customHeight="1" x14ac:dyDescent="0.3">
      <c r="A2848" s="6">
        <v>42565</v>
      </c>
      <c r="B2848" s="7">
        <v>104.74379999999999</v>
      </c>
      <c r="C2848" s="8">
        <f t="shared" si="23"/>
        <v>131.40887716130177</v>
      </c>
      <c r="D2848" s="9">
        <f t="shared" si="22"/>
        <v>69.532739552156258</v>
      </c>
      <c r="E2848" s="9"/>
      <c r="F2848" s="9">
        <f ca="1">IFERROR(__xludf.DUMMYFUNCTION("""COMPUTED_VALUE"""),42459)</f>
        <v>42459</v>
      </c>
      <c r="G2848" s="9" t="str">
        <f ca="1">IFERROR(__xludf.DUMMYFUNCTION("""COMPUTED_VALUE"""),"1 USD = 104.7038 PKR")</f>
        <v>1 USD = 104.7038 PKR</v>
      </c>
      <c r="H2848" s="9" t="str">
        <f ca="1">IFERROR(__xludf.DUMMYFUNCTION("""COMPUTED_VALUE"""),"USD PKR rate for 30/03/2016")</f>
        <v>USD PKR rate for 30/03/2016</v>
      </c>
      <c r="I2848" s="9"/>
    </row>
    <row r="2849" spans="1:9" ht="14.25" customHeight="1" x14ac:dyDescent="0.3">
      <c r="A2849" s="6">
        <v>42566</v>
      </c>
      <c r="B2849" s="7">
        <v>104.7578</v>
      </c>
      <c r="C2849" s="8">
        <f t="shared" si="23"/>
        <v>131.43237960854228</v>
      </c>
      <c r="D2849" s="9">
        <f t="shared" si="22"/>
        <v>69.535477384953523</v>
      </c>
      <c r="E2849" s="9"/>
      <c r="F2849" s="9">
        <f ca="1">IFERROR(__xludf.DUMMYFUNCTION("""COMPUTED_VALUE"""),42458)</f>
        <v>42458</v>
      </c>
      <c r="G2849" s="9" t="str">
        <f ca="1">IFERROR(__xludf.DUMMYFUNCTION("""COMPUTED_VALUE"""),"1 USD = 104.6954 PKR")</f>
        <v>1 USD = 104.6954 PKR</v>
      </c>
      <c r="H2849" s="9" t="str">
        <f ca="1">IFERROR(__xludf.DUMMYFUNCTION("""COMPUTED_VALUE"""),"USD PKR rate for 29/03/2016")</f>
        <v>USD PKR rate for 29/03/2016</v>
      </c>
      <c r="I2849" s="9"/>
    </row>
    <row r="2850" spans="1:9" ht="14.25" customHeight="1" x14ac:dyDescent="0.3">
      <c r="A2850" s="6">
        <v>42567</v>
      </c>
      <c r="B2850" s="7">
        <v>104.7841</v>
      </c>
      <c r="C2850" s="8">
        <f t="shared" si="23"/>
        <v>131.45588625919004</v>
      </c>
      <c r="D2850" s="9">
        <f t="shared" si="22"/>
        <v>69.538215217750789</v>
      </c>
      <c r="E2850" s="9"/>
      <c r="F2850" s="9">
        <f ca="1">IFERROR(__xludf.DUMMYFUNCTION("""COMPUTED_VALUE"""),42457)</f>
        <v>42457</v>
      </c>
      <c r="G2850" s="9" t="str">
        <f ca="1">IFERROR(__xludf.DUMMYFUNCTION("""COMPUTED_VALUE"""),"1 USD = 104.75 PKR")</f>
        <v>1 USD = 104.75 PKR</v>
      </c>
      <c r="H2850" s="9" t="str">
        <f ca="1">IFERROR(__xludf.DUMMYFUNCTION("""COMPUTED_VALUE"""),"USD PKR rate for 28/03/2016")</f>
        <v>USD PKR rate for 28/03/2016</v>
      </c>
      <c r="I2850" s="9"/>
    </row>
    <row r="2851" spans="1:9" ht="14.25" customHeight="1" x14ac:dyDescent="0.3">
      <c r="A2851" s="6">
        <v>42568</v>
      </c>
      <c r="B2851" s="7">
        <v>105.24760000000001</v>
      </c>
      <c r="C2851" s="8">
        <f t="shared" si="23"/>
        <v>131.47939711399681</v>
      </c>
      <c r="D2851" s="9">
        <f t="shared" si="22"/>
        <v>69.540953050548055</v>
      </c>
      <c r="E2851" s="9"/>
      <c r="F2851" s="9">
        <f ca="1">IFERROR(__xludf.DUMMYFUNCTION("""COMPUTED_VALUE"""),42456)</f>
        <v>42456</v>
      </c>
      <c r="G2851" s="9" t="str">
        <f ca="1">IFERROR(__xludf.DUMMYFUNCTION("""COMPUTED_VALUE"""),"1 USD = 104.7007 PKR")</f>
        <v>1 USD = 104.7007 PKR</v>
      </c>
      <c r="H2851" s="9" t="str">
        <f ca="1">IFERROR(__xludf.DUMMYFUNCTION("""COMPUTED_VALUE"""),"USD PKR rate for 27/03/2016")</f>
        <v>USD PKR rate for 27/03/2016</v>
      </c>
      <c r="I2851" s="9"/>
    </row>
    <row r="2852" spans="1:9" ht="14.25" customHeight="1" x14ac:dyDescent="0.3">
      <c r="A2852" s="6">
        <v>42569</v>
      </c>
      <c r="B2852" s="7">
        <v>104.9794</v>
      </c>
      <c r="C2852" s="8">
        <f t="shared" si="23"/>
        <v>131.50291217371455</v>
      </c>
      <c r="D2852" s="9">
        <f t="shared" si="22"/>
        <v>69.54369088334532</v>
      </c>
      <c r="E2852" s="9"/>
      <c r="F2852" s="9">
        <f ca="1">IFERROR(__xludf.DUMMYFUNCTION("""COMPUTED_VALUE"""),42455)</f>
        <v>42455</v>
      </c>
      <c r="G2852" s="9" t="str">
        <f ca="1">IFERROR(__xludf.DUMMYFUNCTION("""COMPUTED_VALUE"""),"1 USD = 104.7068 PKR")</f>
        <v>1 USD = 104.7068 PKR</v>
      </c>
      <c r="H2852" s="9" t="str">
        <f ca="1">IFERROR(__xludf.DUMMYFUNCTION("""COMPUTED_VALUE"""),"USD PKR rate for 26/03/2016")</f>
        <v>USD PKR rate for 26/03/2016</v>
      </c>
      <c r="I2852" s="9"/>
    </row>
    <row r="2853" spans="1:9" ht="14.25" customHeight="1" x14ac:dyDescent="0.3">
      <c r="A2853" s="6">
        <v>42570</v>
      </c>
      <c r="B2853" s="7">
        <v>104.953</v>
      </c>
      <c r="C2853" s="8">
        <f t="shared" si="23"/>
        <v>131.52643143909523</v>
      </c>
      <c r="D2853" s="9">
        <f t="shared" si="22"/>
        <v>69.546428716142586</v>
      </c>
      <c r="E2853" s="9"/>
      <c r="F2853" s="9">
        <f ca="1">IFERROR(__xludf.DUMMYFUNCTION("""COMPUTED_VALUE"""),42454)</f>
        <v>42454</v>
      </c>
      <c r="G2853" s="9" t="str">
        <f ca="1">IFERROR(__xludf.DUMMYFUNCTION("""COMPUTED_VALUE"""),"1 USD = 104.7481 PKR")</f>
        <v>1 USD = 104.7481 PKR</v>
      </c>
      <c r="H2853" s="9" t="str">
        <f ca="1">IFERROR(__xludf.DUMMYFUNCTION("""COMPUTED_VALUE"""),"USD PKR rate for 25/03/2016")</f>
        <v>USD PKR rate for 25/03/2016</v>
      </c>
      <c r="I2853" s="9"/>
    </row>
    <row r="2854" spans="1:9" ht="14.25" customHeight="1" x14ac:dyDescent="0.3">
      <c r="A2854" s="6">
        <v>42571</v>
      </c>
      <c r="B2854" s="7">
        <v>104.7807</v>
      </c>
      <c r="C2854" s="8">
        <f t="shared" si="23"/>
        <v>131.54995491089107</v>
      </c>
      <c r="D2854" s="9">
        <f t="shared" si="22"/>
        <v>69.549166548939851</v>
      </c>
      <c r="E2854" s="9"/>
      <c r="F2854" s="9">
        <f ca="1">IFERROR(__xludf.DUMMYFUNCTION("""COMPUTED_VALUE"""),42453)</f>
        <v>42453</v>
      </c>
      <c r="G2854" s="9" t="str">
        <f ca="1">IFERROR(__xludf.DUMMYFUNCTION("""COMPUTED_VALUE"""),"1 USD = 104.8483 PKR")</f>
        <v>1 USD = 104.8483 PKR</v>
      </c>
      <c r="H2854" s="9" t="str">
        <f ca="1">IFERROR(__xludf.DUMMYFUNCTION("""COMPUTED_VALUE"""),"USD PKR rate for 24/03/2016")</f>
        <v>USD PKR rate for 24/03/2016</v>
      </c>
      <c r="I2854" s="9"/>
    </row>
    <row r="2855" spans="1:9" ht="14.25" customHeight="1" x14ac:dyDescent="0.3">
      <c r="A2855" s="6">
        <v>42572</v>
      </c>
      <c r="B2855" s="7">
        <v>104.78440000000001</v>
      </c>
      <c r="C2855" s="8">
        <f t="shared" si="23"/>
        <v>131.57348258985442</v>
      </c>
      <c r="D2855" s="9">
        <f t="shared" si="22"/>
        <v>69.551904381737117</v>
      </c>
      <c r="E2855" s="9"/>
      <c r="F2855" s="9">
        <f ca="1">IFERROR(__xludf.DUMMYFUNCTION("""COMPUTED_VALUE"""),42452)</f>
        <v>42452</v>
      </c>
      <c r="G2855" s="9" t="str">
        <f ca="1">IFERROR(__xludf.DUMMYFUNCTION("""COMPUTED_VALUE"""),"1 USD = 104.7577 PKR")</f>
        <v>1 USD = 104.7577 PKR</v>
      </c>
      <c r="H2855" s="9" t="str">
        <f ca="1">IFERROR(__xludf.DUMMYFUNCTION("""COMPUTED_VALUE"""),"USD PKR rate for 23/03/2016")</f>
        <v>USD PKR rate for 23/03/2016</v>
      </c>
      <c r="I2855" s="9"/>
    </row>
    <row r="2856" spans="1:9" ht="14.25" customHeight="1" x14ac:dyDescent="0.3">
      <c r="A2856" s="6">
        <v>42573</v>
      </c>
      <c r="B2856" s="7">
        <v>105.0179</v>
      </c>
      <c r="C2856" s="8">
        <f t="shared" si="23"/>
        <v>131.59701447673768</v>
      </c>
      <c r="D2856" s="9">
        <f t="shared" si="22"/>
        <v>69.554642214534383</v>
      </c>
      <c r="E2856" s="9"/>
      <c r="F2856" s="9">
        <f ca="1">IFERROR(__xludf.DUMMYFUNCTION("""COMPUTED_VALUE"""),42451)</f>
        <v>42451</v>
      </c>
      <c r="G2856" s="9" t="str">
        <f ca="1">IFERROR(__xludf.DUMMYFUNCTION("""COMPUTED_VALUE"""),"1 USD = 104.7008 PKR")</f>
        <v>1 USD = 104.7008 PKR</v>
      </c>
      <c r="H2856" s="9" t="str">
        <f ca="1">IFERROR(__xludf.DUMMYFUNCTION("""COMPUTED_VALUE"""),"USD PKR rate for 22/03/2016")</f>
        <v>USD PKR rate for 22/03/2016</v>
      </c>
      <c r="I2856" s="9"/>
    </row>
    <row r="2857" spans="1:9" ht="14.25" customHeight="1" x14ac:dyDescent="0.3">
      <c r="A2857" s="6">
        <v>42574</v>
      </c>
      <c r="B2857" s="7">
        <v>105.00750000000001</v>
      </c>
      <c r="C2857" s="8">
        <f t="shared" si="23"/>
        <v>131.62055057229335</v>
      </c>
      <c r="D2857" s="9">
        <f t="shared" si="22"/>
        <v>69.557380047331648</v>
      </c>
      <c r="E2857" s="9"/>
      <c r="F2857" s="9">
        <f ca="1">IFERROR(__xludf.DUMMYFUNCTION("""COMPUTED_VALUE"""),42450)</f>
        <v>42450</v>
      </c>
      <c r="G2857" s="9" t="str">
        <f ca="1">IFERROR(__xludf.DUMMYFUNCTION("""COMPUTED_VALUE"""),"1 USD = 104.8144 PKR")</f>
        <v>1 USD = 104.8144 PKR</v>
      </c>
      <c r="H2857" s="9" t="str">
        <f ca="1">IFERROR(__xludf.DUMMYFUNCTION("""COMPUTED_VALUE"""),"USD PKR rate for 21/03/2016")</f>
        <v>USD PKR rate for 21/03/2016</v>
      </c>
      <c r="I2857" s="9"/>
    </row>
    <row r="2858" spans="1:9" ht="14.25" customHeight="1" x14ac:dyDescent="0.3">
      <c r="A2858" s="6">
        <v>42575</v>
      </c>
      <c r="B2858" s="7">
        <v>104.93429999999999</v>
      </c>
      <c r="C2858" s="8">
        <f t="shared" si="23"/>
        <v>131.64409087727441</v>
      </c>
      <c r="D2858" s="9">
        <f t="shared" si="22"/>
        <v>69.560117880128914</v>
      </c>
      <c r="E2858" s="9"/>
      <c r="F2858" s="9">
        <f ca="1">IFERROR(__xludf.DUMMYFUNCTION("""COMPUTED_VALUE"""),42449)</f>
        <v>42449</v>
      </c>
      <c r="G2858" s="9" t="str">
        <f ca="1">IFERROR(__xludf.DUMMYFUNCTION("""COMPUTED_VALUE"""),"1 USD = 104.6942 PKR")</f>
        <v>1 USD = 104.6942 PKR</v>
      </c>
      <c r="H2858" s="9" t="str">
        <f ca="1">IFERROR(__xludf.DUMMYFUNCTION("""COMPUTED_VALUE"""),"USD PKR rate for 20/03/2016")</f>
        <v>USD PKR rate for 20/03/2016</v>
      </c>
      <c r="I2858" s="9"/>
    </row>
    <row r="2859" spans="1:9" ht="14.25" customHeight="1" x14ac:dyDescent="0.3">
      <c r="A2859" s="6">
        <v>42576</v>
      </c>
      <c r="B2859" s="7">
        <v>105.1567</v>
      </c>
      <c r="C2859" s="8">
        <f t="shared" si="23"/>
        <v>131.66763539243354</v>
      </c>
      <c r="D2859" s="9">
        <f t="shared" si="22"/>
        <v>69.562855712926179</v>
      </c>
      <c r="E2859" s="9"/>
      <c r="F2859" s="9">
        <f ca="1">IFERROR(__xludf.DUMMYFUNCTION("""COMPUTED_VALUE"""),42448)</f>
        <v>42448</v>
      </c>
      <c r="G2859" s="9" t="str">
        <f ca="1">IFERROR(__xludf.DUMMYFUNCTION("""COMPUTED_VALUE"""),"1 USD = 104.6399 PKR")</f>
        <v>1 USD = 104.6399 PKR</v>
      </c>
      <c r="H2859" s="9" t="str">
        <f ca="1">IFERROR(__xludf.DUMMYFUNCTION("""COMPUTED_VALUE"""),"USD PKR rate for 19/03/2016")</f>
        <v>USD PKR rate for 19/03/2016</v>
      </c>
      <c r="I2859" s="9"/>
    </row>
    <row r="2860" spans="1:9" ht="14.25" customHeight="1" x14ac:dyDescent="0.3">
      <c r="A2860" s="6">
        <v>42577</v>
      </c>
      <c r="B2860" s="7">
        <v>104.7071</v>
      </c>
      <c r="C2860" s="8">
        <f t="shared" si="23"/>
        <v>131.69118411852372</v>
      </c>
      <c r="D2860" s="9">
        <f t="shared" si="22"/>
        <v>69.565593545723445</v>
      </c>
      <c r="E2860" s="9"/>
      <c r="F2860" s="9">
        <f ca="1">IFERROR(__xludf.DUMMYFUNCTION("""COMPUTED_VALUE"""),42447)</f>
        <v>42447</v>
      </c>
      <c r="G2860" s="9" t="str">
        <f ca="1">IFERROR(__xludf.DUMMYFUNCTION("""COMPUTED_VALUE"""),"1 USD = 104.4546 PKR")</f>
        <v>1 USD = 104.4546 PKR</v>
      </c>
      <c r="H2860" s="9" t="str">
        <f ca="1">IFERROR(__xludf.DUMMYFUNCTION("""COMPUTED_VALUE"""),"USD PKR rate for 18/03/2016")</f>
        <v>USD PKR rate for 18/03/2016</v>
      </c>
      <c r="I2860" s="9"/>
    </row>
    <row r="2861" spans="1:9" ht="14.25" customHeight="1" x14ac:dyDescent="0.3">
      <c r="A2861" s="6">
        <v>42578</v>
      </c>
      <c r="B2861" s="7">
        <v>104.67829999999999</v>
      </c>
      <c r="C2861" s="8">
        <f t="shared" si="23"/>
        <v>131.71473705629813</v>
      </c>
      <c r="D2861" s="9">
        <f t="shared" si="22"/>
        <v>69.56833137852071</v>
      </c>
      <c r="E2861" s="9"/>
      <c r="F2861" s="9">
        <f ca="1">IFERROR(__xludf.DUMMYFUNCTION("""COMPUTED_VALUE"""),42446)</f>
        <v>42446</v>
      </c>
      <c r="G2861" s="9" t="str">
        <f ca="1">IFERROR(__xludf.DUMMYFUNCTION("""COMPUTED_VALUE"""),"1 USD = 104.5812 PKR")</f>
        <v>1 USD = 104.5812 PKR</v>
      </c>
      <c r="H2861" s="9" t="str">
        <f ca="1">IFERROR(__xludf.DUMMYFUNCTION("""COMPUTED_VALUE"""),"USD PKR rate for 17/03/2016")</f>
        <v>USD PKR rate for 17/03/2016</v>
      </c>
      <c r="I2861" s="9"/>
    </row>
    <row r="2862" spans="1:9" ht="14.25" customHeight="1" x14ac:dyDescent="0.3">
      <c r="A2862" s="6">
        <v>42579</v>
      </c>
      <c r="B2862" s="7">
        <v>104.81400000000001</v>
      </c>
      <c r="C2862" s="8">
        <f t="shared" si="23"/>
        <v>131.73829420651003</v>
      </c>
      <c r="D2862" s="9">
        <f t="shared" si="22"/>
        <v>69.571069211317976</v>
      </c>
      <c r="E2862" s="9"/>
      <c r="F2862" s="9">
        <f ca="1">IFERROR(__xludf.DUMMYFUNCTION("""COMPUTED_VALUE"""),42445)</f>
        <v>42445</v>
      </c>
      <c r="G2862" s="9" t="str">
        <f ca="1">IFERROR(__xludf.DUMMYFUNCTION("""COMPUTED_VALUE"""),"1 USD = 104.4389 PKR")</f>
        <v>1 USD = 104.4389 PKR</v>
      </c>
      <c r="H2862" s="9" t="str">
        <f ca="1">IFERROR(__xludf.DUMMYFUNCTION("""COMPUTED_VALUE"""),"USD PKR rate for 16/03/2016")</f>
        <v>USD PKR rate for 16/03/2016</v>
      </c>
      <c r="I2862" s="9"/>
    </row>
    <row r="2863" spans="1:9" ht="14.25" customHeight="1" x14ac:dyDescent="0.3">
      <c r="A2863" s="6">
        <v>42580</v>
      </c>
      <c r="B2863" s="7">
        <v>104.74420000000002</v>
      </c>
      <c r="C2863" s="8">
        <f t="shared" si="23"/>
        <v>131.76185556991274</v>
      </c>
      <c r="D2863" s="9">
        <f t="shared" si="22"/>
        <v>69.573807044115242</v>
      </c>
      <c r="E2863" s="9"/>
      <c r="F2863" s="9">
        <f ca="1">IFERROR(__xludf.DUMMYFUNCTION("""COMPUTED_VALUE"""),42444)</f>
        <v>42444</v>
      </c>
      <c r="G2863" s="9" t="str">
        <f ca="1">IFERROR(__xludf.DUMMYFUNCTION("""COMPUTED_VALUE"""),"1 USD = 104.6002 PKR")</f>
        <v>1 USD = 104.6002 PKR</v>
      </c>
      <c r="H2863" s="9" t="str">
        <f ca="1">IFERROR(__xludf.DUMMYFUNCTION("""COMPUTED_VALUE"""),"USD PKR rate for 15/03/2016")</f>
        <v>USD PKR rate for 15/03/2016</v>
      </c>
      <c r="I2863" s="9"/>
    </row>
    <row r="2864" spans="1:9" ht="14.25" customHeight="1" x14ac:dyDescent="0.3">
      <c r="A2864" s="6">
        <v>42581</v>
      </c>
      <c r="B2864" s="7">
        <v>104.84520000000002</v>
      </c>
      <c r="C2864" s="8">
        <f t="shared" si="23"/>
        <v>131.78542114725988</v>
      </c>
      <c r="D2864" s="9">
        <f t="shared" si="22"/>
        <v>69.576544876912507</v>
      </c>
      <c r="E2864" s="9"/>
      <c r="F2864" s="9">
        <f ca="1">IFERROR(__xludf.DUMMYFUNCTION("""COMPUTED_VALUE"""),42443)</f>
        <v>42443</v>
      </c>
      <c r="G2864" s="9" t="str">
        <f ca="1">IFERROR(__xludf.DUMMYFUNCTION("""COMPUTED_VALUE"""),"1 USD = 104.6625 PKR")</f>
        <v>1 USD = 104.6625 PKR</v>
      </c>
      <c r="H2864" s="9" t="str">
        <f ca="1">IFERROR(__xludf.DUMMYFUNCTION("""COMPUTED_VALUE"""),"USD PKR rate for 14/03/2016")</f>
        <v>USD PKR rate for 14/03/2016</v>
      </c>
      <c r="I2864" s="9"/>
    </row>
    <row r="2865" spans="1:9" ht="14.25" customHeight="1" x14ac:dyDescent="0.3">
      <c r="A2865" s="6">
        <v>42582</v>
      </c>
      <c r="B2865" s="7">
        <v>104.7612</v>
      </c>
      <c r="C2865" s="8">
        <f t="shared" si="23"/>
        <v>131.80899093930506</v>
      </c>
      <c r="D2865" s="9">
        <f t="shared" si="22"/>
        <v>69.579282709709773</v>
      </c>
      <c r="E2865" s="9"/>
      <c r="F2865" s="9">
        <f ca="1">IFERROR(__xludf.DUMMYFUNCTION("""COMPUTED_VALUE"""),42442)</f>
        <v>42442</v>
      </c>
      <c r="G2865" s="9" t="str">
        <f ca="1">IFERROR(__xludf.DUMMYFUNCTION("""COMPUTED_VALUE"""),"1 USD = 104.4723 PKR")</f>
        <v>1 USD = 104.4723 PKR</v>
      </c>
      <c r="H2865" s="9" t="str">
        <f ca="1">IFERROR(__xludf.DUMMYFUNCTION("""COMPUTED_VALUE"""),"USD PKR rate for 13/03/2016")</f>
        <v>USD PKR rate for 13/03/2016</v>
      </c>
      <c r="I2865" s="9"/>
    </row>
    <row r="2866" spans="1:9" ht="14.25" customHeight="1" x14ac:dyDescent="0.3">
      <c r="A2866" s="6">
        <v>42583</v>
      </c>
      <c r="B2866" s="7">
        <v>104.7967</v>
      </c>
      <c r="C2866" s="8">
        <f t="shared" si="23"/>
        <v>131.83256494680197</v>
      </c>
      <c r="D2866" s="9">
        <f t="shared" si="22"/>
        <v>69.582020542507038</v>
      </c>
      <c r="E2866" s="9"/>
      <c r="F2866" s="9">
        <f ca="1">IFERROR(__xludf.DUMMYFUNCTION("""COMPUTED_VALUE"""),42441)</f>
        <v>42441</v>
      </c>
      <c r="G2866" s="9" t="str">
        <f ca="1">IFERROR(__xludf.DUMMYFUNCTION("""COMPUTED_VALUE"""),"1 USD = 103.9572 PKR")</f>
        <v>1 USD = 103.9572 PKR</v>
      </c>
      <c r="H2866" s="9" t="str">
        <f ca="1">IFERROR(__xludf.DUMMYFUNCTION("""COMPUTED_VALUE"""),"USD PKR rate for 12/03/2016")</f>
        <v>USD PKR rate for 12/03/2016</v>
      </c>
      <c r="I2866" s="9"/>
    </row>
    <row r="2867" spans="1:9" ht="14.25" customHeight="1" x14ac:dyDescent="0.3">
      <c r="A2867" s="6">
        <v>42584</v>
      </c>
      <c r="B2867" s="7">
        <v>104.70189999999999</v>
      </c>
      <c r="C2867" s="8">
        <f t="shared" si="23"/>
        <v>131.85614317050477</v>
      </c>
      <c r="D2867" s="9">
        <f t="shared" si="22"/>
        <v>69.584758375304304</v>
      </c>
      <c r="E2867" s="9"/>
      <c r="F2867" s="9">
        <f ca="1">IFERROR(__xludf.DUMMYFUNCTION("""COMPUTED_VALUE"""),42440)</f>
        <v>42440</v>
      </c>
      <c r="G2867" s="9" t="str">
        <f ca="1">IFERROR(__xludf.DUMMYFUNCTION("""COMPUTED_VALUE"""),"1 USD = 104.1689 PKR")</f>
        <v>1 USD = 104.1689 PKR</v>
      </c>
      <c r="H2867" s="9" t="str">
        <f ca="1">IFERROR(__xludf.DUMMYFUNCTION("""COMPUTED_VALUE"""),"USD PKR rate for 11/03/2016")</f>
        <v>USD PKR rate for 11/03/2016</v>
      </c>
      <c r="I2867" s="9"/>
    </row>
    <row r="2868" spans="1:9" ht="14.25" customHeight="1" x14ac:dyDescent="0.3">
      <c r="A2868" s="6">
        <v>42585</v>
      </c>
      <c r="B2868" s="7">
        <v>104.6489</v>
      </c>
      <c r="C2868" s="8">
        <f t="shared" si="23"/>
        <v>131.8797256111674</v>
      </c>
      <c r="D2868" s="9">
        <f t="shared" si="22"/>
        <v>69.58749620810157</v>
      </c>
      <c r="E2868" s="9"/>
      <c r="F2868" s="9">
        <f ca="1">IFERROR(__xludf.DUMMYFUNCTION("""COMPUTED_VALUE"""),42439)</f>
        <v>42439</v>
      </c>
      <c r="G2868" s="9" t="str">
        <f ca="1">IFERROR(__xludf.DUMMYFUNCTION("""COMPUTED_VALUE"""),"1 USD = 104.7063 PKR")</f>
        <v>1 USD = 104.7063 PKR</v>
      </c>
      <c r="H2868" s="9" t="str">
        <f ca="1">IFERROR(__xludf.DUMMYFUNCTION("""COMPUTED_VALUE"""),"USD PKR rate for 10/03/2016")</f>
        <v>USD PKR rate for 10/03/2016</v>
      </c>
      <c r="I2868" s="9"/>
    </row>
    <row r="2869" spans="1:9" ht="14.25" customHeight="1" x14ac:dyDescent="0.3">
      <c r="A2869" s="6">
        <v>42586</v>
      </c>
      <c r="B2869" s="7">
        <v>104.499</v>
      </c>
      <c r="C2869" s="8">
        <f t="shared" si="23"/>
        <v>131.9033122695441</v>
      </c>
      <c r="D2869" s="9">
        <f t="shared" si="22"/>
        <v>69.590234040898835</v>
      </c>
      <c r="E2869" s="9"/>
      <c r="F2869" s="9">
        <f ca="1">IFERROR(__xludf.DUMMYFUNCTION("""COMPUTED_VALUE"""),42438)</f>
        <v>42438</v>
      </c>
      <c r="G2869" s="9" t="str">
        <f ca="1">IFERROR(__xludf.DUMMYFUNCTION("""COMPUTED_VALUE"""),"1 USD = 104.7085 PKR")</f>
        <v>1 USD = 104.7085 PKR</v>
      </c>
      <c r="H2869" s="9" t="str">
        <f ca="1">IFERROR(__xludf.DUMMYFUNCTION("""COMPUTED_VALUE"""),"USD PKR rate for 09/03/2016")</f>
        <v>USD PKR rate for 09/03/2016</v>
      </c>
      <c r="I2869" s="9"/>
    </row>
    <row r="2870" spans="1:9" ht="14.25" customHeight="1" x14ac:dyDescent="0.3">
      <c r="A2870" s="6">
        <v>42587</v>
      </c>
      <c r="B2870" s="7">
        <v>104.59340000000002</v>
      </c>
      <c r="C2870" s="8">
        <f t="shared" si="23"/>
        <v>131.92690314638918</v>
      </c>
      <c r="D2870" s="9">
        <f t="shared" si="22"/>
        <v>69.592971873696101</v>
      </c>
      <c r="E2870" s="9"/>
      <c r="F2870" s="9">
        <f ca="1">IFERROR(__xludf.DUMMYFUNCTION("""COMPUTED_VALUE"""),42437)</f>
        <v>42437</v>
      </c>
      <c r="G2870" s="9" t="str">
        <f ca="1">IFERROR(__xludf.DUMMYFUNCTION("""COMPUTED_VALUE"""),"1 USD = 104.7323 PKR")</f>
        <v>1 USD = 104.7323 PKR</v>
      </c>
      <c r="H2870" s="9" t="str">
        <f ca="1">IFERROR(__xludf.DUMMYFUNCTION("""COMPUTED_VALUE"""),"USD PKR rate for 08/03/2016")</f>
        <v>USD PKR rate for 08/03/2016</v>
      </c>
      <c r="I2870" s="9"/>
    </row>
    <row r="2871" spans="1:9" ht="14.25" customHeight="1" x14ac:dyDescent="0.3">
      <c r="A2871" s="6">
        <v>42588</v>
      </c>
      <c r="B2871" s="7">
        <v>104.5155</v>
      </c>
      <c r="C2871" s="8">
        <f t="shared" si="23"/>
        <v>131.95049824245712</v>
      </c>
      <c r="D2871" s="9">
        <f t="shared" si="22"/>
        <v>69.595709706493366</v>
      </c>
      <c r="E2871" s="9"/>
      <c r="F2871" s="9">
        <f ca="1">IFERROR(__xludf.DUMMYFUNCTION("""COMPUTED_VALUE"""),42436)</f>
        <v>42436</v>
      </c>
      <c r="G2871" s="9" t="str">
        <f ca="1">IFERROR(__xludf.DUMMYFUNCTION("""COMPUTED_VALUE"""),"1 USD = 104.7018 PKR")</f>
        <v>1 USD = 104.7018 PKR</v>
      </c>
      <c r="H2871" s="9" t="str">
        <f ca="1">IFERROR(__xludf.DUMMYFUNCTION("""COMPUTED_VALUE"""),"USD PKR rate for 07/03/2016")</f>
        <v>USD PKR rate for 07/03/2016</v>
      </c>
      <c r="I2871" s="9"/>
    </row>
    <row r="2872" spans="1:9" ht="14.25" customHeight="1" x14ac:dyDescent="0.3">
      <c r="A2872" s="6">
        <v>42589</v>
      </c>
      <c r="B2872" s="7">
        <v>104.54989999999999</v>
      </c>
      <c r="C2872" s="8">
        <f t="shared" si="23"/>
        <v>131.97409755850254</v>
      </c>
      <c r="D2872" s="9">
        <f t="shared" si="22"/>
        <v>69.598447539290632</v>
      </c>
      <c r="E2872" s="9"/>
      <c r="F2872" s="9">
        <f ca="1">IFERROR(__xludf.DUMMYFUNCTION("""COMPUTED_VALUE"""),42435)</f>
        <v>42435</v>
      </c>
      <c r="G2872" s="9" t="str">
        <f ca="1">IFERROR(__xludf.DUMMYFUNCTION("""COMPUTED_VALUE"""),"1 USD = 104.8029 PKR")</f>
        <v>1 USD = 104.8029 PKR</v>
      </c>
      <c r="H2872" s="9" t="str">
        <f ca="1">IFERROR(__xludf.DUMMYFUNCTION("""COMPUTED_VALUE"""),"USD PKR rate for 06/03/2016")</f>
        <v>USD PKR rate for 06/03/2016</v>
      </c>
      <c r="I2872" s="9"/>
    </row>
    <row r="2873" spans="1:9" ht="14.25" customHeight="1" x14ac:dyDescent="0.3">
      <c r="A2873" s="6">
        <v>42590</v>
      </c>
      <c r="B2873" s="7">
        <v>104.56059999999999</v>
      </c>
      <c r="C2873" s="8">
        <f t="shared" si="23"/>
        <v>131.99770109528015</v>
      </c>
      <c r="D2873" s="9">
        <f t="shared" si="22"/>
        <v>69.601185372087897</v>
      </c>
      <c r="E2873" s="9"/>
      <c r="F2873" s="9">
        <f ca="1">IFERROR(__xludf.DUMMYFUNCTION("""COMPUTED_VALUE"""),42434)</f>
        <v>42434</v>
      </c>
      <c r="G2873" s="9" t="str">
        <f ca="1">IFERROR(__xludf.DUMMYFUNCTION("""COMPUTED_VALUE"""),"1 USD = 104.6902 PKR")</f>
        <v>1 USD = 104.6902 PKR</v>
      </c>
      <c r="H2873" s="9" t="str">
        <f ca="1">IFERROR(__xludf.DUMMYFUNCTION("""COMPUTED_VALUE"""),"USD PKR rate for 05/03/2016")</f>
        <v>USD PKR rate for 05/03/2016</v>
      </c>
      <c r="I2873" s="9"/>
    </row>
    <row r="2874" spans="1:9" ht="14.25" customHeight="1" x14ac:dyDescent="0.3">
      <c r="A2874" s="6">
        <v>42591</v>
      </c>
      <c r="B2874" s="7">
        <v>104.65</v>
      </c>
      <c r="C2874" s="8">
        <f t="shared" si="23"/>
        <v>132.02130885354487</v>
      </c>
      <c r="D2874" s="9">
        <f t="shared" si="22"/>
        <v>69.603923204885163</v>
      </c>
      <c r="E2874" s="9"/>
      <c r="F2874" s="9">
        <f ca="1">IFERROR(__xludf.DUMMYFUNCTION("""COMPUTED_VALUE"""),42433)</f>
        <v>42433</v>
      </c>
      <c r="G2874" s="9" t="str">
        <f ca="1">IFERROR(__xludf.DUMMYFUNCTION("""COMPUTED_VALUE"""),"1 USD = 104.7536 PKR")</f>
        <v>1 USD = 104.7536 PKR</v>
      </c>
      <c r="H2874" s="9" t="str">
        <f ca="1">IFERROR(__xludf.DUMMYFUNCTION("""COMPUTED_VALUE"""),"USD PKR rate for 04/03/2016")</f>
        <v>USD PKR rate for 04/03/2016</v>
      </c>
      <c r="I2874" s="9"/>
    </row>
    <row r="2875" spans="1:9" ht="14.25" customHeight="1" x14ac:dyDescent="0.3">
      <c r="A2875" s="6">
        <v>42592</v>
      </c>
      <c r="B2875" s="7">
        <v>104.5607</v>
      </c>
      <c r="C2875" s="8">
        <f t="shared" si="23"/>
        <v>132.04492083405154</v>
      </c>
      <c r="D2875" s="9">
        <f t="shared" si="22"/>
        <v>69.606661037682429</v>
      </c>
      <c r="E2875" s="9"/>
      <c r="F2875" s="9">
        <f ca="1">IFERROR(__xludf.DUMMYFUNCTION("""COMPUTED_VALUE"""),42432)</f>
        <v>42432</v>
      </c>
      <c r="G2875" s="9" t="str">
        <f ca="1">IFERROR(__xludf.DUMMYFUNCTION("""COMPUTED_VALUE"""),"1 USD = 104.4828 PKR")</f>
        <v>1 USD = 104.4828 PKR</v>
      </c>
      <c r="H2875" s="9" t="str">
        <f ca="1">IFERROR(__xludf.DUMMYFUNCTION("""COMPUTED_VALUE"""),"USD PKR rate for 03/03/2016")</f>
        <v>USD PKR rate for 03/03/2016</v>
      </c>
      <c r="I2875" s="9"/>
    </row>
    <row r="2876" spans="1:9" ht="14.25" customHeight="1" x14ac:dyDescent="0.3">
      <c r="A2876" s="6">
        <v>42593</v>
      </c>
      <c r="B2876" s="7">
        <v>104.4687</v>
      </c>
      <c r="C2876" s="8">
        <f t="shared" si="23"/>
        <v>132.06853703755559</v>
      </c>
      <c r="D2876" s="9">
        <f t="shared" si="22"/>
        <v>69.609398870479694</v>
      </c>
      <c r="E2876" s="9"/>
      <c r="F2876" s="9">
        <f ca="1">IFERROR(__xludf.DUMMYFUNCTION("""COMPUTED_VALUE"""),42431)</f>
        <v>42431</v>
      </c>
      <c r="G2876" s="9" t="str">
        <f ca="1">IFERROR(__xludf.DUMMYFUNCTION("""COMPUTED_VALUE"""),"1 USD = 104.7685 PKR")</f>
        <v>1 USD = 104.7685 PKR</v>
      </c>
      <c r="H2876" s="9" t="str">
        <f ca="1">IFERROR(__xludf.DUMMYFUNCTION("""COMPUTED_VALUE"""),"USD PKR rate for 02/03/2016")</f>
        <v>USD PKR rate for 02/03/2016</v>
      </c>
      <c r="I2876" s="9"/>
    </row>
    <row r="2877" spans="1:9" ht="14.25" customHeight="1" x14ac:dyDescent="0.3">
      <c r="A2877" s="6">
        <v>42594</v>
      </c>
      <c r="B2877" s="7">
        <v>104.6088</v>
      </c>
      <c r="C2877" s="8">
        <f t="shared" si="23"/>
        <v>132.09215746481215</v>
      </c>
      <c r="D2877" s="9">
        <f t="shared" si="22"/>
        <v>69.61213670327696</v>
      </c>
      <c r="E2877" s="9"/>
      <c r="F2877" s="9">
        <f ca="1">IFERROR(__xludf.DUMMYFUNCTION("""COMPUTED_VALUE"""),42430)</f>
        <v>42430</v>
      </c>
      <c r="G2877" s="9" t="str">
        <f ca="1">IFERROR(__xludf.DUMMYFUNCTION("""COMPUTED_VALUE"""),"1 USD = 104.7985 PKR")</f>
        <v>1 USD = 104.7985 PKR</v>
      </c>
      <c r="H2877" s="9" t="str">
        <f ca="1">IFERROR(__xludf.DUMMYFUNCTION("""COMPUTED_VALUE"""),"USD PKR rate for 01/03/2016")</f>
        <v>USD PKR rate for 01/03/2016</v>
      </c>
      <c r="I2877" s="9"/>
    </row>
    <row r="2878" spans="1:9" ht="14.25" customHeight="1" x14ac:dyDescent="0.3">
      <c r="A2878" s="6">
        <v>42595</v>
      </c>
      <c r="B2878" s="7">
        <v>104.6347</v>
      </c>
      <c r="C2878" s="8">
        <f t="shared" si="23"/>
        <v>132.11578211657667</v>
      </c>
      <c r="D2878" s="9">
        <f t="shared" si="22"/>
        <v>69.614874536074225</v>
      </c>
      <c r="E2878" s="9"/>
      <c r="F2878" s="9">
        <f ca="1">IFERROR(__xludf.DUMMYFUNCTION("""COMPUTED_VALUE"""),42429)</f>
        <v>42429</v>
      </c>
      <c r="G2878" s="9" t="str">
        <f ca="1">IFERROR(__xludf.DUMMYFUNCTION("""COMPUTED_VALUE"""),"1 USD = 104.7136 PKR")</f>
        <v>1 USD = 104.7136 PKR</v>
      </c>
      <c r="H2878" s="9" t="str">
        <f ca="1">IFERROR(__xludf.DUMMYFUNCTION("""COMPUTED_VALUE"""),"USD PKR rate for 29/02/2016")</f>
        <v>USD PKR rate for 29/02/2016</v>
      </c>
      <c r="I2878" s="9"/>
    </row>
    <row r="2879" spans="1:9" ht="14.25" customHeight="1" x14ac:dyDescent="0.3">
      <c r="A2879" s="6">
        <v>42596</v>
      </c>
      <c r="B2879" s="7">
        <v>104.6199</v>
      </c>
      <c r="C2879" s="8">
        <f t="shared" si="23"/>
        <v>132.13941099360466</v>
      </c>
      <c r="D2879" s="9">
        <f t="shared" si="22"/>
        <v>69.617612368871491</v>
      </c>
      <c r="E2879" s="9"/>
      <c r="F2879" s="9">
        <f ca="1">IFERROR(__xludf.DUMMYFUNCTION("""COMPUTED_VALUE"""),42428)</f>
        <v>42428</v>
      </c>
      <c r="G2879" s="9" t="str">
        <f ca="1">IFERROR(__xludf.DUMMYFUNCTION("""COMPUTED_VALUE"""),"1 USD = 104.9645 PKR")</f>
        <v>1 USD = 104.9645 PKR</v>
      </c>
      <c r="H2879" s="9" t="str">
        <f ca="1">IFERROR(__xludf.DUMMYFUNCTION("""COMPUTED_VALUE"""),"USD PKR rate for 28/02/2016")</f>
        <v>USD PKR rate for 28/02/2016</v>
      </c>
      <c r="I2879" s="9"/>
    </row>
    <row r="2880" spans="1:9" ht="14.25" customHeight="1" x14ac:dyDescent="0.3">
      <c r="A2880" s="6">
        <v>42597</v>
      </c>
      <c r="B2880" s="7">
        <v>104.61790000000001</v>
      </c>
      <c r="C2880" s="8">
        <f t="shared" si="23"/>
        <v>132.16304409665187</v>
      </c>
      <c r="D2880" s="9">
        <f t="shared" si="22"/>
        <v>69.620350201668757</v>
      </c>
      <c r="E2880" s="9"/>
      <c r="F2880" s="9">
        <f ca="1">IFERROR(__xludf.DUMMYFUNCTION("""COMPUTED_VALUE"""),42427)</f>
        <v>42427</v>
      </c>
      <c r="G2880" s="9" t="str">
        <f ca="1">IFERROR(__xludf.DUMMYFUNCTION("""COMPUTED_VALUE"""),"1 USD = 105.2731 PKR")</f>
        <v>1 USD = 105.2731 PKR</v>
      </c>
      <c r="H2880" s="9" t="str">
        <f ca="1">IFERROR(__xludf.DUMMYFUNCTION("""COMPUTED_VALUE"""),"USD PKR rate for 27/02/2016")</f>
        <v>USD PKR rate for 27/02/2016</v>
      </c>
      <c r="I2880" s="9"/>
    </row>
    <row r="2881" spans="1:9" ht="14.25" customHeight="1" x14ac:dyDescent="0.3">
      <c r="A2881" s="6">
        <v>42598</v>
      </c>
      <c r="B2881" s="7">
        <v>104.6375</v>
      </c>
      <c r="C2881" s="8">
        <f t="shared" si="23"/>
        <v>132.18668142647408</v>
      </c>
      <c r="D2881" s="9">
        <f t="shared" si="22"/>
        <v>69.623088034466022</v>
      </c>
      <c r="E2881" s="9"/>
      <c r="F2881" s="9">
        <f ca="1">IFERROR(__xludf.DUMMYFUNCTION("""COMPUTED_VALUE"""),42426)</f>
        <v>42426</v>
      </c>
      <c r="G2881" s="9" t="str">
        <f ca="1">IFERROR(__xludf.DUMMYFUNCTION("""COMPUTED_VALUE"""),"1 USD = 104.686 PKR")</f>
        <v>1 USD = 104.686 PKR</v>
      </c>
      <c r="H2881" s="9" t="str">
        <f ca="1">IFERROR(__xludf.DUMMYFUNCTION("""COMPUTED_VALUE"""),"USD PKR rate for 26/02/2016")</f>
        <v>USD PKR rate for 26/02/2016</v>
      </c>
      <c r="I2881" s="9"/>
    </row>
    <row r="2882" spans="1:9" ht="14.25" customHeight="1" x14ac:dyDescent="0.3">
      <c r="A2882" s="6">
        <v>42599</v>
      </c>
      <c r="B2882" s="7">
        <v>104.63190000000002</v>
      </c>
      <c r="C2882" s="8">
        <f t="shared" si="23"/>
        <v>132.21032298382724</v>
      </c>
      <c r="D2882" s="9">
        <f t="shared" si="22"/>
        <v>69.625825867263288</v>
      </c>
      <c r="E2882" s="9"/>
      <c r="F2882" s="9">
        <f ca="1">IFERROR(__xludf.DUMMYFUNCTION("""COMPUTED_VALUE"""),42425)</f>
        <v>42425</v>
      </c>
      <c r="G2882" s="9" t="str">
        <f ca="1">IFERROR(__xludf.DUMMYFUNCTION("""COMPUTED_VALUE"""),"1 USD = 104.567 PKR")</f>
        <v>1 USD = 104.567 PKR</v>
      </c>
      <c r="H2882" s="9" t="str">
        <f ca="1">IFERROR(__xludf.DUMMYFUNCTION("""COMPUTED_VALUE"""),"USD PKR rate for 25/02/2016")</f>
        <v>USD PKR rate for 25/02/2016</v>
      </c>
      <c r="I2882" s="9"/>
    </row>
    <row r="2883" spans="1:9" ht="14.25" customHeight="1" x14ac:dyDescent="0.3">
      <c r="A2883" s="6">
        <v>42600</v>
      </c>
      <c r="B2883" s="7">
        <v>104.72029999999999</v>
      </c>
      <c r="C2883" s="8">
        <f t="shared" si="23"/>
        <v>132.23396876946742</v>
      </c>
      <c r="D2883" s="9">
        <f t="shared" si="22"/>
        <v>69.628563700060553</v>
      </c>
      <c r="E2883" s="9"/>
      <c r="F2883" s="9">
        <f ca="1">IFERROR(__xludf.DUMMYFUNCTION("""COMPUTED_VALUE"""),42424)</f>
        <v>42424</v>
      </c>
      <c r="G2883" s="9" t="str">
        <f ca="1">IFERROR(__xludf.DUMMYFUNCTION("""COMPUTED_VALUE"""),"1 USD = 104.4463 PKR")</f>
        <v>1 USD = 104.4463 PKR</v>
      </c>
      <c r="H2883" s="9" t="str">
        <f ca="1">IFERROR(__xludf.DUMMYFUNCTION("""COMPUTED_VALUE"""),"USD PKR rate for 24/02/2016")</f>
        <v>USD PKR rate for 24/02/2016</v>
      </c>
      <c r="I2883" s="9"/>
    </row>
    <row r="2884" spans="1:9" ht="14.25" customHeight="1" x14ac:dyDescent="0.3">
      <c r="A2884" s="6">
        <v>42601</v>
      </c>
      <c r="B2884" s="7">
        <v>104.66850000000001</v>
      </c>
      <c r="C2884" s="8">
        <f t="shared" si="23"/>
        <v>132.25761878415085</v>
      </c>
      <c r="D2884" s="9">
        <f t="shared" si="22"/>
        <v>69.631301532857819</v>
      </c>
      <c r="E2884" s="9"/>
      <c r="F2884" s="9">
        <f ca="1">IFERROR(__xludf.DUMMYFUNCTION("""COMPUTED_VALUE"""),42423)</f>
        <v>42423</v>
      </c>
      <c r="G2884" s="9" t="str">
        <f ca="1">IFERROR(__xludf.DUMMYFUNCTION("""COMPUTED_VALUE"""),"1 USD = 104.8894 PKR")</f>
        <v>1 USD = 104.8894 PKR</v>
      </c>
      <c r="H2884" s="9" t="str">
        <f ca="1">IFERROR(__xludf.DUMMYFUNCTION("""COMPUTED_VALUE"""),"USD PKR rate for 23/02/2016")</f>
        <v>USD PKR rate for 23/02/2016</v>
      </c>
      <c r="I2884" s="9"/>
    </row>
    <row r="2885" spans="1:9" ht="14.25" customHeight="1" x14ac:dyDescent="0.3">
      <c r="A2885" s="6">
        <v>42602</v>
      </c>
      <c r="B2885" s="7">
        <v>104.6454</v>
      </c>
      <c r="C2885" s="8">
        <f t="shared" si="23"/>
        <v>132.28127302863399</v>
      </c>
      <c r="D2885" s="9">
        <f t="shared" si="22"/>
        <v>69.634039365655084</v>
      </c>
      <c r="E2885" s="9"/>
      <c r="F2885" s="9">
        <f ca="1">IFERROR(__xludf.DUMMYFUNCTION("""COMPUTED_VALUE"""),42422)</f>
        <v>42422</v>
      </c>
      <c r="G2885" s="9" t="str">
        <f ca="1">IFERROR(__xludf.DUMMYFUNCTION("""COMPUTED_VALUE"""),"1 USD = 104.7895 PKR")</f>
        <v>1 USD = 104.7895 PKR</v>
      </c>
      <c r="H2885" s="9" t="str">
        <f ca="1">IFERROR(__xludf.DUMMYFUNCTION("""COMPUTED_VALUE"""),"USD PKR rate for 22/02/2016")</f>
        <v>USD PKR rate for 22/02/2016</v>
      </c>
      <c r="I2885" s="9"/>
    </row>
    <row r="2886" spans="1:9" ht="14.25" customHeight="1" x14ac:dyDescent="0.3">
      <c r="A2886" s="6">
        <v>42603</v>
      </c>
      <c r="B2886" s="7">
        <v>104.7457</v>
      </c>
      <c r="C2886" s="8">
        <f t="shared" si="23"/>
        <v>132.30493150367326</v>
      </c>
      <c r="D2886" s="9">
        <f t="shared" si="22"/>
        <v>69.63677719845235</v>
      </c>
      <c r="E2886" s="9"/>
      <c r="F2886" s="9">
        <f ca="1">IFERROR(__xludf.DUMMYFUNCTION("""COMPUTED_VALUE"""),42421)</f>
        <v>42421</v>
      </c>
      <c r="G2886" s="9" t="str">
        <f ca="1">IFERROR(__xludf.DUMMYFUNCTION("""COMPUTED_VALUE"""),"1 USD = 104.8576 PKR")</f>
        <v>1 USD = 104.8576 PKR</v>
      </c>
      <c r="H2886" s="9" t="str">
        <f ca="1">IFERROR(__xludf.DUMMYFUNCTION("""COMPUTED_VALUE"""),"USD PKR rate for 21/02/2016")</f>
        <v>USD PKR rate for 21/02/2016</v>
      </c>
      <c r="I2886" s="9"/>
    </row>
    <row r="2887" spans="1:9" ht="14.25" customHeight="1" x14ac:dyDescent="0.3">
      <c r="A2887" s="6">
        <v>42604</v>
      </c>
      <c r="B2887" s="7">
        <v>104.803</v>
      </c>
      <c r="C2887" s="8">
        <f t="shared" si="23"/>
        <v>132.32859421002536</v>
      </c>
      <c r="D2887" s="9">
        <f t="shared" si="22"/>
        <v>69.639515031249616</v>
      </c>
      <c r="E2887" s="9"/>
      <c r="F2887" s="9">
        <f ca="1">IFERROR(__xludf.DUMMYFUNCTION("""COMPUTED_VALUE"""),42420)</f>
        <v>42420</v>
      </c>
      <c r="G2887" s="9" t="str">
        <f ca="1">IFERROR(__xludf.DUMMYFUNCTION("""COMPUTED_VALUE"""),"1 USD = 104.7153 PKR")</f>
        <v>1 USD = 104.7153 PKR</v>
      </c>
      <c r="H2887" s="9" t="str">
        <f ca="1">IFERROR(__xludf.DUMMYFUNCTION("""COMPUTED_VALUE"""),"USD PKR rate for 20/02/2016")</f>
        <v>USD PKR rate for 20/02/2016</v>
      </c>
      <c r="I2887" s="9"/>
    </row>
    <row r="2888" spans="1:9" ht="14.25" customHeight="1" x14ac:dyDescent="0.3">
      <c r="A2888" s="6">
        <v>42605</v>
      </c>
      <c r="B2888" s="7">
        <v>104.8505</v>
      </c>
      <c r="C2888" s="8">
        <f t="shared" si="23"/>
        <v>132.35226114844698</v>
      </c>
      <c r="D2888" s="9">
        <f t="shared" si="22"/>
        <v>69.642252864046881</v>
      </c>
      <c r="E2888" s="9"/>
      <c r="F2888" s="9">
        <f ca="1">IFERROR(__xludf.DUMMYFUNCTION("""COMPUTED_VALUE"""),42419)</f>
        <v>42419</v>
      </c>
      <c r="G2888" s="9" t="str">
        <f ca="1">IFERROR(__xludf.DUMMYFUNCTION("""COMPUTED_VALUE"""),"1 USD = 104.7497 PKR")</f>
        <v>1 USD = 104.7497 PKR</v>
      </c>
      <c r="H2888" s="9" t="str">
        <f ca="1">IFERROR(__xludf.DUMMYFUNCTION("""COMPUTED_VALUE"""),"USD PKR rate for 19/02/2016")</f>
        <v>USD PKR rate for 19/02/2016</v>
      </c>
      <c r="I2888" s="9"/>
    </row>
    <row r="2889" spans="1:9" ht="14.25" customHeight="1" x14ac:dyDescent="0.3">
      <c r="A2889" s="6">
        <v>42606</v>
      </c>
      <c r="B2889" s="7">
        <v>104.78510000000001</v>
      </c>
      <c r="C2889" s="8">
        <f t="shared" si="23"/>
        <v>132.37593231969507</v>
      </c>
      <c r="D2889" s="9">
        <f t="shared" si="22"/>
        <v>69.644990696844147</v>
      </c>
      <c r="E2889" s="9"/>
      <c r="F2889" s="9">
        <f ca="1">IFERROR(__xludf.DUMMYFUNCTION("""COMPUTED_VALUE"""),42418)</f>
        <v>42418</v>
      </c>
      <c r="G2889" s="9" t="str">
        <f ca="1">IFERROR(__xludf.DUMMYFUNCTION("""COMPUTED_VALUE"""),"1 USD = 104.8127 PKR")</f>
        <v>1 USD = 104.8127 PKR</v>
      </c>
      <c r="H2889" s="9" t="str">
        <f ca="1">IFERROR(__xludf.DUMMYFUNCTION("""COMPUTED_VALUE"""),"USD PKR rate for 18/02/2016")</f>
        <v>USD PKR rate for 18/02/2016</v>
      </c>
      <c r="I2889" s="9"/>
    </row>
    <row r="2890" spans="1:9" ht="14.25" customHeight="1" x14ac:dyDescent="0.3">
      <c r="A2890" s="6">
        <v>42607</v>
      </c>
      <c r="B2890" s="7">
        <v>104.8561</v>
      </c>
      <c r="C2890" s="8">
        <f t="shared" si="23"/>
        <v>132.39960772452665</v>
      </c>
      <c r="D2890" s="9">
        <f t="shared" si="22"/>
        <v>69.647728529641412</v>
      </c>
      <c r="E2890" s="9"/>
      <c r="F2890" s="9">
        <f ca="1">IFERROR(__xludf.DUMMYFUNCTION("""COMPUTED_VALUE"""),42417)</f>
        <v>42417</v>
      </c>
      <c r="G2890" s="9" t="str">
        <f ca="1">IFERROR(__xludf.DUMMYFUNCTION("""COMPUTED_VALUE"""),"1 USD = 104.6852 PKR")</f>
        <v>1 USD = 104.6852 PKR</v>
      </c>
      <c r="H2890" s="9" t="str">
        <f ca="1">IFERROR(__xludf.DUMMYFUNCTION("""COMPUTED_VALUE"""),"USD PKR rate for 17/02/2016")</f>
        <v>USD PKR rate for 17/02/2016</v>
      </c>
      <c r="I2890" s="9"/>
    </row>
    <row r="2891" spans="1:9" ht="14.25" customHeight="1" x14ac:dyDescent="0.3">
      <c r="A2891" s="6">
        <v>42608</v>
      </c>
      <c r="B2891" s="7">
        <v>104.7978</v>
      </c>
      <c r="C2891" s="8">
        <f t="shared" si="23"/>
        <v>132.42328736369888</v>
      </c>
      <c r="D2891" s="9">
        <f t="shared" si="22"/>
        <v>69.650466362438678</v>
      </c>
      <c r="E2891" s="9"/>
      <c r="F2891" s="9">
        <f ca="1">IFERROR(__xludf.DUMMYFUNCTION("""COMPUTED_VALUE"""),42416)</f>
        <v>42416</v>
      </c>
      <c r="G2891" s="9" t="str">
        <f ca="1">IFERROR(__xludf.DUMMYFUNCTION("""COMPUTED_VALUE"""),"1 USD = 104.7556 PKR")</f>
        <v>1 USD = 104.7556 PKR</v>
      </c>
      <c r="H2891" s="9" t="str">
        <f ca="1">IFERROR(__xludf.DUMMYFUNCTION("""COMPUTED_VALUE"""),"USD PKR rate for 16/02/2016")</f>
        <v>USD PKR rate for 16/02/2016</v>
      </c>
      <c r="I2891" s="9"/>
    </row>
    <row r="2892" spans="1:9" ht="14.25" customHeight="1" x14ac:dyDescent="0.3">
      <c r="A2892" s="6">
        <v>42609</v>
      </c>
      <c r="B2892" s="7">
        <v>104.7826</v>
      </c>
      <c r="C2892" s="8">
        <f t="shared" si="23"/>
        <v>132.44697123796911</v>
      </c>
      <c r="D2892" s="9">
        <f t="shared" si="22"/>
        <v>69.653204195235944</v>
      </c>
      <c r="E2892" s="9"/>
      <c r="F2892" s="9">
        <f ca="1">IFERROR(__xludf.DUMMYFUNCTION("""COMPUTED_VALUE"""),42415)</f>
        <v>42415</v>
      </c>
      <c r="G2892" s="9" t="str">
        <f ca="1">IFERROR(__xludf.DUMMYFUNCTION("""COMPUTED_VALUE"""),"1 USD = 104.6952 PKR")</f>
        <v>1 USD = 104.6952 PKR</v>
      </c>
      <c r="H2892" s="9" t="str">
        <f ca="1">IFERROR(__xludf.DUMMYFUNCTION("""COMPUTED_VALUE"""),"USD PKR rate for 15/02/2016")</f>
        <v>USD PKR rate for 15/02/2016</v>
      </c>
      <c r="I2892" s="9"/>
    </row>
    <row r="2893" spans="1:9" ht="14.25" customHeight="1" x14ac:dyDescent="0.3">
      <c r="A2893" s="6">
        <v>42610</v>
      </c>
      <c r="B2893" s="7">
        <v>104.9748</v>
      </c>
      <c r="C2893" s="8">
        <f t="shared" si="23"/>
        <v>132.47065934809464</v>
      </c>
      <c r="D2893" s="9">
        <f t="shared" si="22"/>
        <v>69.655942028033209</v>
      </c>
      <c r="E2893" s="9"/>
      <c r="F2893" s="9">
        <f ca="1">IFERROR(__xludf.DUMMYFUNCTION("""COMPUTED_VALUE"""),42414)</f>
        <v>42414</v>
      </c>
      <c r="G2893" s="9" t="str">
        <f ca="1">IFERROR(__xludf.DUMMYFUNCTION("""COMPUTED_VALUE"""),"1 USD = 104.5372 PKR")</f>
        <v>1 USD = 104.5372 PKR</v>
      </c>
      <c r="H2893" s="9" t="str">
        <f ca="1">IFERROR(__xludf.DUMMYFUNCTION("""COMPUTED_VALUE"""),"USD PKR rate for 14/02/2016")</f>
        <v>USD PKR rate for 14/02/2016</v>
      </c>
      <c r="I2893" s="9"/>
    </row>
    <row r="2894" spans="1:9" ht="14.25" customHeight="1" x14ac:dyDescent="0.3">
      <c r="A2894" s="6">
        <v>42611</v>
      </c>
      <c r="B2894" s="7">
        <v>104.9256</v>
      </c>
      <c r="C2894" s="8">
        <f t="shared" si="23"/>
        <v>132.49435169483331</v>
      </c>
      <c r="D2894" s="9">
        <f t="shared" si="22"/>
        <v>69.658679860830475</v>
      </c>
      <c r="E2894" s="9"/>
      <c r="F2894" s="9">
        <f ca="1">IFERROR(__xludf.DUMMYFUNCTION("""COMPUTED_VALUE"""),42413)</f>
        <v>42413</v>
      </c>
      <c r="G2894" s="9" t="str">
        <f ca="1">IFERROR(__xludf.DUMMYFUNCTION("""COMPUTED_VALUE"""),"1 USD = 104.539 PKR")</f>
        <v>1 USD = 104.539 PKR</v>
      </c>
      <c r="H2894" s="9" t="str">
        <f ca="1">IFERROR(__xludf.DUMMYFUNCTION("""COMPUTED_VALUE"""),"USD PKR rate for 13/02/2016")</f>
        <v>USD PKR rate for 13/02/2016</v>
      </c>
      <c r="I2894" s="9"/>
    </row>
    <row r="2895" spans="1:9" ht="14.25" customHeight="1" x14ac:dyDescent="0.3">
      <c r="A2895" s="6">
        <v>42612</v>
      </c>
      <c r="B2895" s="7">
        <v>104.8887</v>
      </c>
      <c r="C2895" s="8">
        <f t="shared" si="23"/>
        <v>132.5180482789427</v>
      </c>
      <c r="D2895" s="9">
        <f t="shared" si="22"/>
        <v>69.66141769362774</v>
      </c>
      <c r="E2895" s="9"/>
      <c r="F2895" s="9">
        <f ca="1">IFERROR(__xludf.DUMMYFUNCTION("""COMPUTED_VALUE"""),42412)</f>
        <v>42412</v>
      </c>
      <c r="G2895" s="9" t="str">
        <f ca="1">IFERROR(__xludf.DUMMYFUNCTION("""COMPUTED_VALUE"""),"1 USD = 104.4686 PKR")</f>
        <v>1 USD = 104.4686 PKR</v>
      </c>
      <c r="H2895" s="9" t="str">
        <f ca="1">IFERROR(__xludf.DUMMYFUNCTION("""COMPUTED_VALUE"""),"USD PKR rate for 12/02/2016")</f>
        <v>USD PKR rate for 12/02/2016</v>
      </c>
      <c r="I2895" s="9"/>
    </row>
    <row r="2896" spans="1:9" ht="14.25" customHeight="1" x14ac:dyDescent="0.3">
      <c r="A2896" s="6">
        <v>42613</v>
      </c>
      <c r="B2896" s="7">
        <v>104.67659999999999</v>
      </c>
      <c r="C2896" s="8">
        <f t="shared" si="23"/>
        <v>132.54174910118067</v>
      </c>
      <c r="D2896" s="9">
        <f t="shared" si="22"/>
        <v>69.664155526425006</v>
      </c>
      <c r="E2896" s="9"/>
      <c r="F2896" s="9">
        <f ca="1">IFERROR(__xludf.DUMMYFUNCTION("""COMPUTED_VALUE"""),42411)</f>
        <v>42411</v>
      </c>
      <c r="G2896" s="9" t="str">
        <f ca="1">IFERROR(__xludf.DUMMYFUNCTION("""COMPUTED_VALUE"""),"1 USD = 104.6172 PKR")</f>
        <v>1 USD = 104.6172 PKR</v>
      </c>
      <c r="H2896" s="9" t="str">
        <f ca="1">IFERROR(__xludf.DUMMYFUNCTION("""COMPUTED_VALUE"""),"USD PKR rate for 11/02/2016")</f>
        <v>USD PKR rate for 11/02/2016</v>
      </c>
      <c r="I2896" s="9"/>
    </row>
    <row r="2897" spans="1:9" ht="14.25" customHeight="1" x14ac:dyDescent="0.3">
      <c r="A2897" s="6">
        <v>42614</v>
      </c>
      <c r="B2897" s="7">
        <v>104.59780000000001</v>
      </c>
      <c r="C2897" s="8">
        <f t="shared" si="23"/>
        <v>132.5654541623052</v>
      </c>
      <c r="D2897" s="9">
        <f t="shared" si="22"/>
        <v>69.666893359222271</v>
      </c>
      <c r="E2897" s="9"/>
      <c r="F2897" s="9">
        <f ca="1">IFERROR(__xludf.DUMMYFUNCTION("""COMPUTED_VALUE"""),42410)</f>
        <v>42410</v>
      </c>
      <c r="G2897" s="9" t="str">
        <f ca="1">IFERROR(__xludf.DUMMYFUNCTION("""COMPUTED_VALUE"""),"1 USD = 104.6245 PKR")</f>
        <v>1 USD = 104.6245 PKR</v>
      </c>
      <c r="H2897" s="9" t="str">
        <f ca="1">IFERROR(__xludf.DUMMYFUNCTION("""COMPUTED_VALUE"""),"USD PKR rate for 10/02/2016")</f>
        <v>USD PKR rate for 10/02/2016</v>
      </c>
      <c r="I2897" s="9"/>
    </row>
    <row r="2898" spans="1:9" ht="14.25" customHeight="1" x14ac:dyDescent="0.3">
      <c r="A2898" s="6">
        <v>42615</v>
      </c>
      <c r="B2898" s="7">
        <v>104.42700000000001</v>
      </c>
      <c r="C2898" s="8">
        <f t="shared" si="23"/>
        <v>132.58916346307441</v>
      </c>
      <c r="D2898" s="9">
        <f t="shared" si="22"/>
        <v>69.669631192019537</v>
      </c>
      <c r="E2898" s="9"/>
      <c r="F2898" s="9">
        <f ca="1">IFERROR(__xludf.DUMMYFUNCTION("""COMPUTED_VALUE"""),42409)</f>
        <v>42409</v>
      </c>
      <c r="G2898" s="9" t="str">
        <f ca="1">IFERROR(__xludf.DUMMYFUNCTION("""COMPUTED_VALUE"""),"1 USD = 104.5131 PKR")</f>
        <v>1 USD = 104.5131 PKR</v>
      </c>
      <c r="H2898" s="9" t="str">
        <f ca="1">IFERROR(__xludf.DUMMYFUNCTION("""COMPUTED_VALUE"""),"USD PKR rate for 09/02/2016")</f>
        <v>USD PKR rate for 09/02/2016</v>
      </c>
      <c r="I2898" s="9"/>
    </row>
    <row r="2899" spans="1:9" ht="14.25" customHeight="1" x14ac:dyDescent="0.3">
      <c r="A2899" s="6">
        <v>42616</v>
      </c>
      <c r="B2899" s="7">
        <v>104.357</v>
      </c>
      <c r="C2899" s="8">
        <f t="shared" si="23"/>
        <v>132.6128770042466</v>
      </c>
      <c r="D2899" s="9">
        <f t="shared" si="22"/>
        <v>69.672369024816803</v>
      </c>
      <c r="E2899" s="9"/>
      <c r="F2899" s="9">
        <f ca="1">IFERROR(__xludf.DUMMYFUNCTION("""COMPUTED_VALUE"""),42408)</f>
        <v>42408</v>
      </c>
      <c r="G2899" s="9" t="str">
        <f ca="1">IFERROR(__xludf.DUMMYFUNCTION("""COMPUTED_VALUE"""),"1 USD = 104.3981 PKR")</f>
        <v>1 USD = 104.3981 PKR</v>
      </c>
      <c r="H2899" s="9" t="str">
        <f ca="1">IFERROR(__xludf.DUMMYFUNCTION("""COMPUTED_VALUE"""),"USD PKR rate for 08/02/2016")</f>
        <v>USD PKR rate for 08/02/2016</v>
      </c>
      <c r="I2899" s="9"/>
    </row>
    <row r="2900" spans="1:9" ht="14.25" customHeight="1" x14ac:dyDescent="0.3">
      <c r="A2900" s="6">
        <v>42617</v>
      </c>
      <c r="B2900" s="7">
        <v>104.60600000000001</v>
      </c>
      <c r="C2900" s="8">
        <f t="shared" si="23"/>
        <v>132.6365947865801</v>
      </c>
      <c r="D2900" s="9">
        <f t="shared" si="22"/>
        <v>69.675106857614068</v>
      </c>
      <c r="E2900" s="9"/>
      <c r="F2900" s="9">
        <f ca="1">IFERROR(__xludf.DUMMYFUNCTION("""COMPUTED_VALUE"""),42407)</f>
        <v>42407</v>
      </c>
      <c r="G2900" s="9" t="str">
        <f ca="1">IFERROR(__xludf.DUMMYFUNCTION("""COMPUTED_VALUE"""),"1 USD = 104.5627 PKR")</f>
        <v>1 USD = 104.5627 PKR</v>
      </c>
      <c r="H2900" s="9" t="str">
        <f ca="1">IFERROR(__xludf.DUMMYFUNCTION("""COMPUTED_VALUE"""),"USD PKR rate for 07/02/2016")</f>
        <v>USD PKR rate for 07/02/2016</v>
      </c>
      <c r="I2900" s="9"/>
    </row>
    <row r="2901" spans="1:9" ht="14.25" customHeight="1" x14ac:dyDescent="0.3">
      <c r="A2901" s="6">
        <v>42618</v>
      </c>
      <c r="B2901" s="7">
        <v>104.5697</v>
      </c>
      <c r="C2901" s="8">
        <f t="shared" si="23"/>
        <v>132.66031681083351</v>
      </c>
      <c r="D2901" s="9">
        <f t="shared" si="22"/>
        <v>69.677844690411334</v>
      </c>
      <c r="E2901" s="9"/>
      <c r="F2901" s="9">
        <f ca="1">IFERROR(__xludf.DUMMYFUNCTION("""COMPUTED_VALUE"""),42406)</f>
        <v>42406</v>
      </c>
      <c r="G2901" s="9" t="str">
        <f ca="1">IFERROR(__xludf.DUMMYFUNCTION("""COMPUTED_VALUE"""),"1 USD = 104.5615 PKR")</f>
        <v>1 USD = 104.5615 PKR</v>
      </c>
      <c r="H2901" s="9" t="str">
        <f ca="1">IFERROR(__xludf.DUMMYFUNCTION("""COMPUTED_VALUE"""),"USD PKR rate for 06/02/2016")</f>
        <v>USD PKR rate for 06/02/2016</v>
      </c>
      <c r="I2901" s="9"/>
    </row>
    <row r="2902" spans="1:9" ht="14.25" customHeight="1" x14ac:dyDescent="0.3">
      <c r="A2902" s="6">
        <v>42619</v>
      </c>
      <c r="B2902" s="7">
        <v>104.41079999999999</v>
      </c>
      <c r="C2902" s="8">
        <f t="shared" si="23"/>
        <v>132.68404307776532</v>
      </c>
      <c r="D2902" s="9">
        <f t="shared" si="22"/>
        <v>69.680582523208599</v>
      </c>
      <c r="E2902" s="9"/>
      <c r="F2902" s="9">
        <f ca="1">IFERROR(__xludf.DUMMYFUNCTION("""COMPUTED_VALUE"""),42405)</f>
        <v>42405</v>
      </c>
      <c r="G2902" s="9" t="str">
        <f ca="1">IFERROR(__xludf.DUMMYFUNCTION("""COMPUTED_VALUE"""),"1 USD = 104.3939 PKR")</f>
        <v>1 USD = 104.3939 PKR</v>
      </c>
      <c r="H2902" s="9" t="str">
        <f ca="1">IFERROR(__xludf.DUMMYFUNCTION("""COMPUTED_VALUE"""),"USD PKR rate for 05/02/2016")</f>
        <v>USD PKR rate for 05/02/2016</v>
      </c>
      <c r="I2902" s="9"/>
    </row>
    <row r="2903" spans="1:9" ht="14.25" customHeight="1" x14ac:dyDescent="0.3">
      <c r="A2903" s="6">
        <v>42620</v>
      </c>
      <c r="B2903" s="7">
        <v>104.45</v>
      </c>
      <c r="C2903" s="8">
        <f t="shared" si="23"/>
        <v>132.70777358813461</v>
      </c>
      <c r="D2903" s="9">
        <f t="shared" si="22"/>
        <v>69.683320356005865</v>
      </c>
      <c r="E2903" s="9"/>
      <c r="F2903" s="9">
        <f ca="1">IFERROR(__xludf.DUMMYFUNCTION("""COMPUTED_VALUE"""),42404)</f>
        <v>42404</v>
      </c>
      <c r="G2903" s="9" t="str">
        <f ca="1">IFERROR(__xludf.DUMMYFUNCTION("""COMPUTED_VALUE"""),"1 USD = 104.3684 PKR")</f>
        <v>1 USD = 104.3684 PKR</v>
      </c>
      <c r="H2903" s="9" t="str">
        <f ca="1">IFERROR(__xludf.DUMMYFUNCTION("""COMPUTED_VALUE"""),"USD PKR rate for 04/02/2016")</f>
        <v>USD PKR rate for 04/02/2016</v>
      </c>
      <c r="I2903" s="9"/>
    </row>
    <row r="2904" spans="1:9" ht="14.25" customHeight="1" x14ac:dyDescent="0.3">
      <c r="A2904" s="6">
        <v>42621</v>
      </c>
      <c r="B2904" s="7">
        <v>104.35300000000001</v>
      </c>
      <c r="C2904" s="8">
        <f t="shared" si="23"/>
        <v>132.73150834270018</v>
      </c>
      <c r="D2904" s="9">
        <f t="shared" si="22"/>
        <v>69.686058188803131</v>
      </c>
      <c r="E2904" s="9"/>
      <c r="F2904" s="9">
        <f ca="1">IFERROR(__xludf.DUMMYFUNCTION("""COMPUTED_VALUE"""),42403)</f>
        <v>42403</v>
      </c>
      <c r="G2904" s="9" t="str">
        <f ca="1">IFERROR(__xludf.DUMMYFUNCTION("""COMPUTED_VALUE"""),"1 USD = 104.5034 PKR")</f>
        <v>1 USD = 104.5034 PKR</v>
      </c>
      <c r="H2904" s="9" t="str">
        <f ca="1">IFERROR(__xludf.DUMMYFUNCTION("""COMPUTED_VALUE"""),"USD PKR rate for 03/02/2016")</f>
        <v>USD PKR rate for 03/02/2016</v>
      </c>
      <c r="I2904" s="9"/>
    </row>
    <row r="2905" spans="1:9" ht="14.25" customHeight="1" x14ac:dyDescent="0.3">
      <c r="A2905" s="6">
        <v>42622</v>
      </c>
      <c r="B2905" s="7">
        <v>104.3526</v>
      </c>
      <c r="C2905" s="8">
        <f t="shared" si="23"/>
        <v>132.75524734222111</v>
      </c>
      <c r="D2905" s="9">
        <f t="shared" si="22"/>
        <v>69.688796021600396</v>
      </c>
      <c r="E2905" s="9"/>
      <c r="F2905" s="9">
        <f ca="1">IFERROR(__xludf.DUMMYFUNCTION("""COMPUTED_VALUE"""),42402)</f>
        <v>42402</v>
      </c>
      <c r="G2905" s="9" t="str">
        <f ca="1">IFERROR(__xludf.DUMMYFUNCTION("""COMPUTED_VALUE"""),"1 USD = 105.0017 PKR")</f>
        <v>1 USD = 105.0017 PKR</v>
      </c>
      <c r="H2905" s="9" t="str">
        <f ca="1">IFERROR(__xludf.DUMMYFUNCTION("""COMPUTED_VALUE"""),"USD PKR rate for 02/02/2016")</f>
        <v>USD PKR rate for 02/02/2016</v>
      </c>
      <c r="I2905" s="9"/>
    </row>
    <row r="2906" spans="1:9" ht="14.25" customHeight="1" x14ac:dyDescent="0.3">
      <c r="A2906" s="6">
        <v>42623</v>
      </c>
      <c r="B2906" s="7">
        <v>104.3556</v>
      </c>
      <c r="C2906" s="8">
        <f t="shared" si="23"/>
        <v>132.77899058745658</v>
      </c>
      <c r="D2906" s="9">
        <f t="shared" si="22"/>
        <v>69.691533854397662</v>
      </c>
      <c r="E2906" s="9"/>
      <c r="F2906" s="9">
        <f ca="1">IFERROR(__xludf.DUMMYFUNCTION("""COMPUTED_VALUE"""),42401)</f>
        <v>42401</v>
      </c>
      <c r="G2906" s="9" t="str">
        <f ca="1">IFERROR(__xludf.DUMMYFUNCTION("""COMPUTED_VALUE"""),"1 USD = 104.9011 PKR")</f>
        <v>1 USD = 104.9011 PKR</v>
      </c>
      <c r="H2906" s="9" t="str">
        <f ca="1">IFERROR(__xludf.DUMMYFUNCTION("""COMPUTED_VALUE"""),"USD PKR rate for 01/02/2016")</f>
        <v>USD PKR rate for 01/02/2016</v>
      </c>
      <c r="I2906" s="9"/>
    </row>
    <row r="2907" spans="1:9" ht="14.25" customHeight="1" x14ac:dyDescent="0.3">
      <c r="A2907" s="6">
        <v>42624</v>
      </c>
      <c r="B2907" s="7">
        <v>104.3599</v>
      </c>
      <c r="C2907" s="8">
        <f t="shared" si="23"/>
        <v>132.80273807916598</v>
      </c>
      <c r="D2907" s="9">
        <f t="shared" si="22"/>
        <v>69.694271687194927</v>
      </c>
      <c r="E2907" s="9"/>
      <c r="F2907" s="9">
        <f ca="1">IFERROR(__xludf.DUMMYFUNCTION("""COMPUTED_VALUE"""),42400)</f>
        <v>42400</v>
      </c>
      <c r="G2907" s="9" t="str">
        <f ca="1">IFERROR(__xludf.DUMMYFUNCTION("""COMPUTED_VALUE"""),"1 USD = 105.1624 PKR")</f>
        <v>1 USD = 105.1624 PKR</v>
      </c>
      <c r="H2907" s="9" t="str">
        <f ca="1">IFERROR(__xludf.DUMMYFUNCTION("""COMPUTED_VALUE"""),"USD PKR rate for 31/01/2016")</f>
        <v>USD PKR rate for 31/01/2016</v>
      </c>
      <c r="I2907" s="9"/>
    </row>
    <row r="2908" spans="1:9" ht="14.25" customHeight="1" x14ac:dyDescent="0.3">
      <c r="A2908" s="6">
        <v>42625</v>
      </c>
      <c r="B2908" s="7">
        <v>104.2694</v>
      </c>
      <c r="C2908" s="8">
        <f t="shared" si="23"/>
        <v>132.8264898181088</v>
      </c>
      <c r="D2908" s="9">
        <f t="shared" si="22"/>
        <v>69.697009519992193</v>
      </c>
      <c r="E2908" s="9"/>
      <c r="F2908" s="9">
        <f ca="1">IFERROR(__xludf.DUMMYFUNCTION("""COMPUTED_VALUE"""),42399)</f>
        <v>42399</v>
      </c>
      <c r="G2908" s="9" t="str">
        <f ca="1">IFERROR(__xludf.DUMMYFUNCTION("""COMPUTED_VALUE"""),"1 USD = 104.8684 PKR")</f>
        <v>1 USD = 104.8684 PKR</v>
      </c>
      <c r="H2908" s="9" t="str">
        <f ca="1">IFERROR(__xludf.DUMMYFUNCTION("""COMPUTED_VALUE"""),"USD PKR rate for 30/01/2016")</f>
        <v>USD PKR rate for 30/01/2016</v>
      </c>
      <c r="I2908" s="9"/>
    </row>
    <row r="2909" spans="1:9" ht="14.25" customHeight="1" x14ac:dyDescent="0.3">
      <c r="A2909" s="6">
        <v>42626</v>
      </c>
      <c r="B2909" s="7">
        <v>104.3438</v>
      </c>
      <c r="C2909" s="8">
        <f t="shared" si="23"/>
        <v>132.85024580504458</v>
      </c>
      <c r="D2909" s="9">
        <f t="shared" si="22"/>
        <v>69.699747352789458</v>
      </c>
      <c r="E2909" s="9"/>
      <c r="F2909" s="9">
        <f ca="1">IFERROR(__xludf.DUMMYFUNCTION("""COMPUTED_VALUE"""),42398)</f>
        <v>42398</v>
      </c>
      <c r="G2909" s="9" t="str">
        <f ca="1">IFERROR(__xludf.DUMMYFUNCTION("""COMPUTED_VALUE"""),"1 USD = 104.8681 PKR")</f>
        <v>1 USD = 104.8681 PKR</v>
      </c>
      <c r="H2909" s="9" t="str">
        <f ca="1">IFERROR(__xludf.DUMMYFUNCTION("""COMPUTED_VALUE"""),"USD PKR rate for 29/01/2016")</f>
        <v>USD PKR rate for 29/01/2016</v>
      </c>
      <c r="I2909" s="9"/>
    </row>
    <row r="2910" spans="1:9" ht="14.25" customHeight="1" x14ac:dyDescent="0.3">
      <c r="A2910" s="6">
        <v>42627</v>
      </c>
      <c r="B2910" s="7">
        <v>104.28330000000001</v>
      </c>
      <c r="C2910" s="8">
        <f t="shared" si="23"/>
        <v>132.87400604073315</v>
      </c>
      <c r="D2910" s="9">
        <f t="shared" si="22"/>
        <v>69.702485185586724</v>
      </c>
      <c r="E2910" s="9"/>
      <c r="F2910" s="9">
        <f ca="1">IFERROR(__xludf.DUMMYFUNCTION("""COMPUTED_VALUE"""),42397)</f>
        <v>42397</v>
      </c>
      <c r="G2910" s="9" t="str">
        <f ca="1">IFERROR(__xludf.DUMMYFUNCTION("""COMPUTED_VALUE"""),"1 USD = 104.8042 PKR")</f>
        <v>1 USD = 104.8042 PKR</v>
      </c>
      <c r="H2910" s="9" t="str">
        <f ca="1">IFERROR(__xludf.DUMMYFUNCTION("""COMPUTED_VALUE"""),"USD PKR rate for 28/01/2016")</f>
        <v>USD PKR rate for 28/01/2016</v>
      </c>
      <c r="I2910" s="9"/>
    </row>
    <row r="2911" spans="1:9" ht="14.25" customHeight="1" x14ac:dyDescent="0.3">
      <c r="A2911" s="6">
        <v>42628</v>
      </c>
      <c r="B2911" s="7">
        <v>104.50630000000001</v>
      </c>
      <c r="C2911" s="8">
        <f t="shared" si="23"/>
        <v>132.89777052593425</v>
      </c>
      <c r="D2911" s="9">
        <f t="shared" si="22"/>
        <v>69.70522301838399</v>
      </c>
      <c r="E2911" s="9"/>
      <c r="F2911" s="9">
        <f ca="1">IFERROR(__xludf.DUMMYFUNCTION("""COMPUTED_VALUE"""),42396)</f>
        <v>42396</v>
      </c>
      <c r="G2911" s="9" t="str">
        <f ca="1">IFERROR(__xludf.DUMMYFUNCTION("""COMPUTED_VALUE"""),"1 USD = 104.9396 PKR")</f>
        <v>1 USD = 104.9396 PKR</v>
      </c>
      <c r="H2911" s="9" t="str">
        <f ca="1">IFERROR(__xludf.DUMMYFUNCTION("""COMPUTED_VALUE"""),"USD PKR rate for 27/01/2016")</f>
        <v>USD PKR rate for 27/01/2016</v>
      </c>
      <c r="I2911" s="9"/>
    </row>
    <row r="2912" spans="1:9" ht="14.25" customHeight="1" x14ac:dyDescent="0.3">
      <c r="A2912" s="6">
        <v>42629</v>
      </c>
      <c r="B2912" s="7">
        <v>104.4572</v>
      </c>
      <c r="C2912" s="8">
        <f t="shared" si="23"/>
        <v>132.9215392614081</v>
      </c>
      <c r="D2912" s="9">
        <f t="shared" si="22"/>
        <v>69.707960851181255</v>
      </c>
      <c r="E2912" s="9"/>
      <c r="F2912" s="9">
        <f ca="1">IFERROR(__xludf.DUMMYFUNCTION("""COMPUTED_VALUE"""),42395)</f>
        <v>42395</v>
      </c>
      <c r="G2912" s="9" t="str">
        <f ca="1">IFERROR(__xludf.DUMMYFUNCTION("""COMPUTED_VALUE"""),"1 USD = 104.969 PKR")</f>
        <v>1 USD = 104.969 PKR</v>
      </c>
      <c r="H2912" s="9" t="str">
        <f ca="1">IFERROR(__xludf.DUMMYFUNCTION("""COMPUTED_VALUE"""),"USD PKR rate for 26/01/2016")</f>
        <v>USD PKR rate for 26/01/2016</v>
      </c>
      <c r="I2912" s="9"/>
    </row>
    <row r="2913" spans="1:9" ht="14.25" customHeight="1" x14ac:dyDescent="0.3">
      <c r="A2913" s="6">
        <v>42630</v>
      </c>
      <c r="B2913" s="7">
        <v>104.4983</v>
      </c>
      <c r="C2913" s="8">
        <f t="shared" si="23"/>
        <v>132.94531224791481</v>
      </c>
      <c r="D2913" s="9">
        <f t="shared" si="22"/>
        <v>69.710698683978521</v>
      </c>
      <c r="E2913" s="9"/>
      <c r="F2913" s="9">
        <f ca="1">IFERROR(__xludf.DUMMYFUNCTION("""COMPUTED_VALUE"""),42394)</f>
        <v>42394</v>
      </c>
      <c r="G2913" s="9" t="str">
        <f ca="1">IFERROR(__xludf.DUMMYFUNCTION("""COMPUTED_VALUE"""),"1 USD = 104.966 PKR")</f>
        <v>1 USD = 104.966 PKR</v>
      </c>
      <c r="H2913" s="9" t="str">
        <f ca="1">IFERROR(__xludf.DUMMYFUNCTION("""COMPUTED_VALUE"""),"USD PKR rate for 25/01/2016")</f>
        <v>USD PKR rate for 25/01/2016</v>
      </c>
      <c r="I2913" s="9"/>
    </row>
    <row r="2914" spans="1:9" ht="14.25" customHeight="1" x14ac:dyDescent="0.3">
      <c r="A2914" s="6">
        <v>42631</v>
      </c>
      <c r="B2914" s="7">
        <v>104.6862</v>
      </c>
      <c r="C2914" s="8">
        <f t="shared" si="23"/>
        <v>132.96908948621467</v>
      </c>
      <c r="D2914" s="9">
        <f t="shared" si="22"/>
        <v>69.713436516775786</v>
      </c>
      <c r="E2914" s="9"/>
      <c r="F2914" s="9">
        <f ca="1">IFERROR(__xludf.DUMMYFUNCTION("""COMPUTED_VALUE"""),42393)</f>
        <v>42393</v>
      </c>
      <c r="G2914" s="9" t="str">
        <f ca="1">IFERROR(__xludf.DUMMYFUNCTION("""COMPUTED_VALUE"""),"1 USD = 105.093 PKR")</f>
        <v>1 USD = 105.093 PKR</v>
      </c>
      <c r="H2914" s="9" t="str">
        <f ca="1">IFERROR(__xludf.DUMMYFUNCTION("""COMPUTED_VALUE"""),"USD PKR rate for 24/01/2016")</f>
        <v>USD PKR rate for 24/01/2016</v>
      </c>
      <c r="I2914" s="9"/>
    </row>
    <row r="2915" spans="1:9" ht="14.25" customHeight="1" x14ac:dyDescent="0.3">
      <c r="A2915" s="6">
        <v>42632</v>
      </c>
      <c r="B2915" s="7">
        <v>104.6007</v>
      </c>
      <c r="C2915" s="8">
        <f t="shared" si="23"/>
        <v>132.99287097706809</v>
      </c>
      <c r="D2915" s="9">
        <f t="shared" si="22"/>
        <v>69.716174349573052</v>
      </c>
      <c r="E2915" s="9"/>
      <c r="F2915" s="9">
        <f ca="1">IFERROR(__xludf.DUMMYFUNCTION("""COMPUTED_VALUE"""),42392)</f>
        <v>42392</v>
      </c>
      <c r="G2915" s="9" t="str">
        <f ca="1">IFERROR(__xludf.DUMMYFUNCTION("""COMPUTED_VALUE"""),"1 USD = 104.9877 PKR")</f>
        <v>1 USD = 104.9877 PKR</v>
      </c>
      <c r="H2915" s="9" t="str">
        <f ca="1">IFERROR(__xludf.DUMMYFUNCTION("""COMPUTED_VALUE"""),"USD PKR rate for 23/01/2016")</f>
        <v>USD PKR rate for 23/01/2016</v>
      </c>
      <c r="I2915" s="9"/>
    </row>
    <row r="2916" spans="1:9" ht="14.25" customHeight="1" x14ac:dyDescent="0.3">
      <c r="A2916" s="6">
        <v>42633</v>
      </c>
      <c r="B2916" s="7">
        <v>104.60250000000001</v>
      </c>
      <c r="C2916" s="8">
        <f t="shared" si="23"/>
        <v>133.01665672123562</v>
      </c>
      <c r="D2916" s="9">
        <f t="shared" si="22"/>
        <v>69.718912182370318</v>
      </c>
      <c r="E2916" s="9"/>
      <c r="F2916" s="9">
        <f ca="1">IFERROR(__xludf.DUMMYFUNCTION("""COMPUTED_VALUE"""),42391)</f>
        <v>42391</v>
      </c>
      <c r="G2916" s="9" t="str">
        <f ca="1">IFERROR(__xludf.DUMMYFUNCTION("""COMPUTED_VALUE"""),"1 USD = 104.9605 PKR")</f>
        <v>1 USD = 104.9605 PKR</v>
      </c>
      <c r="H2916" s="9" t="str">
        <f ca="1">IFERROR(__xludf.DUMMYFUNCTION("""COMPUTED_VALUE"""),"USD PKR rate for 22/01/2016")</f>
        <v>USD PKR rate for 22/01/2016</v>
      </c>
      <c r="I2916" s="9"/>
    </row>
    <row r="2917" spans="1:9" ht="14.25" customHeight="1" x14ac:dyDescent="0.3">
      <c r="A2917" s="6">
        <v>42634</v>
      </c>
      <c r="B2917" s="7">
        <v>104.6211</v>
      </c>
      <c r="C2917" s="8">
        <f t="shared" si="23"/>
        <v>133.04044671947798</v>
      </c>
      <c r="D2917" s="9">
        <f t="shared" si="22"/>
        <v>69.721650015167583</v>
      </c>
      <c r="E2917" s="9"/>
      <c r="F2917" s="9">
        <f ca="1">IFERROR(__xludf.DUMMYFUNCTION("""COMPUTED_VALUE"""),42390)</f>
        <v>42390</v>
      </c>
      <c r="G2917" s="9" t="str">
        <f ca="1">IFERROR(__xludf.DUMMYFUNCTION("""COMPUTED_VALUE"""),"1 USD = 104.8951 PKR")</f>
        <v>1 USD = 104.8951 PKR</v>
      </c>
      <c r="H2917" s="9" t="str">
        <f ca="1">IFERROR(__xludf.DUMMYFUNCTION("""COMPUTED_VALUE"""),"USD PKR rate for 21/01/2016")</f>
        <v>USD PKR rate for 21/01/2016</v>
      </c>
      <c r="I2917" s="9"/>
    </row>
    <row r="2918" spans="1:9" ht="14.25" customHeight="1" x14ac:dyDescent="0.3">
      <c r="A2918" s="6">
        <v>42635</v>
      </c>
      <c r="B2918" s="7">
        <v>104.80629999999999</v>
      </c>
      <c r="C2918" s="8">
        <f t="shared" si="23"/>
        <v>133.06424097255604</v>
      </c>
      <c r="D2918" s="9">
        <f t="shared" si="22"/>
        <v>69.724387847964849</v>
      </c>
      <c r="E2918" s="9"/>
      <c r="F2918" s="9">
        <f ca="1">IFERROR(__xludf.DUMMYFUNCTION("""COMPUTED_VALUE"""),42389)</f>
        <v>42389</v>
      </c>
      <c r="G2918" s="9" t="str">
        <f ca="1">IFERROR(__xludf.DUMMYFUNCTION("""COMPUTED_VALUE"""),"1 USD = 104.7903 PKR")</f>
        <v>1 USD = 104.7903 PKR</v>
      </c>
      <c r="H2918" s="9" t="str">
        <f ca="1">IFERROR(__xludf.DUMMYFUNCTION("""COMPUTED_VALUE"""),"USD PKR rate for 20/01/2016")</f>
        <v>USD PKR rate for 20/01/2016</v>
      </c>
      <c r="I2918" s="9"/>
    </row>
    <row r="2919" spans="1:9" ht="14.25" customHeight="1" x14ac:dyDescent="0.3">
      <c r="A2919" s="6">
        <v>42636</v>
      </c>
      <c r="B2919" s="7">
        <v>104.7458</v>
      </c>
      <c r="C2919" s="8">
        <f t="shared" si="23"/>
        <v>133.08803948123074</v>
      </c>
      <c r="D2919" s="9">
        <f t="shared" si="22"/>
        <v>69.727125680762114</v>
      </c>
      <c r="E2919" s="9"/>
      <c r="F2919" s="9">
        <f ca="1">IFERROR(__xludf.DUMMYFUNCTION("""COMPUTED_VALUE"""),42388)</f>
        <v>42388</v>
      </c>
      <c r="G2919" s="9" t="str">
        <f ca="1">IFERROR(__xludf.DUMMYFUNCTION("""COMPUTED_VALUE"""),"1 USD = 104.8074 PKR")</f>
        <v>1 USD = 104.8074 PKR</v>
      </c>
      <c r="H2919" s="9" t="str">
        <f ca="1">IFERROR(__xludf.DUMMYFUNCTION("""COMPUTED_VALUE"""),"USD PKR rate for 19/01/2016")</f>
        <v>USD PKR rate for 19/01/2016</v>
      </c>
      <c r="I2919" s="9"/>
    </row>
    <row r="2920" spans="1:9" ht="14.25" customHeight="1" x14ac:dyDescent="0.3">
      <c r="A2920" s="6">
        <v>42637</v>
      </c>
      <c r="B2920" s="7">
        <v>104.7814</v>
      </c>
      <c r="C2920" s="8">
        <f t="shared" si="23"/>
        <v>133.11184224626319</v>
      </c>
      <c r="D2920" s="9">
        <f t="shared" si="22"/>
        <v>69.72986351355938</v>
      </c>
      <c r="E2920" s="9"/>
      <c r="F2920" s="9">
        <f ca="1">IFERROR(__xludf.DUMMYFUNCTION("""COMPUTED_VALUE"""),42387)</f>
        <v>42387</v>
      </c>
      <c r="G2920" s="9" t="str">
        <f ca="1">IFERROR(__xludf.DUMMYFUNCTION("""COMPUTED_VALUE"""),"1 USD = 104.9703 PKR")</f>
        <v>1 USD = 104.9703 PKR</v>
      </c>
      <c r="H2920" s="9" t="str">
        <f ca="1">IFERROR(__xludf.DUMMYFUNCTION("""COMPUTED_VALUE"""),"USD PKR rate for 18/01/2016")</f>
        <v>USD PKR rate for 18/01/2016</v>
      </c>
      <c r="I2920" s="9"/>
    </row>
    <row r="2921" spans="1:9" ht="14.25" customHeight="1" x14ac:dyDescent="0.3">
      <c r="A2921" s="6">
        <v>42638</v>
      </c>
      <c r="B2921" s="7">
        <v>104.69929999999999</v>
      </c>
      <c r="C2921" s="8">
        <f t="shared" si="23"/>
        <v>133.13564926841454</v>
      </c>
      <c r="D2921" s="9">
        <f t="shared" si="22"/>
        <v>69.732601346356645</v>
      </c>
      <c r="E2921" s="9"/>
      <c r="F2921" s="9">
        <f ca="1">IFERROR(__xludf.DUMMYFUNCTION("""COMPUTED_VALUE"""),42386)</f>
        <v>42386</v>
      </c>
      <c r="G2921" s="9" t="str">
        <f ca="1">IFERROR(__xludf.DUMMYFUNCTION("""COMPUTED_VALUE"""),"1 USD = 104.8075 PKR")</f>
        <v>1 USD = 104.8075 PKR</v>
      </c>
      <c r="H2921" s="9" t="str">
        <f ca="1">IFERROR(__xludf.DUMMYFUNCTION("""COMPUTED_VALUE"""),"USD PKR rate for 17/01/2016")</f>
        <v>USD PKR rate for 17/01/2016</v>
      </c>
      <c r="I2921" s="9"/>
    </row>
    <row r="2922" spans="1:9" ht="14.25" customHeight="1" x14ac:dyDescent="0.3">
      <c r="A2922" s="6">
        <v>42639</v>
      </c>
      <c r="B2922" s="7">
        <v>104.7657</v>
      </c>
      <c r="C2922" s="8">
        <f t="shared" si="23"/>
        <v>133.15946054844642</v>
      </c>
      <c r="D2922" s="9">
        <f t="shared" si="22"/>
        <v>69.735339179153911</v>
      </c>
      <c r="E2922" s="9"/>
      <c r="F2922" s="9">
        <f ca="1">IFERROR(__xludf.DUMMYFUNCTION("""COMPUTED_VALUE"""),42385)</f>
        <v>42385</v>
      </c>
      <c r="G2922" s="9" t="str">
        <f ca="1">IFERROR(__xludf.DUMMYFUNCTION("""COMPUTED_VALUE"""),"1 USD = 104.9381 PKR")</f>
        <v>1 USD = 104.9381 PKR</v>
      </c>
      <c r="H2922" s="9" t="str">
        <f ca="1">IFERROR(__xludf.DUMMYFUNCTION("""COMPUTED_VALUE"""),"USD PKR rate for 16/01/2016")</f>
        <v>USD PKR rate for 16/01/2016</v>
      </c>
      <c r="I2922" s="9"/>
    </row>
    <row r="2923" spans="1:9" ht="14.25" customHeight="1" x14ac:dyDescent="0.3">
      <c r="A2923" s="6">
        <v>42640</v>
      </c>
      <c r="B2923" s="7">
        <v>104.8053</v>
      </c>
      <c r="C2923" s="8">
        <f t="shared" si="23"/>
        <v>133.18327608712022</v>
      </c>
      <c r="D2923" s="9">
        <f t="shared" si="22"/>
        <v>69.738077011951177</v>
      </c>
      <c r="E2923" s="9"/>
      <c r="F2923" s="9">
        <f ca="1">IFERROR(__xludf.DUMMYFUNCTION("""COMPUTED_VALUE"""),42384)</f>
        <v>42384</v>
      </c>
      <c r="G2923" s="9" t="str">
        <f ca="1">IFERROR(__xludf.DUMMYFUNCTION("""COMPUTED_VALUE"""),"1 USD = 104.8047 PKR")</f>
        <v>1 USD = 104.8047 PKR</v>
      </c>
      <c r="H2923" s="9" t="str">
        <f ca="1">IFERROR(__xludf.DUMMYFUNCTION("""COMPUTED_VALUE"""),"USD PKR rate for 15/01/2016")</f>
        <v>USD PKR rate for 15/01/2016</v>
      </c>
      <c r="I2923" s="9"/>
    </row>
    <row r="2924" spans="1:9" ht="14.25" customHeight="1" x14ac:dyDescent="0.3">
      <c r="A2924" s="6">
        <v>42641</v>
      </c>
      <c r="B2924" s="7">
        <v>104.73220000000002</v>
      </c>
      <c r="C2924" s="8">
        <f t="shared" si="23"/>
        <v>133.20709588519756</v>
      </c>
      <c r="D2924" s="9">
        <f t="shared" si="22"/>
        <v>69.740814844748442</v>
      </c>
      <c r="E2924" s="9"/>
      <c r="F2924" s="9">
        <f ca="1">IFERROR(__xludf.DUMMYFUNCTION("""COMPUTED_VALUE"""),42383)</f>
        <v>42383</v>
      </c>
      <c r="G2924" s="9" t="str">
        <f ca="1">IFERROR(__xludf.DUMMYFUNCTION("""COMPUTED_VALUE"""),"1 USD = 104.9314 PKR")</f>
        <v>1 USD = 104.9314 PKR</v>
      </c>
      <c r="H2924" s="9" t="str">
        <f ca="1">IFERROR(__xludf.DUMMYFUNCTION("""COMPUTED_VALUE"""),"USD PKR rate for 14/01/2016")</f>
        <v>USD PKR rate for 14/01/2016</v>
      </c>
      <c r="I2924" s="9"/>
    </row>
    <row r="2925" spans="1:9" ht="14.25" customHeight="1" x14ac:dyDescent="0.3">
      <c r="A2925" s="6">
        <v>42642</v>
      </c>
      <c r="B2925" s="7">
        <v>104.6225</v>
      </c>
      <c r="C2925" s="8">
        <f t="shared" si="23"/>
        <v>133.23091994344031</v>
      </c>
      <c r="D2925" s="9">
        <f t="shared" si="22"/>
        <v>69.743552677545708</v>
      </c>
      <c r="E2925" s="9"/>
      <c r="F2925" s="9">
        <f ca="1">IFERROR(__xludf.DUMMYFUNCTION("""COMPUTED_VALUE"""),42382)</f>
        <v>42382</v>
      </c>
      <c r="G2925" s="9" t="str">
        <f ca="1">IFERROR(__xludf.DUMMYFUNCTION("""COMPUTED_VALUE"""),"1 USD = 104.7753 PKR")</f>
        <v>1 USD = 104.7753 PKR</v>
      </c>
      <c r="H2925" s="9" t="str">
        <f ca="1">IFERROR(__xludf.DUMMYFUNCTION("""COMPUTED_VALUE"""),"USD PKR rate for 13/01/2016")</f>
        <v>USD PKR rate for 13/01/2016</v>
      </c>
      <c r="I2925" s="9"/>
    </row>
    <row r="2926" spans="1:9" ht="14.25" customHeight="1" x14ac:dyDescent="0.3">
      <c r="A2926" s="6">
        <v>42643</v>
      </c>
      <c r="B2926" s="7">
        <v>104.4889</v>
      </c>
      <c r="C2926" s="8">
        <f t="shared" si="23"/>
        <v>133.25474826261035</v>
      </c>
      <c r="D2926" s="9">
        <f t="shared" si="22"/>
        <v>69.746290510342973</v>
      </c>
      <c r="E2926" s="9"/>
      <c r="F2926" s="9">
        <f ca="1">IFERROR(__xludf.DUMMYFUNCTION("""COMPUTED_VALUE"""),42381)</f>
        <v>42381</v>
      </c>
      <c r="G2926" s="9" t="str">
        <f ca="1">IFERROR(__xludf.DUMMYFUNCTION("""COMPUTED_VALUE"""),"1 USD = 104.8894 PKR")</f>
        <v>1 USD = 104.8894 PKR</v>
      </c>
      <c r="H2926" s="9" t="str">
        <f ca="1">IFERROR(__xludf.DUMMYFUNCTION("""COMPUTED_VALUE"""),"USD PKR rate for 12/01/2016")</f>
        <v>USD PKR rate for 12/01/2016</v>
      </c>
      <c r="I2926" s="9"/>
    </row>
    <row r="2927" spans="1:9" ht="14.25" customHeight="1" x14ac:dyDescent="0.3">
      <c r="A2927" s="6">
        <v>42644</v>
      </c>
      <c r="B2927" s="7">
        <v>104.49540000000002</v>
      </c>
      <c r="C2927" s="8">
        <f t="shared" si="23"/>
        <v>133.27858084346985</v>
      </c>
      <c r="D2927" s="9">
        <f t="shared" si="22"/>
        <v>69.749028343140253</v>
      </c>
      <c r="E2927" s="9"/>
      <c r="F2927" s="9">
        <f ca="1">IFERROR(__xludf.DUMMYFUNCTION("""COMPUTED_VALUE"""),42380)</f>
        <v>42380</v>
      </c>
      <c r="G2927" s="9" t="str">
        <f ca="1">IFERROR(__xludf.DUMMYFUNCTION("""COMPUTED_VALUE"""),"1 USD = 104.8411 PKR")</f>
        <v>1 USD = 104.8411 PKR</v>
      </c>
      <c r="H2927" s="9" t="str">
        <f ca="1">IFERROR(__xludf.DUMMYFUNCTION("""COMPUTED_VALUE"""),"USD PKR rate for 11/01/2016")</f>
        <v>USD PKR rate for 11/01/2016</v>
      </c>
      <c r="I2927" s="9"/>
    </row>
    <row r="2928" spans="1:9" ht="14.25" customHeight="1" x14ac:dyDescent="0.3">
      <c r="A2928" s="6">
        <v>42645</v>
      </c>
      <c r="B2928" s="7">
        <v>104.2663</v>
      </c>
      <c r="C2928" s="8">
        <f t="shared" si="23"/>
        <v>133.30241768678081</v>
      </c>
      <c r="D2928" s="9">
        <f t="shared" si="22"/>
        <v>69.751766175937519</v>
      </c>
      <c r="E2928" s="9"/>
      <c r="F2928" s="9">
        <f ca="1">IFERROR(__xludf.DUMMYFUNCTION("""COMPUTED_VALUE"""),42379)</f>
        <v>42379</v>
      </c>
      <c r="G2928" s="9" t="str">
        <f ca="1">IFERROR(__xludf.DUMMYFUNCTION("""COMPUTED_VALUE"""),"1 USD = 104.7158 PKR")</f>
        <v>1 USD = 104.7158 PKR</v>
      </c>
      <c r="H2928" s="9" t="str">
        <f ca="1">IFERROR(__xludf.DUMMYFUNCTION("""COMPUTED_VALUE"""),"USD PKR rate for 10/01/2016")</f>
        <v>USD PKR rate for 10/01/2016</v>
      </c>
      <c r="I2928" s="9"/>
    </row>
    <row r="2929" spans="1:9" ht="14.25" customHeight="1" x14ac:dyDescent="0.3">
      <c r="A2929" s="6">
        <v>42646</v>
      </c>
      <c r="B2929" s="7">
        <v>104.40050000000001</v>
      </c>
      <c r="C2929" s="8">
        <f t="shared" si="23"/>
        <v>133.3262587933057</v>
      </c>
      <c r="D2929" s="9">
        <f t="shared" si="22"/>
        <v>69.754504008734784</v>
      </c>
      <c r="E2929" s="9"/>
      <c r="F2929" s="9">
        <f ca="1">IFERROR(__xludf.DUMMYFUNCTION("""COMPUTED_VALUE"""),42378)</f>
        <v>42378</v>
      </c>
      <c r="G2929" s="9" t="str">
        <f ca="1">IFERROR(__xludf.DUMMYFUNCTION("""COMPUTED_VALUE"""),"1 USD = 104.7274 PKR")</f>
        <v>1 USD = 104.7274 PKR</v>
      </c>
      <c r="H2929" s="9" t="str">
        <f ca="1">IFERROR(__xludf.DUMMYFUNCTION("""COMPUTED_VALUE"""),"USD PKR rate for 09/01/2016")</f>
        <v>USD PKR rate for 09/01/2016</v>
      </c>
      <c r="I2929" s="9"/>
    </row>
    <row r="2930" spans="1:9" ht="14.25" customHeight="1" x14ac:dyDescent="0.3">
      <c r="A2930" s="6">
        <v>42647</v>
      </c>
      <c r="B2930" s="7">
        <v>104.30540000000001</v>
      </c>
      <c r="C2930" s="8">
        <f t="shared" si="23"/>
        <v>133.3501041638068</v>
      </c>
      <c r="D2930" s="9">
        <f t="shared" si="22"/>
        <v>69.75724184153205</v>
      </c>
      <c r="E2930" s="9"/>
      <c r="F2930" s="9">
        <f ca="1">IFERROR(__xludf.DUMMYFUNCTION("""COMPUTED_VALUE"""),42377)</f>
        <v>42377</v>
      </c>
      <c r="G2930" s="9" t="str">
        <f ca="1">IFERROR(__xludf.DUMMYFUNCTION("""COMPUTED_VALUE"""),"1 USD = 104.7391 PKR")</f>
        <v>1 USD = 104.7391 PKR</v>
      </c>
      <c r="H2930" s="9" t="str">
        <f ca="1">IFERROR(__xludf.DUMMYFUNCTION("""COMPUTED_VALUE"""),"USD PKR rate for 08/01/2016")</f>
        <v>USD PKR rate for 08/01/2016</v>
      </c>
      <c r="I2930" s="9"/>
    </row>
    <row r="2931" spans="1:9" ht="14.25" customHeight="1" x14ac:dyDescent="0.3">
      <c r="A2931" s="6">
        <v>42648</v>
      </c>
      <c r="B2931" s="7">
        <v>104.53510000000001</v>
      </c>
      <c r="C2931" s="8">
        <f t="shared" si="23"/>
        <v>133.37395379904706</v>
      </c>
      <c r="D2931" s="9">
        <f t="shared" si="22"/>
        <v>69.759979674329315</v>
      </c>
      <c r="E2931" s="9"/>
      <c r="F2931" s="9">
        <f ca="1">IFERROR(__xludf.DUMMYFUNCTION("""COMPUTED_VALUE"""),42376)</f>
        <v>42376</v>
      </c>
      <c r="G2931" s="9" t="str">
        <f ca="1">IFERROR(__xludf.DUMMYFUNCTION("""COMPUTED_VALUE"""),"1 USD = 104.8553 PKR")</f>
        <v>1 USD = 104.8553 PKR</v>
      </c>
      <c r="H2931" s="9" t="str">
        <f ca="1">IFERROR(__xludf.DUMMYFUNCTION("""COMPUTED_VALUE"""),"USD PKR rate for 07/01/2016")</f>
        <v>USD PKR rate for 07/01/2016</v>
      </c>
      <c r="I2931" s="9"/>
    </row>
    <row r="2932" spans="1:9" ht="14.25" customHeight="1" x14ac:dyDescent="0.3">
      <c r="A2932" s="6">
        <v>42649</v>
      </c>
      <c r="B2932" s="7">
        <v>104.53919999999999</v>
      </c>
      <c r="C2932" s="8">
        <f t="shared" si="23"/>
        <v>133.39780769978901</v>
      </c>
      <c r="D2932" s="9">
        <f t="shared" si="22"/>
        <v>69.762717507126581</v>
      </c>
      <c r="E2932" s="9"/>
      <c r="F2932" s="9">
        <f ca="1">IFERROR(__xludf.DUMMYFUNCTION("""COMPUTED_VALUE"""),42375)</f>
        <v>42375</v>
      </c>
      <c r="G2932" s="9" t="str">
        <f ca="1">IFERROR(__xludf.DUMMYFUNCTION("""COMPUTED_VALUE"""),"1 USD = 104.9245 PKR")</f>
        <v>1 USD = 104.9245 PKR</v>
      </c>
      <c r="H2932" s="9" t="str">
        <f ca="1">IFERROR(__xludf.DUMMYFUNCTION("""COMPUTED_VALUE"""),"USD PKR rate for 06/01/2016")</f>
        <v>USD PKR rate for 06/01/2016</v>
      </c>
      <c r="I2932" s="9"/>
    </row>
    <row r="2933" spans="1:9" ht="14.25" customHeight="1" x14ac:dyDescent="0.3">
      <c r="A2933" s="6">
        <v>42650</v>
      </c>
      <c r="B2933" s="7">
        <v>104.6551</v>
      </c>
      <c r="C2933" s="8">
        <f t="shared" si="23"/>
        <v>133.42166586679562</v>
      </c>
      <c r="D2933" s="9">
        <f t="shared" si="22"/>
        <v>69.765455339923847</v>
      </c>
      <c r="E2933" s="9"/>
      <c r="F2933" s="9">
        <f ca="1">IFERROR(__xludf.DUMMYFUNCTION("""COMPUTED_VALUE"""),42374)</f>
        <v>42374</v>
      </c>
      <c r="G2933" s="9" t="str">
        <f ca="1">IFERROR(__xludf.DUMMYFUNCTION("""COMPUTED_VALUE"""),"1 USD = 104.9501 PKR")</f>
        <v>1 USD = 104.9501 PKR</v>
      </c>
      <c r="H2933" s="9" t="str">
        <f ca="1">IFERROR(__xludf.DUMMYFUNCTION("""COMPUTED_VALUE"""),"USD PKR rate for 05/01/2016")</f>
        <v>USD PKR rate for 05/01/2016</v>
      </c>
      <c r="I2933" s="9"/>
    </row>
    <row r="2934" spans="1:9" ht="14.25" customHeight="1" x14ac:dyDescent="0.3">
      <c r="A2934" s="6">
        <v>42651</v>
      </c>
      <c r="B2934" s="7">
        <v>104.6981</v>
      </c>
      <c r="C2934" s="8">
        <f t="shared" si="23"/>
        <v>133.44552830082986</v>
      </c>
      <c r="D2934" s="9">
        <f t="shared" si="22"/>
        <v>69.768193172721112</v>
      </c>
      <c r="E2934" s="9"/>
      <c r="F2934" s="9">
        <f ca="1">IFERROR(__xludf.DUMMYFUNCTION("""COMPUTED_VALUE"""),42373)</f>
        <v>42373</v>
      </c>
      <c r="G2934" s="9" t="str">
        <f ca="1">IFERROR(__xludf.DUMMYFUNCTION("""COMPUTED_VALUE"""),"1 USD = 105.0411 PKR")</f>
        <v>1 USD = 105.0411 PKR</v>
      </c>
      <c r="H2934" s="9" t="str">
        <f ca="1">IFERROR(__xludf.DUMMYFUNCTION("""COMPUTED_VALUE"""),"USD PKR rate for 04/01/2016")</f>
        <v>USD PKR rate for 04/01/2016</v>
      </c>
      <c r="I2934" s="9"/>
    </row>
    <row r="2935" spans="1:9" ht="14.25" customHeight="1" x14ac:dyDescent="0.3">
      <c r="A2935" s="6">
        <v>42652</v>
      </c>
      <c r="B2935" s="7">
        <v>104.42059999999999</v>
      </c>
      <c r="C2935" s="8">
        <f t="shared" si="23"/>
        <v>133.46939500265489</v>
      </c>
      <c r="D2935" s="9">
        <f t="shared" si="22"/>
        <v>69.770931005518378</v>
      </c>
      <c r="E2935" s="9"/>
      <c r="F2935" s="9">
        <f ca="1">IFERROR(__xludf.DUMMYFUNCTION("""COMPUTED_VALUE"""),42372)</f>
        <v>42372</v>
      </c>
      <c r="G2935" s="9" t="str">
        <f ca="1">IFERROR(__xludf.DUMMYFUNCTION("""COMPUTED_VALUE"""),"1 USD = 104.8566 PKR")</f>
        <v>1 USD = 104.8566 PKR</v>
      </c>
      <c r="H2935" s="9" t="str">
        <f ca="1">IFERROR(__xludf.DUMMYFUNCTION("""COMPUTED_VALUE"""),"USD PKR rate for 03/01/2016")</f>
        <v>USD PKR rate for 03/01/2016</v>
      </c>
      <c r="I2935" s="9"/>
    </row>
    <row r="2936" spans="1:9" ht="14.25" customHeight="1" x14ac:dyDescent="0.3">
      <c r="A2936" s="6">
        <v>42653</v>
      </c>
      <c r="B2936" s="7">
        <v>104.53619999999999</v>
      </c>
      <c r="C2936" s="8">
        <f t="shared" si="23"/>
        <v>133.49326597303403</v>
      </c>
      <c r="D2936" s="9">
        <f t="shared" si="22"/>
        <v>69.773668838315643</v>
      </c>
      <c r="E2936" s="9"/>
      <c r="F2936" s="9">
        <f ca="1">IFERROR(__xludf.DUMMYFUNCTION("""COMPUTED_VALUE"""),42371)</f>
        <v>42371</v>
      </c>
      <c r="G2936" s="9" t="str">
        <f ca="1">IFERROR(__xludf.DUMMYFUNCTION("""COMPUTED_VALUE"""),"1 USD = 104.9712 PKR")</f>
        <v>1 USD = 104.9712 PKR</v>
      </c>
      <c r="H2936" s="9" t="str">
        <f ca="1">IFERROR(__xludf.DUMMYFUNCTION("""COMPUTED_VALUE"""),"USD PKR rate for 02/01/2016")</f>
        <v>USD PKR rate for 02/01/2016</v>
      </c>
      <c r="I2936" s="9"/>
    </row>
    <row r="2937" spans="1:9" ht="14.25" customHeight="1" x14ac:dyDescent="0.3">
      <c r="A2937" s="6">
        <v>42654</v>
      </c>
      <c r="B2937" s="7">
        <v>103.7754</v>
      </c>
      <c r="C2937" s="8">
        <f t="shared" si="23"/>
        <v>133.51714121273068</v>
      </c>
      <c r="D2937" s="9">
        <f t="shared" si="22"/>
        <v>69.776406671112909</v>
      </c>
      <c r="E2937" s="9"/>
      <c r="F2937" s="9">
        <f ca="1">IFERROR(__xludf.DUMMYFUNCTION("""COMPUTED_VALUE"""),42370)</f>
        <v>42370</v>
      </c>
      <c r="G2937" s="9" t="str">
        <f ca="1">IFERROR(__xludf.DUMMYFUNCTION("""COMPUTED_VALUE"""),"1 USD = 104.9193 PKR")</f>
        <v>1 USD = 104.9193 PKR</v>
      </c>
      <c r="H2937" s="9" t="str">
        <f ca="1">IFERROR(__xludf.DUMMYFUNCTION("""COMPUTED_VALUE"""),"USD PKR rate for 01/01/2016")</f>
        <v>USD PKR rate for 01/01/2016</v>
      </c>
      <c r="I2937" s="9"/>
    </row>
    <row r="2938" spans="1:9" ht="14.25" customHeight="1" x14ac:dyDescent="0.3">
      <c r="A2938" s="6">
        <v>42655</v>
      </c>
      <c r="B2938" s="7">
        <v>104.6212</v>
      </c>
      <c r="C2938" s="8">
        <f t="shared" si="23"/>
        <v>133.54102072250842</v>
      </c>
      <c r="D2938" s="9">
        <f t="shared" si="22"/>
        <v>69.779144503910175</v>
      </c>
      <c r="E2938" s="9"/>
      <c r="F2938" s="9">
        <f ca="1">IFERROR(__xludf.DUMMYFUNCTION("""COMPUTED_VALUE"""),42369)</f>
        <v>42369</v>
      </c>
      <c r="G2938" s="9" t="str">
        <f ca="1">IFERROR(__xludf.DUMMYFUNCTION("""COMPUTED_VALUE"""),"1 USD = 104.763 PKR")</f>
        <v>1 USD = 104.763 PKR</v>
      </c>
      <c r="H2938" s="9" t="str">
        <f ca="1">IFERROR(__xludf.DUMMYFUNCTION("""COMPUTED_VALUE"""),"USD PKR rate for 31/12/2015")</f>
        <v>USD PKR rate for 31/12/2015</v>
      </c>
      <c r="I2938" s="9"/>
    </row>
    <row r="2939" spans="1:9" ht="14.25" customHeight="1" x14ac:dyDescent="0.3">
      <c r="A2939" s="6">
        <v>42656</v>
      </c>
      <c r="B2939" s="7">
        <v>104.6238</v>
      </c>
      <c r="C2939" s="8">
        <f t="shared" si="23"/>
        <v>133.56490450313086</v>
      </c>
      <c r="D2939" s="9">
        <f t="shared" si="22"/>
        <v>69.78188233670744</v>
      </c>
      <c r="E2939" s="9"/>
      <c r="F2939" s="9">
        <f ca="1">IFERROR(__xludf.DUMMYFUNCTION("""COMPUTED_VALUE"""),42368)</f>
        <v>42368</v>
      </c>
      <c r="G2939" s="9" t="str">
        <f ca="1">IFERROR(__xludf.DUMMYFUNCTION("""COMPUTED_VALUE"""),"1 USD = 104.8235 PKR")</f>
        <v>1 USD = 104.8235 PKR</v>
      </c>
      <c r="H2939" s="9" t="str">
        <f ca="1">IFERROR(__xludf.DUMMYFUNCTION("""COMPUTED_VALUE"""),"USD PKR rate for 30/12/2015")</f>
        <v>USD PKR rate for 30/12/2015</v>
      </c>
      <c r="I2939" s="9"/>
    </row>
    <row r="2940" spans="1:9" ht="14.25" customHeight="1" x14ac:dyDescent="0.3">
      <c r="A2940" s="6">
        <v>42657</v>
      </c>
      <c r="B2940" s="7">
        <v>104.5915</v>
      </c>
      <c r="C2940" s="8">
        <f t="shared" si="23"/>
        <v>133.58879255536201</v>
      </c>
      <c r="D2940" s="9">
        <f t="shared" si="22"/>
        <v>69.784620169504706</v>
      </c>
      <c r="E2940" s="9"/>
      <c r="F2940" s="9">
        <f ca="1">IFERROR(__xludf.DUMMYFUNCTION("""COMPUTED_VALUE"""),42367)</f>
        <v>42367</v>
      </c>
      <c r="G2940" s="9" t="str">
        <f ca="1">IFERROR(__xludf.DUMMYFUNCTION("""COMPUTED_VALUE"""),"1 USD = 104.8773 PKR")</f>
        <v>1 USD = 104.8773 PKR</v>
      </c>
      <c r="H2940" s="9" t="str">
        <f ca="1">IFERROR(__xludf.DUMMYFUNCTION("""COMPUTED_VALUE"""),"USD PKR rate for 29/12/2015")</f>
        <v>USD PKR rate for 29/12/2015</v>
      </c>
      <c r="I2940" s="9"/>
    </row>
    <row r="2941" spans="1:9" ht="14.25" customHeight="1" x14ac:dyDescent="0.3">
      <c r="A2941" s="6">
        <v>42658</v>
      </c>
      <c r="B2941" s="7">
        <v>104.5842</v>
      </c>
      <c r="C2941" s="8">
        <f t="shared" si="23"/>
        <v>133.61268487996577</v>
      </c>
      <c r="D2941" s="9">
        <f t="shared" si="22"/>
        <v>69.787358002301971</v>
      </c>
      <c r="E2941" s="9"/>
      <c r="F2941" s="9">
        <f ca="1">IFERROR(__xludf.DUMMYFUNCTION("""COMPUTED_VALUE"""),42366)</f>
        <v>42366</v>
      </c>
      <c r="G2941" s="9" t="str">
        <f ca="1">IFERROR(__xludf.DUMMYFUNCTION("""COMPUTED_VALUE"""),"1 USD = 104.8003 PKR")</f>
        <v>1 USD = 104.8003 PKR</v>
      </c>
      <c r="H2941" s="9" t="str">
        <f ca="1">IFERROR(__xludf.DUMMYFUNCTION("""COMPUTED_VALUE"""),"USD PKR rate for 28/12/2015")</f>
        <v>USD PKR rate for 28/12/2015</v>
      </c>
      <c r="I2941" s="9"/>
    </row>
    <row r="2942" spans="1:9" ht="14.25" customHeight="1" x14ac:dyDescent="0.3">
      <c r="A2942" s="6">
        <v>42659</v>
      </c>
      <c r="B2942" s="7">
        <v>104.8719</v>
      </c>
      <c r="C2942" s="8">
        <f t="shared" si="23"/>
        <v>133.63658147770627</v>
      </c>
      <c r="D2942" s="9">
        <f t="shared" si="22"/>
        <v>69.790095835099237</v>
      </c>
      <c r="E2942" s="9"/>
      <c r="F2942" s="9">
        <f ca="1">IFERROR(__xludf.DUMMYFUNCTION("""COMPUTED_VALUE"""),42365)</f>
        <v>42365</v>
      </c>
      <c r="G2942" s="9" t="str">
        <f ca="1">IFERROR(__xludf.DUMMYFUNCTION("""COMPUTED_VALUE"""),"1 USD = 104.732 PKR")</f>
        <v>1 USD = 104.732 PKR</v>
      </c>
      <c r="H2942" s="9" t="str">
        <f ca="1">IFERROR(__xludf.DUMMYFUNCTION("""COMPUTED_VALUE"""),"USD PKR rate for 27/12/2015")</f>
        <v>USD PKR rate for 27/12/2015</v>
      </c>
      <c r="I2942" s="9"/>
    </row>
    <row r="2943" spans="1:9" ht="14.25" customHeight="1" x14ac:dyDescent="0.3">
      <c r="A2943" s="6">
        <v>42660</v>
      </c>
      <c r="B2943" s="7">
        <v>104.7651</v>
      </c>
      <c r="C2943" s="8">
        <f t="shared" si="23"/>
        <v>133.66048234934775</v>
      </c>
      <c r="D2943" s="9">
        <f t="shared" si="22"/>
        <v>69.792833667896502</v>
      </c>
      <c r="E2943" s="9"/>
      <c r="F2943" s="9">
        <f ca="1">IFERROR(__xludf.DUMMYFUNCTION("""COMPUTED_VALUE"""),42364)</f>
        <v>42364</v>
      </c>
      <c r="G2943" s="9" t="str">
        <f ca="1">IFERROR(__xludf.DUMMYFUNCTION("""COMPUTED_VALUE"""),"1 USD = 104.3394 PKR")</f>
        <v>1 USD = 104.3394 PKR</v>
      </c>
      <c r="H2943" s="9" t="str">
        <f ca="1">IFERROR(__xludf.DUMMYFUNCTION("""COMPUTED_VALUE"""),"USD PKR rate for 26/12/2015")</f>
        <v>USD PKR rate for 26/12/2015</v>
      </c>
      <c r="I2943" s="9"/>
    </row>
    <row r="2944" spans="1:9" ht="14.25" customHeight="1" x14ac:dyDescent="0.3">
      <c r="A2944" s="6">
        <v>42661</v>
      </c>
      <c r="B2944" s="7">
        <v>104.77809999999999</v>
      </c>
      <c r="C2944" s="8">
        <f t="shared" si="23"/>
        <v>133.68438749565456</v>
      </c>
      <c r="D2944" s="9">
        <f t="shared" si="22"/>
        <v>69.795571500693768</v>
      </c>
      <c r="E2944" s="9"/>
      <c r="F2944" s="9">
        <f ca="1">IFERROR(__xludf.DUMMYFUNCTION("""COMPUTED_VALUE"""),42363)</f>
        <v>42363</v>
      </c>
      <c r="G2944" s="9" t="str">
        <f ca="1">IFERROR(__xludf.DUMMYFUNCTION("""COMPUTED_VALUE"""),"1 USD = 104.3841 PKR")</f>
        <v>1 USD = 104.3841 PKR</v>
      </c>
      <c r="H2944" s="9" t="str">
        <f ca="1">IFERROR(__xludf.DUMMYFUNCTION("""COMPUTED_VALUE"""),"USD PKR rate for 25/12/2015")</f>
        <v>USD PKR rate for 25/12/2015</v>
      </c>
      <c r="I2944" s="9"/>
    </row>
    <row r="2945" spans="1:9" ht="14.25" customHeight="1" x14ac:dyDescent="0.3">
      <c r="A2945" s="6">
        <v>42662</v>
      </c>
      <c r="B2945" s="7">
        <v>104.68340000000001</v>
      </c>
      <c r="C2945" s="8">
        <f t="shared" si="23"/>
        <v>133.70829691739127</v>
      </c>
      <c r="D2945" s="9">
        <f t="shared" si="22"/>
        <v>69.798309333491034</v>
      </c>
      <c r="E2945" s="9"/>
      <c r="F2945" s="9">
        <f ca="1">IFERROR(__xludf.DUMMYFUNCTION("""COMPUTED_VALUE"""),42362)</f>
        <v>42362</v>
      </c>
      <c r="G2945" s="9" t="str">
        <f ca="1">IFERROR(__xludf.DUMMYFUNCTION("""COMPUTED_VALUE"""),"1 USD = 104.7377 PKR")</f>
        <v>1 USD = 104.7377 PKR</v>
      </c>
      <c r="H2945" s="9" t="str">
        <f ca="1">IFERROR(__xludf.DUMMYFUNCTION("""COMPUTED_VALUE"""),"USD PKR rate for 24/12/2015")</f>
        <v>USD PKR rate for 24/12/2015</v>
      </c>
      <c r="I2945" s="9"/>
    </row>
    <row r="2946" spans="1:9" ht="14.25" customHeight="1" x14ac:dyDescent="0.3">
      <c r="A2946" s="6">
        <v>42663</v>
      </c>
      <c r="B2946" s="7">
        <v>104.79230000000001</v>
      </c>
      <c r="C2946" s="8">
        <f t="shared" si="23"/>
        <v>133.73221061532251</v>
      </c>
      <c r="D2946" s="9">
        <f t="shared" si="22"/>
        <v>69.801047166288299</v>
      </c>
      <c r="E2946" s="9"/>
      <c r="F2946" s="9">
        <f ca="1">IFERROR(__xludf.DUMMYFUNCTION("""COMPUTED_VALUE"""),42361)</f>
        <v>42361</v>
      </c>
      <c r="G2946" s="9" t="str">
        <f ca="1">IFERROR(__xludf.DUMMYFUNCTION("""COMPUTED_VALUE"""),"1 USD = 104.7404 PKR")</f>
        <v>1 USD = 104.7404 PKR</v>
      </c>
      <c r="H2946" s="9" t="str">
        <f ca="1">IFERROR(__xludf.DUMMYFUNCTION("""COMPUTED_VALUE"""),"USD PKR rate for 23/12/2015")</f>
        <v>USD PKR rate for 23/12/2015</v>
      </c>
      <c r="I2946" s="9"/>
    </row>
    <row r="2947" spans="1:9" ht="14.25" customHeight="1" x14ac:dyDescent="0.3">
      <c r="A2947" s="6">
        <v>42664</v>
      </c>
      <c r="B2947" s="7">
        <v>104.67930000000001</v>
      </c>
      <c r="C2947" s="8">
        <f t="shared" si="23"/>
        <v>133.75612859021308</v>
      </c>
      <c r="D2947" s="9">
        <f t="shared" si="22"/>
        <v>69.803784999085565</v>
      </c>
      <c r="E2947" s="9"/>
      <c r="F2947" s="9">
        <f ca="1">IFERROR(__xludf.DUMMYFUNCTION("""COMPUTED_VALUE"""),42360)</f>
        <v>42360</v>
      </c>
      <c r="G2947" s="9" t="str">
        <f ca="1">IFERROR(__xludf.DUMMYFUNCTION("""COMPUTED_VALUE"""),"1 USD = 104.7904 PKR")</f>
        <v>1 USD = 104.7904 PKR</v>
      </c>
      <c r="H2947" s="9" t="str">
        <f ca="1">IFERROR(__xludf.DUMMYFUNCTION("""COMPUTED_VALUE"""),"USD PKR rate for 22/12/2015")</f>
        <v>USD PKR rate for 22/12/2015</v>
      </c>
      <c r="I2947" s="9"/>
    </row>
    <row r="2948" spans="1:9" ht="14.25" customHeight="1" x14ac:dyDescent="0.3">
      <c r="A2948" s="6">
        <v>42665</v>
      </c>
      <c r="B2948" s="7">
        <v>104.73569999999999</v>
      </c>
      <c r="C2948" s="8">
        <f t="shared" si="23"/>
        <v>133.78005084282782</v>
      </c>
      <c r="D2948" s="9">
        <f t="shared" si="22"/>
        <v>69.80652283188283</v>
      </c>
      <c r="E2948" s="9"/>
      <c r="F2948" s="9">
        <f ca="1">IFERROR(__xludf.DUMMYFUNCTION("""COMPUTED_VALUE"""),42359)</f>
        <v>42359</v>
      </c>
      <c r="G2948" s="9" t="str">
        <f ca="1">IFERROR(__xludf.DUMMYFUNCTION("""COMPUTED_VALUE"""),"1 USD = 104.7043 PKR")</f>
        <v>1 USD = 104.7043 PKR</v>
      </c>
      <c r="H2948" s="9" t="str">
        <f ca="1">IFERROR(__xludf.DUMMYFUNCTION("""COMPUTED_VALUE"""),"USD PKR rate for 21/12/2015")</f>
        <v>USD PKR rate for 21/12/2015</v>
      </c>
      <c r="I2948" s="9"/>
    </row>
    <row r="2949" spans="1:9" ht="14.25" customHeight="1" x14ac:dyDescent="0.3">
      <c r="A2949" s="6">
        <v>42666</v>
      </c>
      <c r="B2949" s="7">
        <v>104.8413</v>
      </c>
      <c r="C2949" s="8">
        <f t="shared" si="23"/>
        <v>133.80397737393199</v>
      </c>
      <c r="D2949" s="9">
        <f t="shared" si="22"/>
        <v>69.809260664680096</v>
      </c>
      <c r="E2949" s="9"/>
      <c r="F2949" s="9">
        <f ca="1">IFERROR(__xludf.DUMMYFUNCTION("""COMPUTED_VALUE"""),42358)</f>
        <v>42358</v>
      </c>
      <c r="G2949" s="9" t="str">
        <f ca="1">IFERROR(__xludf.DUMMYFUNCTION("""COMPUTED_VALUE"""),"1 USD = 104.7367 PKR")</f>
        <v>1 USD = 104.7367 PKR</v>
      </c>
      <c r="H2949" s="9" t="str">
        <f ca="1">IFERROR(__xludf.DUMMYFUNCTION("""COMPUTED_VALUE"""),"USD PKR rate for 20/12/2015")</f>
        <v>USD PKR rate for 20/12/2015</v>
      </c>
      <c r="I2949" s="9"/>
    </row>
    <row r="2950" spans="1:9" ht="14.25" customHeight="1" x14ac:dyDescent="0.3">
      <c r="A2950" s="6">
        <v>42667</v>
      </c>
      <c r="B2950" s="7">
        <v>104.7688</v>
      </c>
      <c r="C2950" s="8">
        <f t="shared" si="23"/>
        <v>133.82790818429072</v>
      </c>
      <c r="D2950" s="9">
        <f t="shared" si="22"/>
        <v>69.811998497477362</v>
      </c>
      <c r="E2950" s="9"/>
      <c r="F2950" s="9">
        <f ca="1">IFERROR(__xludf.DUMMYFUNCTION("""COMPUTED_VALUE"""),42357)</f>
        <v>42357</v>
      </c>
      <c r="G2950" s="9" t="str">
        <f ca="1">IFERROR(__xludf.DUMMYFUNCTION("""COMPUTED_VALUE"""),"1 USD = 104.6957 PKR")</f>
        <v>1 USD = 104.6957 PKR</v>
      </c>
      <c r="H2950" s="9" t="str">
        <f ca="1">IFERROR(__xludf.DUMMYFUNCTION("""COMPUTED_VALUE"""),"USD PKR rate for 19/12/2015")</f>
        <v>USD PKR rate for 19/12/2015</v>
      </c>
      <c r="I2950" s="9"/>
    </row>
    <row r="2951" spans="1:9" ht="14.25" customHeight="1" x14ac:dyDescent="0.3">
      <c r="A2951" s="6">
        <v>42668</v>
      </c>
      <c r="B2951" s="7">
        <v>104.81310000000001</v>
      </c>
      <c r="C2951" s="8">
        <f t="shared" si="23"/>
        <v>133.85184327466933</v>
      </c>
      <c r="D2951" s="9">
        <f t="shared" si="22"/>
        <v>69.814736330274627</v>
      </c>
      <c r="E2951" s="9"/>
      <c r="F2951" s="9">
        <f ca="1">IFERROR(__xludf.DUMMYFUNCTION("""COMPUTED_VALUE"""),42356)</f>
        <v>42356</v>
      </c>
      <c r="G2951" s="9" t="str">
        <f ca="1">IFERROR(__xludf.DUMMYFUNCTION("""COMPUTED_VALUE"""),"1 USD = 104.7538 PKR")</f>
        <v>1 USD = 104.7538 PKR</v>
      </c>
      <c r="H2951" s="9" t="str">
        <f ca="1">IFERROR(__xludf.DUMMYFUNCTION("""COMPUTED_VALUE"""),"USD PKR rate for 18/12/2015")</f>
        <v>USD PKR rate for 18/12/2015</v>
      </c>
      <c r="I2951" s="9"/>
    </row>
    <row r="2952" spans="1:9" ht="14.25" customHeight="1" x14ac:dyDescent="0.3">
      <c r="A2952" s="6">
        <v>42669</v>
      </c>
      <c r="B2952" s="7">
        <v>104.7834</v>
      </c>
      <c r="C2952" s="8">
        <f t="shared" si="23"/>
        <v>133.87578264583334</v>
      </c>
      <c r="D2952" s="9">
        <f t="shared" si="22"/>
        <v>69.817474163071893</v>
      </c>
      <c r="E2952" s="9"/>
      <c r="F2952" s="9">
        <f ca="1">IFERROR(__xludf.DUMMYFUNCTION("""COMPUTED_VALUE"""),42355)</f>
        <v>42355</v>
      </c>
      <c r="G2952" s="9" t="str">
        <f ca="1">IFERROR(__xludf.DUMMYFUNCTION("""COMPUTED_VALUE"""),"1 USD = 104.7149 PKR")</f>
        <v>1 USD = 104.7149 PKR</v>
      </c>
      <c r="H2952" s="9" t="str">
        <f ca="1">IFERROR(__xludf.DUMMYFUNCTION("""COMPUTED_VALUE"""),"USD PKR rate for 17/12/2015")</f>
        <v>USD PKR rate for 17/12/2015</v>
      </c>
      <c r="I2952" s="9"/>
    </row>
    <row r="2953" spans="1:9" ht="14.25" customHeight="1" x14ac:dyDescent="0.3">
      <c r="A2953" s="6">
        <v>42670</v>
      </c>
      <c r="B2953" s="7">
        <v>104.8451</v>
      </c>
      <c r="C2953" s="8">
        <f t="shared" si="23"/>
        <v>133.8997262985483</v>
      </c>
      <c r="D2953" s="9">
        <f t="shared" si="22"/>
        <v>69.820211995869158</v>
      </c>
      <c r="E2953" s="9"/>
      <c r="F2953" s="9">
        <f ca="1">IFERROR(__xludf.DUMMYFUNCTION("""COMPUTED_VALUE"""),42354)</f>
        <v>42354</v>
      </c>
      <c r="G2953" s="9" t="str">
        <f ca="1">IFERROR(__xludf.DUMMYFUNCTION("""COMPUTED_VALUE"""),"1 USD = 104.8787 PKR")</f>
        <v>1 USD = 104.8787 PKR</v>
      </c>
      <c r="H2953" s="9" t="str">
        <f ca="1">IFERROR(__xludf.DUMMYFUNCTION("""COMPUTED_VALUE"""),"USD PKR rate for 16/12/2015")</f>
        <v>USD PKR rate for 16/12/2015</v>
      </c>
      <c r="I2953" s="9"/>
    </row>
    <row r="2954" spans="1:9" ht="14.25" customHeight="1" x14ac:dyDescent="0.3">
      <c r="A2954" s="6">
        <v>42671</v>
      </c>
      <c r="B2954" s="7">
        <v>104.82559999999999</v>
      </c>
      <c r="C2954" s="8">
        <f t="shared" si="23"/>
        <v>133.92367423358004</v>
      </c>
      <c r="D2954" s="9">
        <f t="shared" si="22"/>
        <v>69.822949828666424</v>
      </c>
      <c r="E2954" s="9"/>
      <c r="F2954" s="9">
        <f ca="1">IFERROR(__xludf.DUMMYFUNCTION("""COMPUTED_VALUE"""),42353)</f>
        <v>42353</v>
      </c>
      <c r="G2954" s="9" t="str">
        <f ca="1">IFERROR(__xludf.DUMMYFUNCTION("""COMPUTED_VALUE"""),"1 USD = 104.8548 PKR")</f>
        <v>1 USD = 104.8548 PKR</v>
      </c>
      <c r="H2954" s="9" t="str">
        <f ca="1">IFERROR(__xludf.DUMMYFUNCTION("""COMPUTED_VALUE"""),"USD PKR rate for 15/12/2015")</f>
        <v>USD PKR rate for 15/12/2015</v>
      </c>
      <c r="I2954" s="9"/>
    </row>
    <row r="2955" spans="1:9" ht="14.25" customHeight="1" x14ac:dyDescent="0.3">
      <c r="A2955" s="6">
        <v>42672</v>
      </c>
      <c r="B2955" s="7">
        <v>104.83929999999999</v>
      </c>
      <c r="C2955" s="8">
        <f t="shared" si="23"/>
        <v>133.94762645169439</v>
      </c>
      <c r="D2955" s="9">
        <f t="shared" si="22"/>
        <v>69.825687661463689</v>
      </c>
      <c r="E2955" s="9"/>
      <c r="F2955" s="9">
        <f ca="1">IFERROR(__xludf.DUMMYFUNCTION("""COMPUTED_VALUE"""),42352)</f>
        <v>42352</v>
      </c>
      <c r="G2955" s="9" t="str">
        <f ca="1">IFERROR(__xludf.DUMMYFUNCTION("""COMPUTED_VALUE"""),"1 USD = 104.4964 PKR")</f>
        <v>1 USD = 104.4964 PKR</v>
      </c>
      <c r="H2955" s="9" t="str">
        <f ca="1">IFERROR(__xludf.DUMMYFUNCTION("""COMPUTED_VALUE"""),"USD PKR rate for 14/12/2015")</f>
        <v>USD PKR rate for 14/12/2015</v>
      </c>
      <c r="I2955" s="9"/>
    </row>
    <row r="2956" spans="1:9" ht="14.25" customHeight="1" x14ac:dyDescent="0.3">
      <c r="A2956" s="6">
        <v>42673</v>
      </c>
      <c r="B2956" s="7">
        <v>104.40260000000001</v>
      </c>
      <c r="C2956" s="8">
        <f t="shared" si="23"/>
        <v>133.97158295365739</v>
      </c>
      <c r="D2956" s="9">
        <f t="shared" si="22"/>
        <v>69.828425494260955</v>
      </c>
      <c r="E2956" s="9"/>
      <c r="F2956" s="9">
        <f ca="1">IFERROR(__xludf.DUMMYFUNCTION("""COMPUTED_VALUE"""),42351)</f>
        <v>42351</v>
      </c>
      <c r="G2956" s="9" t="str">
        <f ca="1">IFERROR(__xludf.DUMMYFUNCTION("""COMPUTED_VALUE"""),"1 USD = 104.1388 PKR")</f>
        <v>1 USD = 104.1388 PKR</v>
      </c>
      <c r="H2956" s="9" t="str">
        <f ca="1">IFERROR(__xludf.DUMMYFUNCTION("""COMPUTED_VALUE"""),"USD PKR rate for 13/12/2015")</f>
        <v>USD PKR rate for 13/12/2015</v>
      </c>
      <c r="I2956" s="9"/>
    </row>
    <row r="2957" spans="1:9" ht="14.25" customHeight="1" x14ac:dyDescent="0.3">
      <c r="A2957" s="6">
        <v>42674</v>
      </c>
      <c r="B2957" s="7">
        <v>104.72369999999999</v>
      </c>
      <c r="C2957" s="8">
        <f t="shared" si="23"/>
        <v>133.99554374023512</v>
      </c>
      <c r="D2957" s="9">
        <f t="shared" si="22"/>
        <v>69.831163327058221</v>
      </c>
      <c r="E2957" s="9"/>
      <c r="F2957" s="9">
        <f ca="1">IFERROR(__xludf.DUMMYFUNCTION("""COMPUTED_VALUE"""),42350)</f>
        <v>42350</v>
      </c>
      <c r="G2957" s="9" t="str">
        <f ca="1">IFERROR(__xludf.DUMMYFUNCTION("""COMPUTED_VALUE"""),"1 USD = 103.8497 PKR")</f>
        <v>1 USD = 103.8497 PKR</v>
      </c>
      <c r="H2957" s="9" t="str">
        <f ca="1">IFERROR(__xludf.DUMMYFUNCTION("""COMPUTED_VALUE"""),"USD PKR rate for 12/12/2015")</f>
        <v>USD PKR rate for 12/12/2015</v>
      </c>
      <c r="I2957" s="9"/>
    </row>
    <row r="2958" spans="1:9" ht="14.25" customHeight="1" x14ac:dyDescent="0.3">
      <c r="A2958" s="6">
        <v>42675</v>
      </c>
      <c r="B2958" s="7">
        <v>104.7915</v>
      </c>
      <c r="C2958" s="8">
        <f t="shared" si="23"/>
        <v>134.01950881219409</v>
      </c>
      <c r="D2958" s="9">
        <f t="shared" si="22"/>
        <v>69.833901159855486</v>
      </c>
      <c r="E2958" s="9"/>
      <c r="F2958" s="9">
        <f ca="1">IFERROR(__xludf.DUMMYFUNCTION("""COMPUTED_VALUE"""),42349)</f>
        <v>42349</v>
      </c>
      <c r="G2958" s="9" t="str">
        <f ca="1">IFERROR(__xludf.DUMMYFUNCTION("""COMPUTED_VALUE"""),"1 USD = 104.038 PKR")</f>
        <v>1 USD = 104.038 PKR</v>
      </c>
      <c r="H2958" s="9" t="str">
        <f ca="1">IFERROR(__xludf.DUMMYFUNCTION("""COMPUTED_VALUE"""),"USD PKR rate for 11/12/2015")</f>
        <v>USD PKR rate for 11/12/2015</v>
      </c>
      <c r="I2958" s="9"/>
    </row>
    <row r="2959" spans="1:9" ht="14.25" customHeight="1" x14ac:dyDescent="0.3">
      <c r="A2959" s="6">
        <v>42676</v>
      </c>
      <c r="B2959" s="7">
        <v>104.80929999999999</v>
      </c>
      <c r="C2959" s="8">
        <f t="shared" si="23"/>
        <v>134.04347817030063</v>
      </c>
      <c r="D2959" s="9">
        <f t="shared" si="22"/>
        <v>69.836638992652752</v>
      </c>
      <c r="E2959" s="9"/>
      <c r="F2959" s="9">
        <f ca="1">IFERROR(__xludf.DUMMYFUNCTION("""COMPUTED_VALUE"""),42348)</f>
        <v>42348</v>
      </c>
      <c r="G2959" s="9" t="str">
        <f ca="1">IFERROR(__xludf.DUMMYFUNCTION("""COMPUTED_VALUE"""),"1 USD = 104.1365 PKR")</f>
        <v>1 USD = 104.1365 PKR</v>
      </c>
      <c r="H2959" s="9" t="str">
        <f ca="1">IFERROR(__xludf.DUMMYFUNCTION("""COMPUTED_VALUE"""),"USD PKR rate for 10/12/2015")</f>
        <v>USD PKR rate for 10/12/2015</v>
      </c>
      <c r="I2959" s="9"/>
    </row>
    <row r="2960" spans="1:9" ht="14.25" customHeight="1" x14ac:dyDescent="0.3">
      <c r="A2960" s="6">
        <v>42677</v>
      </c>
      <c r="B2960" s="7">
        <v>104.7837</v>
      </c>
      <c r="C2960" s="8">
        <f t="shared" si="23"/>
        <v>134.06745181532131</v>
      </c>
      <c r="D2960" s="9">
        <f t="shared" si="22"/>
        <v>69.839376825450017</v>
      </c>
      <c r="E2960" s="9"/>
      <c r="F2960" s="9">
        <f ca="1">IFERROR(__xludf.DUMMYFUNCTION("""COMPUTED_VALUE"""),42347)</f>
        <v>42347</v>
      </c>
      <c r="G2960" s="9" t="str">
        <f ca="1">IFERROR(__xludf.DUMMYFUNCTION("""COMPUTED_VALUE"""),"1 USD = 103.6866 PKR")</f>
        <v>1 USD = 103.6866 PKR</v>
      </c>
      <c r="H2960" s="9" t="str">
        <f ca="1">IFERROR(__xludf.DUMMYFUNCTION("""COMPUTED_VALUE"""),"USD PKR rate for 09/12/2015")</f>
        <v>USD PKR rate for 09/12/2015</v>
      </c>
      <c r="I2960" s="9"/>
    </row>
    <row r="2961" spans="1:9" ht="14.25" customHeight="1" x14ac:dyDescent="0.3">
      <c r="A2961" s="6">
        <v>42678</v>
      </c>
      <c r="B2961" s="7">
        <v>104.6776</v>
      </c>
      <c r="C2961" s="8">
        <f t="shared" si="23"/>
        <v>134.09142974802285</v>
      </c>
      <c r="D2961" s="9">
        <f t="shared" si="22"/>
        <v>69.842114658247283</v>
      </c>
      <c r="E2961" s="9"/>
      <c r="F2961" s="9">
        <f ca="1">IFERROR(__xludf.DUMMYFUNCTION("""COMPUTED_VALUE"""),42346)</f>
        <v>42346</v>
      </c>
      <c r="G2961" s="9" t="str">
        <f ca="1">IFERROR(__xludf.DUMMYFUNCTION("""COMPUTED_VALUE"""),"1 USD = 104.3383 PKR")</f>
        <v>1 USD = 104.3383 PKR</v>
      </c>
      <c r="H2961" s="9" t="str">
        <f ca="1">IFERROR(__xludf.DUMMYFUNCTION("""COMPUTED_VALUE"""),"USD PKR rate for 08/12/2015")</f>
        <v>USD PKR rate for 08/12/2015</v>
      </c>
      <c r="I2961" s="9"/>
    </row>
    <row r="2962" spans="1:9" ht="14.25" customHeight="1" x14ac:dyDescent="0.3">
      <c r="A2962" s="6">
        <v>42679</v>
      </c>
      <c r="B2962" s="7">
        <v>104.64660000000001</v>
      </c>
      <c r="C2962" s="8">
        <f t="shared" si="23"/>
        <v>134.1154119691721</v>
      </c>
      <c r="D2962" s="9">
        <f t="shared" si="22"/>
        <v>69.844852491044549</v>
      </c>
      <c r="E2962" s="9"/>
      <c r="F2962" s="9">
        <f ca="1">IFERROR(__xludf.DUMMYFUNCTION("""COMPUTED_VALUE"""),42345)</f>
        <v>42345</v>
      </c>
      <c r="G2962" s="9" t="str">
        <f ca="1">IFERROR(__xludf.DUMMYFUNCTION("""COMPUTED_VALUE"""),"1 USD = 104.9063 PKR")</f>
        <v>1 USD = 104.9063 PKR</v>
      </c>
      <c r="H2962" s="9" t="str">
        <f ca="1">IFERROR(__xludf.DUMMYFUNCTION("""COMPUTED_VALUE"""),"USD PKR rate for 07/12/2015")</f>
        <v>USD PKR rate for 07/12/2015</v>
      </c>
      <c r="I2962" s="9"/>
    </row>
    <row r="2963" spans="1:9" ht="14.25" customHeight="1" x14ac:dyDescent="0.3">
      <c r="A2963" s="6">
        <v>42680</v>
      </c>
      <c r="B2963" s="7">
        <v>104.5029</v>
      </c>
      <c r="C2963" s="8">
        <f t="shared" si="23"/>
        <v>134.13939847953606</v>
      </c>
      <c r="D2963" s="9">
        <f t="shared" si="22"/>
        <v>69.847590323841814</v>
      </c>
      <c r="E2963" s="9"/>
      <c r="F2963" s="9">
        <f ca="1">IFERROR(__xludf.DUMMYFUNCTION("""COMPUTED_VALUE"""),42344)</f>
        <v>42344</v>
      </c>
      <c r="G2963" s="9" t="str">
        <f ca="1">IFERROR(__xludf.DUMMYFUNCTION("""COMPUTED_VALUE"""),"1 USD = 105.3676 PKR")</f>
        <v>1 USD = 105.3676 PKR</v>
      </c>
      <c r="H2963" s="9" t="str">
        <f ca="1">IFERROR(__xludf.DUMMYFUNCTION("""COMPUTED_VALUE"""),"USD PKR rate for 06/12/2015")</f>
        <v>USD PKR rate for 06/12/2015</v>
      </c>
      <c r="I2963" s="9"/>
    </row>
    <row r="2964" spans="1:9" ht="14.25" customHeight="1" x14ac:dyDescent="0.3">
      <c r="A2964" s="6">
        <v>42681</v>
      </c>
      <c r="B2964" s="7">
        <v>104.8163</v>
      </c>
      <c r="C2964" s="8">
        <f t="shared" si="23"/>
        <v>134.16338927988181</v>
      </c>
      <c r="D2964" s="9">
        <f t="shared" si="22"/>
        <v>69.85032815663908</v>
      </c>
      <c r="E2964" s="9"/>
      <c r="F2964" s="9">
        <f ca="1">IFERROR(__xludf.DUMMYFUNCTION("""COMPUTED_VALUE"""),42343)</f>
        <v>42343</v>
      </c>
      <c r="G2964" s="9" t="str">
        <f ca="1">IFERROR(__xludf.DUMMYFUNCTION("""COMPUTED_VALUE"""),"1 USD = 104.9908 PKR")</f>
        <v>1 USD = 104.9908 PKR</v>
      </c>
      <c r="H2964" s="9" t="str">
        <f ca="1">IFERROR(__xludf.DUMMYFUNCTION("""COMPUTED_VALUE"""),"USD PKR rate for 05/12/2015")</f>
        <v>USD PKR rate for 05/12/2015</v>
      </c>
      <c r="I2964" s="9"/>
    </row>
    <row r="2965" spans="1:9" ht="14.25" customHeight="1" x14ac:dyDescent="0.3">
      <c r="A2965" s="6">
        <v>42682</v>
      </c>
      <c r="B2965" s="7">
        <v>104.7217</v>
      </c>
      <c r="C2965" s="8">
        <f t="shared" si="23"/>
        <v>134.18738437097667</v>
      </c>
      <c r="D2965" s="9">
        <f t="shared" si="22"/>
        <v>69.853065989436345</v>
      </c>
      <c r="E2965" s="9"/>
      <c r="F2965" s="9">
        <f ca="1">IFERROR(__xludf.DUMMYFUNCTION("""COMPUTED_VALUE"""),42342)</f>
        <v>42342</v>
      </c>
      <c r="G2965" s="9" t="str">
        <f ca="1">IFERROR(__xludf.DUMMYFUNCTION("""COMPUTED_VALUE"""),"1 USD = 105.38 PKR")</f>
        <v>1 USD = 105.38 PKR</v>
      </c>
      <c r="H2965" s="9" t="str">
        <f ca="1">IFERROR(__xludf.DUMMYFUNCTION("""COMPUTED_VALUE"""),"USD PKR rate for 04/12/2015")</f>
        <v>USD PKR rate for 04/12/2015</v>
      </c>
      <c r="I2965" s="9"/>
    </row>
    <row r="2966" spans="1:9" ht="14.25" customHeight="1" x14ac:dyDescent="0.3">
      <c r="A2966" s="6">
        <v>42683</v>
      </c>
      <c r="B2966" s="7">
        <v>104.7728</v>
      </c>
      <c r="C2966" s="8">
        <f t="shared" si="23"/>
        <v>134.21138375358791</v>
      </c>
      <c r="D2966" s="9">
        <f t="shared" si="22"/>
        <v>69.855803822233611</v>
      </c>
      <c r="E2966" s="9"/>
      <c r="F2966" s="9">
        <f ca="1">IFERROR(__xludf.DUMMYFUNCTION("""COMPUTED_VALUE"""),42341)</f>
        <v>42341</v>
      </c>
      <c r="G2966" s="9" t="str">
        <f ca="1">IFERROR(__xludf.DUMMYFUNCTION("""COMPUTED_VALUE"""),"1 USD = 105.4849 PKR")</f>
        <v>1 USD = 105.4849 PKR</v>
      </c>
      <c r="H2966" s="9" t="str">
        <f ca="1">IFERROR(__xludf.DUMMYFUNCTION("""COMPUTED_VALUE"""),"USD PKR rate for 03/12/2015")</f>
        <v>USD PKR rate for 03/12/2015</v>
      </c>
      <c r="I2966" s="9"/>
    </row>
    <row r="2967" spans="1:9" ht="14.25" customHeight="1" x14ac:dyDescent="0.3">
      <c r="A2967" s="6">
        <v>42684</v>
      </c>
      <c r="B2967" s="7">
        <v>104.6627</v>
      </c>
      <c r="C2967" s="8">
        <f t="shared" si="23"/>
        <v>134.23538742848325</v>
      </c>
      <c r="D2967" s="9">
        <f t="shared" si="22"/>
        <v>69.858541655030876</v>
      </c>
      <c r="E2967" s="9"/>
      <c r="F2967" s="9">
        <f ca="1">IFERROR(__xludf.DUMMYFUNCTION("""COMPUTED_VALUE"""),42340)</f>
        <v>42340</v>
      </c>
      <c r="G2967" s="9" t="str">
        <f ca="1">IFERROR(__xludf.DUMMYFUNCTION("""COMPUTED_VALUE"""),"1 USD = 105.4345 PKR")</f>
        <v>1 USD = 105.4345 PKR</v>
      </c>
      <c r="H2967" s="9" t="str">
        <f ca="1">IFERROR(__xludf.DUMMYFUNCTION("""COMPUTED_VALUE"""),"USD PKR rate for 02/12/2015")</f>
        <v>USD PKR rate for 02/12/2015</v>
      </c>
      <c r="I2967" s="9"/>
    </row>
    <row r="2968" spans="1:9" ht="14.25" customHeight="1" x14ac:dyDescent="0.3">
      <c r="A2968" s="6">
        <v>42685</v>
      </c>
      <c r="B2968" s="7">
        <v>104.9434</v>
      </c>
      <c r="C2968" s="8">
        <f t="shared" si="23"/>
        <v>134.25939539643031</v>
      </c>
      <c r="D2968" s="9">
        <f t="shared" si="22"/>
        <v>69.861279487828142</v>
      </c>
      <c r="E2968" s="9"/>
      <c r="F2968" s="9">
        <f ca="1">IFERROR(__xludf.DUMMYFUNCTION("""COMPUTED_VALUE"""),42339)</f>
        <v>42339</v>
      </c>
      <c r="G2968" s="9" t="str">
        <f ca="1">IFERROR(__xludf.DUMMYFUNCTION("""COMPUTED_VALUE"""),"1 USD = 105.4341 PKR")</f>
        <v>1 USD = 105.4341 PKR</v>
      </c>
      <c r="H2968" s="9" t="str">
        <f ca="1">IFERROR(__xludf.DUMMYFUNCTION("""COMPUTED_VALUE"""),"USD PKR rate for 01/12/2015")</f>
        <v>USD PKR rate for 01/12/2015</v>
      </c>
      <c r="I2968" s="9"/>
    </row>
    <row r="2969" spans="1:9" ht="14.25" customHeight="1" x14ac:dyDescent="0.3">
      <c r="A2969" s="6">
        <v>42686</v>
      </c>
      <c r="B2969" s="7">
        <v>104.7871</v>
      </c>
      <c r="C2969" s="8">
        <f t="shared" si="23"/>
        <v>134.28340765819686</v>
      </c>
      <c r="D2969" s="9">
        <f t="shared" si="22"/>
        <v>69.864017320625408</v>
      </c>
      <c r="E2969" s="9"/>
      <c r="F2969" s="9">
        <f ca="1">IFERROR(__xludf.DUMMYFUNCTION("""COMPUTED_VALUE"""),42338)</f>
        <v>42338</v>
      </c>
      <c r="G2969" s="9" t="str">
        <f ca="1">IFERROR(__xludf.DUMMYFUNCTION("""COMPUTED_VALUE"""),"1 USD = 105.5018 PKR")</f>
        <v>1 USD = 105.5018 PKR</v>
      </c>
      <c r="H2969" s="9" t="str">
        <f ca="1">IFERROR(__xludf.DUMMYFUNCTION("""COMPUTED_VALUE"""),"USD PKR rate for 30/11/2015")</f>
        <v>USD PKR rate for 30/11/2015</v>
      </c>
      <c r="I2969" s="9"/>
    </row>
    <row r="2970" spans="1:9" ht="14.25" customHeight="1" x14ac:dyDescent="0.3">
      <c r="A2970" s="6">
        <v>42687</v>
      </c>
      <c r="B2970" s="7">
        <v>104.7735</v>
      </c>
      <c r="C2970" s="8">
        <f t="shared" si="23"/>
        <v>134.30742421455088</v>
      </c>
      <c r="D2970" s="9">
        <f t="shared" si="22"/>
        <v>69.866755153422673</v>
      </c>
      <c r="E2970" s="9"/>
      <c r="F2970" s="9">
        <f ca="1">IFERROR(__xludf.DUMMYFUNCTION("""COMPUTED_VALUE"""),42337)</f>
        <v>42337</v>
      </c>
      <c r="G2970" s="9" t="str">
        <f ca="1">IFERROR(__xludf.DUMMYFUNCTION("""COMPUTED_VALUE"""),"1 USD = 105.4508 PKR")</f>
        <v>1 USD = 105.4508 PKR</v>
      </c>
      <c r="H2970" s="9" t="str">
        <f ca="1">IFERROR(__xludf.DUMMYFUNCTION("""COMPUTED_VALUE"""),"USD PKR rate for 29/11/2015")</f>
        <v>USD PKR rate for 29/11/2015</v>
      </c>
      <c r="I2970" s="9"/>
    </row>
    <row r="2971" spans="1:9" ht="14.25" customHeight="1" x14ac:dyDescent="0.3">
      <c r="A2971" s="6">
        <v>42688</v>
      </c>
      <c r="B2971" s="7">
        <v>104.97440000000002</v>
      </c>
      <c r="C2971" s="8">
        <f t="shared" si="23"/>
        <v>134.33144506626044</v>
      </c>
      <c r="D2971" s="9">
        <f t="shared" si="22"/>
        <v>69.869492986219939</v>
      </c>
      <c r="E2971" s="9"/>
      <c r="F2971" s="9">
        <f ca="1">IFERROR(__xludf.DUMMYFUNCTION("""COMPUTED_VALUE"""),42336)</f>
        <v>42336</v>
      </c>
      <c r="G2971" s="9" t="str">
        <f ca="1">IFERROR(__xludf.DUMMYFUNCTION("""COMPUTED_VALUE"""),"1 USD = 105.4905 PKR")</f>
        <v>1 USD = 105.4905 PKR</v>
      </c>
      <c r="H2971" s="9" t="str">
        <f ca="1">IFERROR(__xludf.DUMMYFUNCTION("""COMPUTED_VALUE"""),"USD PKR rate for 28/11/2015")</f>
        <v>USD PKR rate for 28/11/2015</v>
      </c>
      <c r="I2971" s="9"/>
    </row>
    <row r="2972" spans="1:9" ht="14.25" customHeight="1" x14ac:dyDescent="0.3">
      <c r="A2972" s="6">
        <v>42689</v>
      </c>
      <c r="B2972" s="7">
        <v>104.8473</v>
      </c>
      <c r="C2972" s="8">
        <f t="shared" si="23"/>
        <v>134.35547021409377</v>
      </c>
      <c r="D2972" s="9">
        <f t="shared" si="22"/>
        <v>69.872230819017204</v>
      </c>
      <c r="E2972" s="9"/>
      <c r="F2972" s="9">
        <f ca="1">IFERROR(__xludf.DUMMYFUNCTION("""COMPUTED_VALUE"""),42335)</f>
        <v>42335</v>
      </c>
      <c r="G2972" s="9" t="str">
        <f ca="1">IFERROR(__xludf.DUMMYFUNCTION("""COMPUTED_VALUE"""),"1 USD = 105.4756 PKR")</f>
        <v>1 USD = 105.4756 PKR</v>
      </c>
      <c r="H2972" s="9" t="str">
        <f ca="1">IFERROR(__xludf.DUMMYFUNCTION("""COMPUTED_VALUE"""),"USD PKR rate for 27/11/2015")</f>
        <v>USD PKR rate for 27/11/2015</v>
      </c>
      <c r="I2972" s="9"/>
    </row>
    <row r="2973" spans="1:9" ht="14.25" customHeight="1" x14ac:dyDescent="0.3">
      <c r="A2973" s="6">
        <v>42690</v>
      </c>
      <c r="B2973" s="7">
        <v>104.8854</v>
      </c>
      <c r="C2973" s="8">
        <f t="shared" si="23"/>
        <v>134.37949965881921</v>
      </c>
      <c r="D2973" s="9">
        <f t="shared" si="22"/>
        <v>69.87496865181447</v>
      </c>
      <c r="E2973" s="9"/>
      <c r="F2973" s="9">
        <f ca="1">IFERROR(__xludf.DUMMYFUNCTION("""COMPUTED_VALUE"""),42334)</f>
        <v>42334</v>
      </c>
      <c r="G2973" s="9" t="str">
        <f ca="1">IFERROR(__xludf.DUMMYFUNCTION("""COMPUTED_VALUE"""),"1 USD = 105.4593 PKR")</f>
        <v>1 USD = 105.4593 PKR</v>
      </c>
      <c r="H2973" s="9" t="str">
        <f ca="1">IFERROR(__xludf.DUMMYFUNCTION("""COMPUTED_VALUE"""),"USD PKR rate for 26/11/2015")</f>
        <v>USD PKR rate for 26/11/2015</v>
      </c>
      <c r="I2973" s="9"/>
    </row>
    <row r="2974" spans="1:9" ht="14.25" customHeight="1" x14ac:dyDescent="0.3">
      <c r="A2974" s="6">
        <v>42691</v>
      </c>
      <c r="B2974" s="7">
        <v>105.0491</v>
      </c>
      <c r="C2974" s="8">
        <f t="shared" si="23"/>
        <v>134.40353340120527</v>
      </c>
      <c r="D2974" s="9">
        <f t="shared" si="22"/>
        <v>69.877706484611736</v>
      </c>
      <c r="E2974" s="9"/>
      <c r="F2974" s="9">
        <f ca="1">IFERROR(__xludf.DUMMYFUNCTION("""COMPUTED_VALUE"""),42333)</f>
        <v>42333</v>
      </c>
      <c r="G2974" s="9" t="str">
        <f ca="1">IFERROR(__xludf.DUMMYFUNCTION("""COMPUTED_VALUE"""),"1 USD = 105.369 PKR")</f>
        <v>1 USD = 105.369 PKR</v>
      </c>
      <c r="H2974" s="9" t="str">
        <f ca="1">IFERROR(__xludf.DUMMYFUNCTION("""COMPUTED_VALUE"""),"USD PKR rate for 25/11/2015")</f>
        <v>USD PKR rate for 25/11/2015</v>
      </c>
      <c r="I2974" s="9"/>
    </row>
    <row r="2975" spans="1:9" ht="14.25" customHeight="1" x14ac:dyDescent="0.3">
      <c r="A2975" s="6">
        <v>42692</v>
      </c>
      <c r="B2975" s="7">
        <v>104.9234</v>
      </c>
      <c r="C2975" s="8">
        <f t="shared" si="23"/>
        <v>134.42757144202048</v>
      </c>
      <c r="D2975" s="9">
        <f t="shared" si="22"/>
        <v>69.880444317409001</v>
      </c>
      <c r="E2975" s="9"/>
      <c r="F2975" s="9">
        <f ca="1">IFERROR(__xludf.DUMMYFUNCTION("""COMPUTED_VALUE"""),42332)</f>
        <v>42332</v>
      </c>
      <c r="G2975" s="9" t="str">
        <f ca="1">IFERROR(__xludf.DUMMYFUNCTION("""COMPUTED_VALUE"""),"1 USD = 105.5278 PKR")</f>
        <v>1 USD = 105.5278 PKR</v>
      </c>
      <c r="H2975" s="9" t="str">
        <f ca="1">IFERROR(__xludf.DUMMYFUNCTION("""COMPUTED_VALUE"""),"USD PKR rate for 24/11/2015")</f>
        <v>USD PKR rate for 24/11/2015</v>
      </c>
      <c r="I2975" s="9"/>
    </row>
    <row r="2976" spans="1:9" ht="14.25" customHeight="1" x14ac:dyDescent="0.3">
      <c r="A2976" s="6">
        <v>42693</v>
      </c>
      <c r="B2976" s="7">
        <v>105.0668</v>
      </c>
      <c r="C2976" s="8">
        <f t="shared" si="23"/>
        <v>134.45161378203383</v>
      </c>
      <c r="D2976" s="9">
        <f t="shared" si="22"/>
        <v>69.883182150206267</v>
      </c>
      <c r="E2976" s="9"/>
      <c r="F2976" s="9">
        <f ca="1">IFERROR(__xludf.DUMMYFUNCTION("""COMPUTED_VALUE"""),42331)</f>
        <v>42331</v>
      </c>
      <c r="G2976" s="9" t="str">
        <f ca="1">IFERROR(__xludf.DUMMYFUNCTION("""COMPUTED_VALUE"""),"1 USD = 105.4291 PKR")</f>
        <v>1 USD = 105.4291 PKR</v>
      </c>
      <c r="H2976" s="9" t="str">
        <f ca="1">IFERROR(__xludf.DUMMYFUNCTION("""COMPUTED_VALUE"""),"USD PKR rate for 23/11/2015")</f>
        <v>USD PKR rate for 23/11/2015</v>
      </c>
      <c r="I2976" s="9"/>
    </row>
    <row r="2977" spans="1:9" ht="14.25" customHeight="1" x14ac:dyDescent="0.3">
      <c r="A2977" s="6">
        <v>42694</v>
      </c>
      <c r="B2977" s="7">
        <v>105.06100000000001</v>
      </c>
      <c r="C2977" s="8">
        <f t="shared" si="23"/>
        <v>134.47566042201413</v>
      </c>
      <c r="D2977" s="9">
        <f t="shared" si="22"/>
        <v>69.885919983003532</v>
      </c>
      <c r="E2977" s="9"/>
      <c r="F2977" s="9">
        <f ca="1">IFERROR(__xludf.DUMMYFUNCTION("""COMPUTED_VALUE"""),42330)</f>
        <v>42330</v>
      </c>
      <c r="G2977" s="9" t="str">
        <f ca="1">IFERROR(__xludf.DUMMYFUNCTION("""COMPUTED_VALUE"""),"1 USD = 105.5873 PKR")</f>
        <v>1 USD = 105.5873 PKR</v>
      </c>
      <c r="H2977" s="9" t="str">
        <f ca="1">IFERROR(__xludf.DUMMYFUNCTION("""COMPUTED_VALUE"""),"USD PKR rate for 22/11/2015")</f>
        <v>USD PKR rate for 22/11/2015</v>
      </c>
      <c r="I2977" s="9"/>
    </row>
    <row r="2978" spans="1:9" ht="14.25" customHeight="1" x14ac:dyDescent="0.3">
      <c r="A2978" s="6">
        <v>42695</v>
      </c>
      <c r="B2978" s="7">
        <v>104.9413</v>
      </c>
      <c r="C2978" s="8">
        <f t="shared" si="23"/>
        <v>134.49971136273041</v>
      </c>
      <c r="D2978" s="9">
        <f t="shared" si="22"/>
        <v>69.888657815800798</v>
      </c>
      <c r="E2978" s="9"/>
      <c r="F2978" s="9">
        <f ca="1">IFERROR(__xludf.DUMMYFUNCTION("""COMPUTED_VALUE"""),42329)</f>
        <v>42329</v>
      </c>
      <c r="G2978" s="9" t="str">
        <f ca="1">IFERROR(__xludf.DUMMYFUNCTION("""COMPUTED_VALUE"""),"1 USD = 105.5464 PKR")</f>
        <v>1 USD = 105.5464 PKR</v>
      </c>
      <c r="H2978" s="9" t="str">
        <f ca="1">IFERROR(__xludf.DUMMYFUNCTION("""COMPUTED_VALUE"""),"USD PKR rate for 21/11/2015")</f>
        <v>USD PKR rate for 21/11/2015</v>
      </c>
      <c r="I2978" s="9"/>
    </row>
    <row r="2979" spans="1:9" ht="14.25" customHeight="1" x14ac:dyDescent="0.3">
      <c r="A2979" s="6">
        <v>42696</v>
      </c>
      <c r="B2979" s="7">
        <v>104.8117</v>
      </c>
      <c r="C2979" s="8">
        <f t="shared" si="23"/>
        <v>134.52376660495187</v>
      </c>
      <c r="D2979" s="9">
        <f t="shared" si="22"/>
        <v>69.891395648598063</v>
      </c>
      <c r="E2979" s="9"/>
      <c r="F2979" s="9">
        <f ca="1">IFERROR(__xludf.DUMMYFUNCTION("""COMPUTED_VALUE"""),42328)</f>
        <v>42328</v>
      </c>
      <c r="G2979" s="9" t="str">
        <f ca="1">IFERROR(__xludf.DUMMYFUNCTION("""COMPUTED_VALUE"""),"1 USD = 105.5225 PKR")</f>
        <v>1 USD = 105.5225 PKR</v>
      </c>
      <c r="H2979" s="9" t="str">
        <f ca="1">IFERROR(__xludf.DUMMYFUNCTION("""COMPUTED_VALUE"""),"USD PKR rate for 20/11/2015")</f>
        <v>USD PKR rate for 20/11/2015</v>
      </c>
      <c r="I2979" s="9"/>
    </row>
    <row r="2980" spans="1:9" ht="14.25" customHeight="1" x14ac:dyDescent="0.3">
      <c r="A2980" s="6">
        <v>42697</v>
      </c>
      <c r="B2980" s="7">
        <v>104.77</v>
      </c>
      <c r="C2980" s="8">
        <f t="shared" si="23"/>
        <v>134.54782614944787</v>
      </c>
      <c r="D2980" s="9">
        <f t="shared" si="22"/>
        <v>69.894133481395329</v>
      </c>
      <c r="E2980" s="9"/>
      <c r="F2980" s="9">
        <f ca="1">IFERROR(__xludf.DUMMYFUNCTION("""COMPUTED_VALUE"""),42327)</f>
        <v>42327</v>
      </c>
      <c r="G2980" s="9" t="str">
        <f ca="1">IFERROR(__xludf.DUMMYFUNCTION("""COMPUTED_VALUE"""),"1 USD = 105.4885 PKR")</f>
        <v>1 USD = 105.4885 PKR</v>
      </c>
      <c r="H2980" s="9" t="str">
        <f ca="1">IFERROR(__xludf.DUMMYFUNCTION("""COMPUTED_VALUE"""),"USD PKR rate for 19/11/2015")</f>
        <v>USD PKR rate for 19/11/2015</v>
      </c>
      <c r="I2980" s="9"/>
    </row>
    <row r="2981" spans="1:9" ht="14.25" customHeight="1" x14ac:dyDescent="0.3">
      <c r="A2981" s="6">
        <v>42698</v>
      </c>
      <c r="B2981" s="7">
        <v>104.9062</v>
      </c>
      <c r="C2981" s="8">
        <f t="shared" si="23"/>
        <v>134.57188999698778</v>
      </c>
      <c r="D2981" s="9">
        <f t="shared" si="22"/>
        <v>69.896871314192595</v>
      </c>
      <c r="E2981" s="9"/>
      <c r="F2981" s="9">
        <f ca="1">IFERROR(__xludf.DUMMYFUNCTION("""COMPUTED_VALUE"""),42326)</f>
        <v>42326</v>
      </c>
      <c r="G2981" s="9" t="str">
        <f ca="1">IFERROR(__xludf.DUMMYFUNCTION("""COMPUTED_VALUE"""),"1 USD = 105.4458 PKR")</f>
        <v>1 USD = 105.4458 PKR</v>
      </c>
      <c r="H2981" s="9" t="str">
        <f ca="1">IFERROR(__xludf.DUMMYFUNCTION("""COMPUTED_VALUE"""),"USD PKR rate for 18/11/2015")</f>
        <v>USD PKR rate for 18/11/2015</v>
      </c>
      <c r="I2981" s="9"/>
    </row>
    <row r="2982" spans="1:9" ht="14.25" customHeight="1" x14ac:dyDescent="0.3">
      <c r="A2982" s="6">
        <v>42699</v>
      </c>
      <c r="B2982" s="7">
        <v>105.0215</v>
      </c>
      <c r="C2982" s="8">
        <f t="shared" si="23"/>
        <v>134.59595814834128</v>
      </c>
      <c r="D2982" s="9">
        <f t="shared" si="22"/>
        <v>69.89960914698986</v>
      </c>
      <c r="E2982" s="9"/>
      <c r="F2982" s="9">
        <f ca="1">IFERROR(__xludf.DUMMYFUNCTION("""COMPUTED_VALUE"""),42325)</f>
        <v>42325</v>
      </c>
      <c r="G2982" s="9" t="str">
        <f ca="1">IFERROR(__xludf.DUMMYFUNCTION("""COMPUTED_VALUE"""),"1 USD = 105.4802 PKR")</f>
        <v>1 USD = 105.4802 PKR</v>
      </c>
      <c r="H2982" s="9" t="str">
        <f ca="1">IFERROR(__xludf.DUMMYFUNCTION("""COMPUTED_VALUE"""),"USD PKR rate for 17/11/2015")</f>
        <v>USD PKR rate for 17/11/2015</v>
      </c>
      <c r="I2982" s="9"/>
    </row>
    <row r="2983" spans="1:9" ht="14.25" customHeight="1" x14ac:dyDescent="0.3">
      <c r="A2983" s="6">
        <v>42700</v>
      </c>
      <c r="B2983" s="7">
        <v>104.8635</v>
      </c>
      <c r="C2983" s="8">
        <f t="shared" si="23"/>
        <v>134.62003060427804</v>
      </c>
      <c r="D2983" s="9">
        <f t="shared" si="22"/>
        <v>69.902346979787126</v>
      </c>
      <c r="E2983" s="9"/>
      <c r="F2983" s="9">
        <f ca="1">IFERROR(__xludf.DUMMYFUNCTION("""COMPUTED_VALUE"""),42324)</f>
        <v>42324</v>
      </c>
      <c r="G2983" s="9" t="str">
        <f ca="1">IFERROR(__xludf.DUMMYFUNCTION("""COMPUTED_VALUE"""),"1 USD = 105.4616 PKR")</f>
        <v>1 USD = 105.4616 PKR</v>
      </c>
      <c r="H2983" s="9" t="str">
        <f ca="1">IFERROR(__xludf.DUMMYFUNCTION("""COMPUTED_VALUE"""),"USD PKR rate for 16/11/2015")</f>
        <v>USD PKR rate for 16/11/2015</v>
      </c>
      <c r="I2983" s="9"/>
    </row>
    <row r="2984" spans="1:9" ht="14.25" customHeight="1" x14ac:dyDescent="0.3">
      <c r="A2984" s="6">
        <v>42701</v>
      </c>
      <c r="B2984" s="7">
        <v>104.68590000000002</v>
      </c>
      <c r="C2984" s="8">
        <f t="shared" si="23"/>
        <v>134.64410736556786</v>
      </c>
      <c r="D2984" s="9">
        <f t="shared" si="22"/>
        <v>69.905084812584391</v>
      </c>
      <c r="E2984" s="9"/>
      <c r="F2984" s="9">
        <f ca="1">IFERROR(__xludf.DUMMYFUNCTION("""COMPUTED_VALUE"""),42323)</f>
        <v>42323</v>
      </c>
      <c r="G2984" s="9" t="str">
        <f ca="1">IFERROR(__xludf.DUMMYFUNCTION("""COMPUTED_VALUE"""),"1 USD = 105.4035 PKR")</f>
        <v>1 USD = 105.4035 PKR</v>
      </c>
      <c r="H2984" s="9" t="str">
        <f ca="1">IFERROR(__xludf.DUMMYFUNCTION("""COMPUTED_VALUE"""),"USD PKR rate for 15/11/2015")</f>
        <v>USD PKR rate for 15/11/2015</v>
      </c>
      <c r="I2984" s="9"/>
    </row>
    <row r="2985" spans="1:9" ht="14.25" customHeight="1" x14ac:dyDescent="0.3">
      <c r="A2985" s="6">
        <v>42702</v>
      </c>
      <c r="B2985" s="7">
        <v>104.7997</v>
      </c>
      <c r="C2985" s="8">
        <f t="shared" si="23"/>
        <v>134.668188432981</v>
      </c>
      <c r="D2985" s="9">
        <f t="shared" si="22"/>
        <v>69.907822645381657</v>
      </c>
      <c r="E2985" s="9"/>
      <c r="F2985" s="9">
        <f ca="1">IFERROR(__xludf.DUMMYFUNCTION("""COMPUTED_VALUE"""),42322)</f>
        <v>42322</v>
      </c>
      <c r="G2985" s="9" t="str">
        <f ca="1">IFERROR(__xludf.DUMMYFUNCTION("""COMPUTED_VALUE"""),"1 USD = 105.2085 PKR")</f>
        <v>1 USD = 105.2085 PKR</v>
      </c>
      <c r="H2985" s="9" t="str">
        <f ca="1">IFERROR(__xludf.DUMMYFUNCTION("""COMPUTED_VALUE"""),"USD PKR rate for 14/11/2015")</f>
        <v>USD PKR rate for 14/11/2015</v>
      </c>
      <c r="I2985" s="9"/>
    </row>
    <row r="2986" spans="1:9" ht="14.25" customHeight="1" x14ac:dyDescent="0.3">
      <c r="A2986" s="6">
        <v>42703</v>
      </c>
      <c r="B2986" s="7">
        <v>104.6815</v>
      </c>
      <c r="C2986" s="8">
        <f t="shared" si="23"/>
        <v>134.69227380728745</v>
      </c>
      <c r="D2986" s="9">
        <f t="shared" si="22"/>
        <v>69.910560478178922</v>
      </c>
      <c r="E2986" s="9"/>
      <c r="F2986" s="9">
        <f ca="1">IFERROR(__xludf.DUMMYFUNCTION("""COMPUTED_VALUE"""),42321)</f>
        <v>42321</v>
      </c>
      <c r="G2986" s="9" t="str">
        <f ca="1">IFERROR(__xludf.DUMMYFUNCTION("""COMPUTED_VALUE"""),"1 USD = 105.15 PKR")</f>
        <v>1 USD = 105.15 PKR</v>
      </c>
      <c r="H2986" s="9" t="str">
        <f ca="1">IFERROR(__xludf.DUMMYFUNCTION("""COMPUTED_VALUE"""),"USD PKR rate for 13/11/2015")</f>
        <v>USD PKR rate for 13/11/2015</v>
      </c>
      <c r="I2986" s="9"/>
    </row>
    <row r="2987" spans="1:9" ht="14.25" customHeight="1" x14ac:dyDescent="0.3">
      <c r="A2987" s="6">
        <v>42704</v>
      </c>
      <c r="B2987" s="7">
        <v>104.79940000000001</v>
      </c>
      <c r="C2987" s="8">
        <f t="shared" si="23"/>
        <v>134.71636348925753</v>
      </c>
      <c r="D2987" s="9">
        <f t="shared" si="22"/>
        <v>69.913298310976188</v>
      </c>
      <c r="E2987" s="9"/>
      <c r="F2987" s="9">
        <f ca="1">IFERROR(__xludf.DUMMYFUNCTION("""COMPUTED_VALUE"""),42320)</f>
        <v>42320</v>
      </c>
      <c r="G2987" s="9" t="str">
        <f ca="1">IFERROR(__xludf.DUMMYFUNCTION("""COMPUTED_VALUE"""),"1 USD = 105.14 PKR")</f>
        <v>1 USD = 105.14 PKR</v>
      </c>
      <c r="H2987" s="9" t="str">
        <f ca="1">IFERROR(__xludf.DUMMYFUNCTION("""COMPUTED_VALUE"""),"USD PKR rate for 12/11/2015")</f>
        <v>USD PKR rate for 12/11/2015</v>
      </c>
      <c r="I2987" s="9"/>
    </row>
    <row r="2988" spans="1:9" ht="14.25" customHeight="1" x14ac:dyDescent="0.3">
      <c r="A2988" s="6">
        <v>42705</v>
      </c>
      <c r="B2988" s="7">
        <v>104.66610000000001</v>
      </c>
      <c r="C2988" s="8">
        <f t="shared" si="23"/>
        <v>134.74045747966161</v>
      </c>
      <c r="D2988" s="9">
        <f t="shared" si="22"/>
        <v>69.916036143773454</v>
      </c>
      <c r="E2988" s="9"/>
      <c r="F2988" s="9">
        <f ca="1">IFERROR(__xludf.DUMMYFUNCTION("""COMPUTED_VALUE"""),42319)</f>
        <v>42319</v>
      </c>
      <c r="G2988" s="9" t="str">
        <f ca="1">IFERROR(__xludf.DUMMYFUNCTION("""COMPUTED_VALUE"""),"1 USD = 105.4324 PKR")</f>
        <v>1 USD = 105.4324 PKR</v>
      </c>
      <c r="H2988" s="9" t="str">
        <f ca="1">IFERROR(__xludf.DUMMYFUNCTION("""COMPUTED_VALUE"""),"USD PKR rate for 11/11/2015")</f>
        <v>USD PKR rate for 11/11/2015</v>
      </c>
      <c r="I2988" s="9"/>
    </row>
    <row r="2989" spans="1:9" ht="14.25" customHeight="1" x14ac:dyDescent="0.3">
      <c r="A2989" s="6">
        <v>42706</v>
      </c>
      <c r="B2989" s="7">
        <v>104.8877</v>
      </c>
      <c r="C2989" s="8">
        <f t="shared" si="23"/>
        <v>134.76455577927035</v>
      </c>
      <c r="D2989" s="9">
        <f t="shared" si="22"/>
        <v>69.918773976570719</v>
      </c>
      <c r="E2989" s="9"/>
      <c r="F2989" s="9">
        <f ca="1">IFERROR(__xludf.DUMMYFUNCTION("""COMPUTED_VALUE"""),42318)</f>
        <v>42318</v>
      </c>
      <c r="G2989" s="9" t="str">
        <f ca="1">IFERROR(__xludf.DUMMYFUNCTION("""COMPUTED_VALUE"""),"1 USD = 105.5439 PKR")</f>
        <v>1 USD = 105.5439 PKR</v>
      </c>
      <c r="H2989" s="9" t="str">
        <f ca="1">IFERROR(__xludf.DUMMYFUNCTION("""COMPUTED_VALUE"""),"USD PKR rate for 10/11/2015")</f>
        <v>USD PKR rate for 10/11/2015</v>
      </c>
      <c r="I2989" s="9"/>
    </row>
    <row r="2990" spans="1:9" ht="14.25" customHeight="1" x14ac:dyDescent="0.3">
      <c r="A2990" s="6">
        <v>42707</v>
      </c>
      <c r="B2990" s="7">
        <v>104.77200000000001</v>
      </c>
      <c r="C2990" s="8">
        <f t="shared" si="23"/>
        <v>134.78865838885434</v>
      </c>
      <c r="D2990" s="9">
        <f t="shared" si="22"/>
        <v>69.921511809367985</v>
      </c>
      <c r="E2990" s="9"/>
      <c r="F2990" s="9">
        <f ca="1">IFERROR(__xludf.DUMMYFUNCTION("""COMPUTED_VALUE"""),42317)</f>
        <v>42317</v>
      </c>
      <c r="G2990" s="9" t="str">
        <f ca="1">IFERROR(__xludf.DUMMYFUNCTION("""COMPUTED_VALUE"""),"1 USD = 105.5367 PKR")</f>
        <v>1 USD = 105.5367 PKR</v>
      </c>
      <c r="H2990" s="9" t="str">
        <f ca="1">IFERROR(__xludf.DUMMYFUNCTION("""COMPUTED_VALUE"""),"USD PKR rate for 09/11/2015")</f>
        <v>USD PKR rate for 09/11/2015</v>
      </c>
      <c r="I2990" s="9"/>
    </row>
    <row r="2991" spans="1:9" ht="14.25" customHeight="1" x14ac:dyDescent="0.3">
      <c r="A2991" s="6">
        <v>42708</v>
      </c>
      <c r="B2991" s="7">
        <v>104.6225</v>
      </c>
      <c r="C2991" s="8">
        <f t="shared" si="23"/>
        <v>134.81276530918453</v>
      </c>
      <c r="D2991" s="9">
        <f t="shared" si="22"/>
        <v>69.92424964216525</v>
      </c>
      <c r="E2991" s="9"/>
      <c r="F2991" s="9">
        <f ca="1">IFERROR(__xludf.DUMMYFUNCTION("""COMPUTED_VALUE"""),42316)</f>
        <v>42316</v>
      </c>
      <c r="G2991" s="9" t="str">
        <f ca="1">IFERROR(__xludf.DUMMYFUNCTION("""COMPUTED_VALUE"""),"1 USD = 105.4599 PKR")</f>
        <v>1 USD = 105.4599 PKR</v>
      </c>
      <c r="H2991" s="9" t="str">
        <f ca="1">IFERROR(__xludf.DUMMYFUNCTION("""COMPUTED_VALUE"""),"USD PKR rate for 08/11/2015")</f>
        <v>USD PKR rate for 08/11/2015</v>
      </c>
      <c r="I2991" s="9"/>
    </row>
    <row r="2992" spans="1:9" ht="14.25" customHeight="1" x14ac:dyDescent="0.3">
      <c r="A2992" s="6">
        <v>42709</v>
      </c>
      <c r="B2992" s="7">
        <v>104.56</v>
      </c>
      <c r="C2992" s="8">
        <f t="shared" si="23"/>
        <v>134.83687654103178</v>
      </c>
      <c r="D2992" s="9">
        <f t="shared" si="22"/>
        <v>69.926987474962516</v>
      </c>
      <c r="E2992" s="9"/>
      <c r="F2992" s="9">
        <f ca="1">IFERROR(__xludf.DUMMYFUNCTION("""COMPUTED_VALUE"""),42315)</f>
        <v>42315</v>
      </c>
      <c r="G2992" s="9" t="str">
        <f ca="1">IFERROR(__xludf.DUMMYFUNCTION("""COMPUTED_VALUE"""),"1 USD = 105.4253 PKR")</f>
        <v>1 USD = 105.4253 PKR</v>
      </c>
      <c r="H2992" s="9" t="str">
        <f ca="1">IFERROR(__xludf.DUMMYFUNCTION("""COMPUTED_VALUE"""),"USD PKR rate for 07/11/2015")</f>
        <v>USD PKR rate for 07/11/2015</v>
      </c>
      <c r="I2992" s="9"/>
    </row>
    <row r="2993" spans="1:9" ht="14.25" customHeight="1" x14ac:dyDescent="0.3">
      <c r="A2993" s="6">
        <v>42710</v>
      </c>
      <c r="B2993" s="7">
        <v>104.91630000000001</v>
      </c>
      <c r="C2993" s="8">
        <f t="shared" si="23"/>
        <v>134.86099208516717</v>
      </c>
      <c r="D2993" s="9">
        <f t="shared" si="22"/>
        <v>69.929725307759782</v>
      </c>
      <c r="E2993" s="9"/>
      <c r="F2993" s="9">
        <f ca="1">IFERROR(__xludf.DUMMYFUNCTION("""COMPUTED_VALUE"""),42314)</f>
        <v>42314</v>
      </c>
      <c r="G2993" s="9" t="str">
        <f ca="1">IFERROR(__xludf.DUMMYFUNCTION("""COMPUTED_VALUE"""),"1 USD = 105.4792 PKR")</f>
        <v>1 USD = 105.4792 PKR</v>
      </c>
      <c r="H2993" s="9" t="str">
        <f ca="1">IFERROR(__xludf.DUMMYFUNCTION("""COMPUTED_VALUE"""),"USD PKR rate for 06/11/2015")</f>
        <v>USD PKR rate for 06/11/2015</v>
      </c>
      <c r="I2993" s="9"/>
    </row>
    <row r="2994" spans="1:9" ht="14.25" customHeight="1" x14ac:dyDescent="0.3">
      <c r="A2994" s="6">
        <v>42711</v>
      </c>
      <c r="B2994" s="7">
        <v>104.6592</v>
      </c>
      <c r="C2994" s="8">
        <f t="shared" si="23"/>
        <v>134.88511194236216</v>
      </c>
      <c r="D2994" s="9">
        <f t="shared" si="22"/>
        <v>69.932463140557047</v>
      </c>
      <c r="E2994" s="9"/>
      <c r="F2994" s="9">
        <f ca="1">IFERROR(__xludf.DUMMYFUNCTION("""COMPUTED_VALUE"""),42313)</f>
        <v>42313</v>
      </c>
      <c r="G2994" s="9" t="str">
        <f ca="1">IFERROR(__xludf.DUMMYFUNCTION("""COMPUTED_VALUE"""),"1 USD = 105.4844 PKR")</f>
        <v>1 USD = 105.4844 PKR</v>
      </c>
      <c r="H2994" s="9" t="str">
        <f ca="1">IFERROR(__xludf.DUMMYFUNCTION("""COMPUTED_VALUE"""),"USD PKR rate for 05/11/2015")</f>
        <v>USD PKR rate for 05/11/2015</v>
      </c>
      <c r="I2994" s="9"/>
    </row>
    <row r="2995" spans="1:9" ht="14.25" customHeight="1" x14ac:dyDescent="0.3">
      <c r="A2995" s="6">
        <v>42712</v>
      </c>
      <c r="B2995" s="7">
        <v>105.06019999999999</v>
      </c>
      <c r="C2995" s="8">
        <f t="shared" si="23"/>
        <v>134.909236113388</v>
      </c>
      <c r="D2995" s="9">
        <f t="shared" si="22"/>
        <v>69.935200973354313</v>
      </c>
      <c r="E2995" s="9"/>
      <c r="F2995" s="9">
        <f ca="1">IFERROR(__xludf.DUMMYFUNCTION("""COMPUTED_VALUE"""),42312)</f>
        <v>42312</v>
      </c>
      <c r="G2995" s="9" t="str">
        <f ca="1">IFERROR(__xludf.DUMMYFUNCTION("""COMPUTED_VALUE"""),"1 USD = 105.0307 PKR")</f>
        <v>1 USD = 105.0307 PKR</v>
      </c>
      <c r="H2995" s="9" t="str">
        <f ca="1">IFERROR(__xludf.DUMMYFUNCTION("""COMPUTED_VALUE"""),"USD PKR rate for 04/11/2015")</f>
        <v>USD PKR rate for 04/11/2015</v>
      </c>
      <c r="I2995" s="9"/>
    </row>
    <row r="2996" spans="1:9" ht="14.25" customHeight="1" x14ac:dyDescent="0.3">
      <c r="A2996" s="6">
        <v>42713</v>
      </c>
      <c r="B2996" s="7">
        <v>104.905</v>
      </c>
      <c r="C2996" s="8">
        <f t="shared" si="23"/>
        <v>134.93336459901627</v>
      </c>
      <c r="D2996" s="9">
        <f t="shared" si="22"/>
        <v>69.937938806151578</v>
      </c>
      <c r="E2996" s="9"/>
      <c r="F2996" s="9">
        <f ca="1">IFERROR(__xludf.DUMMYFUNCTION("""COMPUTED_VALUE"""),42311)</f>
        <v>42311</v>
      </c>
      <c r="G2996" s="9" t="str">
        <f ca="1">IFERROR(__xludf.DUMMYFUNCTION("""COMPUTED_VALUE"""),"1 USD = 105.439 PKR")</f>
        <v>1 USD = 105.439 PKR</v>
      </c>
      <c r="H2996" s="9" t="str">
        <f ca="1">IFERROR(__xludf.DUMMYFUNCTION("""COMPUTED_VALUE"""),"USD PKR rate for 03/11/2015")</f>
        <v>USD PKR rate for 03/11/2015</v>
      </c>
      <c r="I2996" s="9"/>
    </row>
    <row r="2997" spans="1:9" ht="14.25" customHeight="1" x14ac:dyDescent="0.3">
      <c r="A2997" s="6">
        <v>42714</v>
      </c>
      <c r="B2997" s="7">
        <v>105.13310000000001</v>
      </c>
      <c r="C2997" s="8">
        <f t="shared" si="23"/>
        <v>134.95749740001858</v>
      </c>
      <c r="D2997" s="9">
        <f t="shared" si="22"/>
        <v>69.940676638948844</v>
      </c>
      <c r="E2997" s="9"/>
      <c r="F2997" s="9">
        <f ca="1">IFERROR(__xludf.DUMMYFUNCTION("""COMPUTED_VALUE"""),42310)</f>
        <v>42310</v>
      </c>
      <c r="G2997" s="9" t="str">
        <f ca="1">IFERROR(__xludf.DUMMYFUNCTION("""COMPUTED_VALUE"""),"1 USD = 105.4149 PKR")</f>
        <v>1 USD = 105.4149 PKR</v>
      </c>
      <c r="H2997" s="9" t="str">
        <f ca="1">IFERROR(__xludf.DUMMYFUNCTION("""COMPUTED_VALUE"""),"USD PKR rate for 02/11/2015")</f>
        <v>USD PKR rate for 02/11/2015</v>
      </c>
      <c r="I2997" s="9"/>
    </row>
    <row r="2998" spans="1:9" ht="14.25" customHeight="1" x14ac:dyDescent="0.3">
      <c r="A2998" s="6">
        <v>42715</v>
      </c>
      <c r="B2998" s="7">
        <v>104.8415</v>
      </c>
      <c r="C2998" s="8">
        <f t="shared" si="23"/>
        <v>134.98163451716678</v>
      </c>
      <c r="D2998" s="9">
        <f t="shared" si="22"/>
        <v>69.943414471746109</v>
      </c>
      <c r="E2998" s="9"/>
      <c r="F2998" s="9">
        <f ca="1">IFERROR(__xludf.DUMMYFUNCTION("""COMPUTED_VALUE"""),42309)</f>
        <v>42309</v>
      </c>
      <c r="G2998" s="9" t="str">
        <f ca="1">IFERROR(__xludf.DUMMYFUNCTION("""COMPUTED_VALUE"""),"1 USD = 105.3442 PKR")</f>
        <v>1 USD = 105.3442 PKR</v>
      </c>
      <c r="H2998" s="9" t="str">
        <f ca="1">IFERROR(__xludf.DUMMYFUNCTION("""COMPUTED_VALUE"""),"USD PKR rate for 01/11/2015")</f>
        <v>USD PKR rate for 01/11/2015</v>
      </c>
      <c r="I2998" s="9"/>
    </row>
    <row r="2999" spans="1:9" ht="14.25" customHeight="1" x14ac:dyDescent="0.3">
      <c r="A2999" s="6">
        <v>42716</v>
      </c>
      <c r="B2999" s="7">
        <v>104.75570000000002</v>
      </c>
      <c r="C2999" s="8">
        <f t="shared" si="23"/>
        <v>135.00577595123281</v>
      </c>
      <c r="D2999" s="9">
        <f t="shared" si="22"/>
        <v>69.946152304543375</v>
      </c>
      <c r="E2999" s="9"/>
      <c r="F2999" s="9">
        <f ca="1">IFERROR(__xludf.DUMMYFUNCTION("""COMPUTED_VALUE"""),42308)</f>
        <v>42308</v>
      </c>
      <c r="G2999" s="9" t="str">
        <f ca="1">IFERROR(__xludf.DUMMYFUNCTION("""COMPUTED_VALUE"""),"1 USD = 105.5593 PKR")</f>
        <v>1 USD = 105.5593 PKR</v>
      </c>
      <c r="H2999" s="9" t="str">
        <f ca="1">IFERROR(__xludf.DUMMYFUNCTION("""COMPUTED_VALUE"""),"USD PKR rate for 31/10/2015")</f>
        <v>USD PKR rate for 31/10/2015</v>
      </c>
      <c r="I2999" s="9"/>
    </row>
    <row r="3000" spans="1:9" ht="14.25" customHeight="1" x14ac:dyDescent="0.3">
      <c r="A3000" s="6">
        <v>42717</v>
      </c>
      <c r="B3000" s="7">
        <v>104.75930000000001</v>
      </c>
      <c r="C3000" s="8">
        <f t="shared" si="23"/>
        <v>135.0299217029887</v>
      </c>
      <c r="D3000" s="9">
        <f t="shared" si="22"/>
        <v>69.948890137340641</v>
      </c>
      <c r="E3000" s="9"/>
      <c r="F3000" s="9">
        <f ca="1">IFERROR(__xludf.DUMMYFUNCTION("""COMPUTED_VALUE"""),42307)</f>
        <v>42307</v>
      </c>
      <c r="G3000" s="9" t="str">
        <f ca="1">IFERROR(__xludf.DUMMYFUNCTION("""COMPUTED_VALUE"""),"1 USD = 105.5593 PKR")</f>
        <v>1 USD = 105.5593 PKR</v>
      </c>
      <c r="H3000" s="9" t="str">
        <f ca="1">IFERROR(__xludf.DUMMYFUNCTION("""COMPUTED_VALUE"""),"USD PKR rate for 30/10/2015")</f>
        <v>USD PKR rate for 30/10/2015</v>
      </c>
      <c r="I3000" s="9"/>
    </row>
    <row r="3001" spans="1:9" ht="14.25" customHeight="1" x14ac:dyDescent="0.3">
      <c r="A3001" s="6">
        <v>42718</v>
      </c>
      <c r="B3001" s="7">
        <v>104.86440000000002</v>
      </c>
      <c r="C3001" s="8">
        <f t="shared" si="23"/>
        <v>135.05407177320669</v>
      </c>
      <c r="D3001" s="9">
        <f t="shared" si="22"/>
        <v>69.951627970137906</v>
      </c>
      <c r="E3001" s="9"/>
      <c r="F3001" s="9">
        <f ca="1">IFERROR(__xludf.DUMMYFUNCTION("""COMPUTED_VALUE"""),42306)</f>
        <v>42306</v>
      </c>
      <c r="G3001" s="9" t="str">
        <f ca="1">IFERROR(__xludf.DUMMYFUNCTION("""COMPUTED_VALUE"""),"1 USD = 105.3483 PKR")</f>
        <v>1 USD = 105.3483 PKR</v>
      </c>
      <c r="H3001" s="9" t="str">
        <f ca="1">IFERROR(__xludf.DUMMYFUNCTION("""COMPUTED_VALUE"""),"USD PKR rate for 29/10/2015")</f>
        <v>USD PKR rate for 29/10/2015</v>
      </c>
      <c r="I3001" s="9"/>
    </row>
    <row r="3002" spans="1:9" ht="14.25" customHeight="1" x14ac:dyDescent="0.3">
      <c r="A3002" s="6">
        <v>42719</v>
      </c>
      <c r="B3002" s="7">
        <v>104.72450000000001</v>
      </c>
      <c r="C3002" s="8">
        <f t="shared" si="23"/>
        <v>135.07822616265915</v>
      </c>
      <c r="D3002" s="9">
        <f t="shared" si="22"/>
        <v>69.954365802935172</v>
      </c>
      <c r="E3002" s="9"/>
      <c r="F3002" s="9">
        <f ca="1">IFERROR(__xludf.DUMMYFUNCTION("""COMPUTED_VALUE"""),42305)</f>
        <v>42305</v>
      </c>
      <c r="G3002" s="9" t="str">
        <f ca="1">IFERROR(__xludf.DUMMYFUNCTION("""COMPUTED_VALUE"""),"1 USD = 104.9801 PKR")</f>
        <v>1 USD = 104.9801 PKR</v>
      </c>
      <c r="H3002" s="9" t="str">
        <f ca="1">IFERROR(__xludf.DUMMYFUNCTION("""COMPUTED_VALUE"""),"USD PKR rate for 28/10/2015")</f>
        <v>USD PKR rate for 28/10/2015</v>
      </c>
      <c r="I3002" s="9"/>
    </row>
    <row r="3003" spans="1:9" ht="14.25" customHeight="1" x14ac:dyDescent="0.3">
      <c r="A3003" s="6">
        <v>42720</v>
      </c>
      <c r="B3003" s="7">
        <v>104.73439999999999</v>
      </c>
      <c r="C3003" s="8">
        <f t="shared" si="23"/>
        <v>135.10238487211845</v>
      </c>
      <c r="D3003" s="9">
        <f t="shared" si="22"/>
        <v>69.957103635732437</v>
      </c>
      <c r="E3003" s="9"/>
      <c r="F3003" s="9">
        <f ca="1">IFERROR(__xludf.DUMMYFUNCTION("""COMPUTED_VALUE"""),42304)</f>
        <v>42304</v>
      </c>
      <c r="G3003" s="9" t="str">
        <f ca="1">IFERROR(__xludf.DUMMYFUNCTION("""COMPUTED_VALUE"""),"1 USD = 104.8173 PKR")</f>
        <v>1 USD = 104.8173 PKR</v>
      </c>
      <c r="H3003" s="9" t="str">
        <f ca="1">IFERROR(__xludf.DUMMYFUNCTION("""COMPUTED_VALUE"""),"USD PKR rate for 27/10/2015")</f>
        <v>USD PKR rate for 27/10/2015</v>
      </c>
      <c r="I3003" s="9"/>
    </row>
    <row r="3004" spans="1:9" ht="14.25" customHeight="1" x14ac:dyDescent="0.3">
      <c r="A3004" s="6">
        <v>42721</v>
      </c>
      <c r="B3004" s="7">
        <v>104.73439999999999</v>
      </c>
      <c r="C3004" s="8">
        <f t="shared" si="23"/>
        <v>135.12654790235749</v>
      </c>
      <c r="D3004" s="9">
        <f t="shared" si="22"/>
        <v>69.959841468529703</v>
      </c>
      <c r="E3004" s="9"/>
      <c r="F3004" s="9">
        <f ca="1">IFERROR(__xludf.DUMMYFUNCTION("""COMPUTED_VALUE"""),42303)</f>
        <v>42303</v>
      </c>
      <c r="G3004" s="9" t="str">
        <f ca="1">IFERROR(__xludf.DUMMYFUNCTION("""COMPUTED_VALUE"""),"1 USD = 104.4742 PKR")</f>
        <v>1 USD = 104.4742 PKR</v>
      </c>
      <c r="H3004" s="9" t="str">
        <f ca="1">IFERROR(__xludf.DUMMYFUNCTION("""COMPUTED_VALUE"""),"USD PKR rate for 26/10/2015")</f>
        <v>USD PKR rate for 26/10/2015</v>
      </c>
      <c r="I3004" s="9"/>
    </row>
    <row r="3005" spans="1:9" ht="14.25" customHeight="1" x14ac:dyDescent="0.3">
      <c r="A3005" s="6">
        <v>42722</v>
      </c>
      <c r="B3005" s="7">
        <v>104.81229999999999</v>
      </c>
      <c r="C3005" s="8">
        <f t="shared" si="23"/>
        <v>135.15071525414885</v>
      </c>
      <c r="D3005" s="9">
        <f t="shared" si="22"/>
        <v>69.962579301326969</v>
      </c>
      <c r="E3005" s="9"/>
      <c r="F3005" s="9">
        <f ca="1">IFERROR(__xludf.DUMMYFUNCTION("""COMPUTED_VALUE"""),42302)</f>
        <v>42302</v>
      </c>
      <c r="G3005" s="9" t="str">
        <f ca="1">IFERROR(__xludf.DUMMYFUNCTION("""COMPUTED_VALUE"""),"1 USD = 104.4411 PKR")</f>
        <v>1 USD = 104.4411 PKR</v>
      </c>
      <c r="H3005" s="9" t="str">
        <f ca="1">IFERROR(__xludf.DUMMYFUNCTION("""COMPUTED_VALUE"""),"USD PKR rate for 25/10/2015")</f>
        <v>USD PKR rate for 25/10/2015</v>
      </c>
      <c r="I3005" s="9"/>
    </row>
    <row r="3006" spans="1:9" ht="14.25" customHeight="1" x14ac:dyDescent="0.3">
      <c r="A3006" s="6">
        <v>42723</v>
      </c>
      <c r="B3006" s="7">
        <v>104.82240000000002</v>
      </c>
      <c r="C3006" s="8">
        <f t="shared" si="23"/>
        <v>135.17488692826549</v>
      </c>
      <c r="D3006" s="9">
        <f t="shared" si="22"/>
        <v>69.965317134124234</v>
      </c>
      <c r="E3006" s="9"/>
      <c r="F3006" s="9">
        <f ca="1">IFERROR(__xludf.DUMMYFUNCTION("""COMPUTED_VALUE"""),42301)</f>
        <v>42301</v>
      </c>
      <c r="G3006" s="9" t="str">
        <f ca="1">IFERROR(__xludf.DUMMYFUNCTION("""COMPUTED_VALUE"""),"1 USD = 104.461 PKR")</f>
        <v>1 USD = 104.461 PKR</v>
      </c>
      <c r="H3006" s="9" t="str">
        <f ca="1">IFERROR(__xludf.DUMMYFUNCTION("""COMPUTED_VALUE"""),"USD PKR rate for 24/10/2015")</f>
        <v>USD PKR rate for 24/10/2015</v>
      </c>
      <c r="I3006" s="9"/>
    </row>
    <row r="3007" spans="1:9" ht="14.25" customHeight="1" x14ac:dyDescent="0.3">
      <c r="A3007" s="6">
        <v>42724</v>
      </c>
      <c r="B3007" s="7">
        <v>104.7221</v>
      </c>
      <c r="C3007" s="8">
        <f t="shared" si="23"/>
        <v>135.19906292548046</v>
      </c>
      <c r="D3007" s="9">
        <f t="shared" si="22"/>
        <v>69.9680549669215</v>
      </c>
      <c r="E3007" s="9"/>
      <c r="F3007" s="9">
        <f ca="1">IFERROR(__xludf.DUMMYFUNCTION("""COMPUTED_VALUE"""),42300)</f>
        <v>42300</v>
      </c>
      <c r="G3007" s="9" t="str">
        <f ca="1">IFERROR(__xludf.DUMMYFUNCTION("""COMPUTED_VALUE"""),"1 USD = 104.4465 PKR")</f>
        <v>1 USD = 104.4465 PKR</v>
      </c>
      <c r="H3007" s="9" t="str">
        <f ca="1">IFERROR(__xludf.DUMMYFUNCTION("""COMPUTED_VALUE"""),"USD PKR rate for 23/10/2015")</f>
        <v>USD PKR rate for 23/10/2015</v>
      </c>
      <c r="I3007" s="9"/>
    </row>
    <row r="3008" spans="1:9" ht="14.25" customHeight="1" x14ac:dyDescent="0.3">
      <c r="A3008" s="6">
        <v>42725</v>
      </c>
      <c r="B3008" s="7">
        <v>104.68940000000001</v>
      </c>
      <c r="C3008" s="8">
        <f t="shared" si="23"/>
        <v>135.22324324656691</v>
      </c>
      <c r="D3008" s="9">
        <f t="shared" si="22"/>
        <v>69.970792799718765</v>
      </c>
      <c r="E3008" s="9"/>
      <c r="F3008" s="9">
        <f ca="1">IFERROR(__xludf.DUMMYFUNCTION("""COMPUTED_VALUE"""),42299)</f>
        <v>42299</v>
      </c>
      <c r="G3008" s="9" t="str">
        <f ca="1">IFERROR(__xludf.DUMMYFUNCTION("""COMPUTED_VALUE"""),"1 USD = 104.4391 PKR")</f>
        <v>1 USD = 104.4391 PKR</v>
      </c>
      <c r="H3008" s="9" t="str">
        <f ca="1">IFERROR(__xludf.DUMMYFUNCTION("""COMPUTED_VALUE"""),"USD PKR rate for 22/10/2015")</f>
        <v>USD PKR rate for 22/10/2015</v>
      </c>
      <c r="I3008" s="9"/>
    </row>
    <row r="3009" spans="1:9" ht="14.25" customHeight="1" x14ac:dyDescent="0.3">
      <c r="A3009" s="6">
        <v>42726</v>
      </c>
      <c r="B3009" s="7">
        <v>104.96980000000001</v>
      </c>
      <c r="C3009" s="8">
        <f t="shared" si="23"/>
        <v>135.24742789229822</v>
      </c>
      <c r="D3009" s="9">
        <f t="shared" si="22"/>
        <v>69.973530632516031</v>
      </c>
      <c r="E3009" s="9"/>
      <c r="F3009" s="9">
        <f ca="1">IFERROR(__xludf.DUMMYFUNCTION("""COMPUTED_VALUE"""),42298)</f>
        <v>42298</v>
      </c>
      <c r="G3009" s="9" t="str">
        <f ca="1">IFERROR(__xludf.DUMMYFUNCTION("""COMPUTED_VALUE"""),"1 USD = 104.416 PKR")</f>
        <v>1 USD = 104.416 PKR</v>
      </c>
      <c r="H3009" s="9" t="str">
        <f ca="1">IFERROR(__xludf.DUMMYFUNCTION("""COMPUTED_VALUE"""),"USD PKR rate for 21/10/2015")</f>
        <v>USD PKR rate for 21/10/2015</v>
      </c>
      <c r="I3009" s="9"/>
    </row>
    <row r="3010" spans="1:9" ht="14.25" customHeight="1" x14ac:dyDescent="0.3">
      <c r="A3010" s="6">
        <v>42727</v>
      </c>
      <c r="B3010" s="7">
        <v>104.8569</v>
      </c>
      <c r="C3010" s="8">
        <f t="shared" si="23"/>
        <v>135.27161686344778</v>
      </c>
      <c r="D3010" s="9">
        <f t="shared" si="22"/>
        <v>69.976268465313296</v>
      </c>
      <c r="E3010" s="9"/>
      <c r="F3010" s="9">
        <f ca="1">IFERROR(__xludf.DUMMYFUNCTION("""COMPUTED_VALUE"""),42297)</f>
        <v>42297</v>
      </c>
      <c r="G3010" s="9" t="str">
        <f ca="1">IFERROR(__xludf.DUMMYFUNCTION("""COMPUTED_VALUE"""),"1 USD = 104.3913 PKR")</f>
        <v>1 USD = 104.3913 PKR</v>
      </c>
      <c r="H3010" s="9" t="str">
        <f ca="1">IFERROR(__xludf.DUMMYFUNCTION("""COMPUTED_VALUE"""),"USD PKR rate for 20/10/2015")</f>
        <v>USD PKR rate for 20/10/2015</v>
      </c>
      <c r="I3010" s="9"/>
    </row>
    <row r="3011" spans="1:9" ht="14.25" customHeight="1" x14ac:dyDescent="0.3">
      <c r="A3011" s="6">
        <v>42728</v>
      </c>
      <c r="B3011" s="7">
        <v>104.8669</v>
      </c>
      <c r="C3011" s="8">
        <f t="shared" si="23"/>
        <v>135.29581016078927</v>
      </c>
      <c r="D3011" s="9">
        <f t="shared" si="22"/>
        <v>69.979006298110562</v>
      </c>
      <c r="E3011" s="9"/>
      <c r="F3011" s="9">
        <f ca="1">IFERROR(__xludf.DUMMYFUNCTION("""COMPUTED_VALUE"""),42296)</f>
        <v>42296</v>
      </c>
      <c r="G3011" s="9" t="str">
        <f ca="1">IFERROR(__xludf.DUMMYFUNCTION("""COMPUTED_VALUE"""),"1 USD = 104.4197 PKR")</f>
        <v>1 USD = 104.4197 PKR</v>
      </c>
      <c r="H3011" s="9" t="str">
        <f ca="1">IFERROR(__xludf.DUMMYFUNCTION("""COMPUTED_VALUE"""),"USD PKR rate for 19/10/2015")</f>
        <v>USD PKR rate for 19/10/2015</v>
      </c>
      <c r="I3011" s="9"/>
    </row>
    <row r="3012" spans="1:9" ht="14.25" customHeight="1" x14ac:dyDescent="0.3">
      <c r="A3012" s="6">
        <v>42729</v>
      </c>
      <c r="B3012" s="7">
        <v>104.8154</v>
      </c>
      <c r="C3012" s="8">
        <f t="shared" si="23"/>
        <v>135.32000778509624</v>
      </c>
      <c r="D3012" s="9">
        <f t="shared" si="22"/>
        <v>69.981744130907828</v>
      </c>
      <c r="E3012" s="9"/>
      <c r="F3012" s="9">
        <f ca="1">IFERROR(__xludf.DUMMYFUNCTION("""COMPUTED_VALUE"""),42295)</f>
        <v>42295</v>
      </c>
      <c r="G3012" s="9" t="str">
        <f ca="1">IFERROR(__xludf.DUMMYFUNCTION("""COMPUTED_VALUE"""),"1 USD = 104.3738 PKR")</f>
        <v>1 USD = 104.3738 PKR</v>
      </c>
      <c r="H3012" s="9" t="str">
        <f ca="1">IFERROR(__xludf.DUMMYFUNCTION("""COMPUTED_VALUE"""),"USD PKR rate for 18/10/2015")</f>
        <v>USD PKR rate for 18/10/2015</v>
      </c>
      <c r="I3012" s="9"/>
    </row>
    <row r="3013" spans="1:9" ht="14.25" customHeight="1" x14ac:dyDescent="0.3">
      <c r="A3013" s="6">
        <v>42730</v>
      </c>
      <c r="B3013" s="7">
        <v>104.7197</v>
      </c>
      <c r="C3013" s="8">
        <f t="shared" si="23"/>
        <v>135.34420973714282</v>
      </c>
      <c r="D3013" s="9">
        <f t="shared" si="22"/>
        <v>69.984481963705093</v>
      </c>
      <c r="E3013" s="9"/>
      <c r="F3013" s="9">
        <f ca="1">IFERROR(__xludf.DUMMYFUNCTION("""COMPUTED_VALUE"""),42294)</f>
        <v>42294</v>
      </c>
      <c r="G3013" s="9" t="str">
        <f ca="1">IFERROR(__xludf.DUMMYFUNCTION("""COMPUTED_VALUE"""),"1 USD = 104.4334 PKR")</f>
        <v>1 USD = 104.4334 PKR</v>
      </c>
      <c r="H3013" s="9" t="str">
        <f ca="1">IFERROR(__xludf.DUMMYFUNCTION("""COMPUTED_VALUE"""),"USD PKR rate for 17/10/2015")</f>
        <v>USD PKR rate for 17/10/2015</v>
      </c>
      <c r="I3013" s="9"/>
    </row>
    <row r="3014" spans="1:9" ht="14.25" customHeight="1" x14ac:dyDescent="0.3">
      <c r="A3014" s="6">
        <v>42731</v>
      </c>
      <c r="B3014" s="7">
        <v>104.72750000000001</v>
      </c>
      <c r="C3014" s="8">
        <f t="shared" si="23"/>
        <v>135.36841601770294</v>
      </c>
      <c r="D3014" s="9">
        <f t="shared" si="22"/>
        <v>69.987219796502359</v>
      </c>
      <c r="E3014" s="9"/>
      <c r="F3014" s="9">
        <f ca="1">IFERROR(__xludf.DUMMYFUNCTION("""COMPUTED_VALUE"""),42293)</f>
        <v>42293</v>
      </c>
      <c r="G3014" s="9" t="str">
        <f ca="1">IFERROR(__xludf.DUMMYFUNCTION("""COMPUTED_VALUE"""),"1 USD = 104.4393 PKR")</f>
        <v>1 USD = 104.4393 PKR</v>
      </c>
      <c r="H3014" s="9" t="str">
        <f ca="1">IFERROR(__xludf.DUMMYFUNCTION("""COMPUTED_VALUE"""),"USD PKR rate for 16/10/2015")</f>
        <v>USD PKR rate for 16/10/2015</v>
      </c>
      <c r="I3014" s="9"/>
    </row>
    <row r="3015" spans="1:9" ht="14.25" customHeight="1" x14ac:dyDescent="0.3">
      <c r="A3015" s="6">
        <v>42732</v>
      </c>
      <c r="B3015" s="7">
        <v>104.85480000000001</v>
      </c>
      <c r="C3015" s="8">
        <f t="shared" si="23"/>
        <v>135.39262662755073</v>
      </c>
      <c r="D3015" s="9">
        <f t="shared" si="22"/>
        <v>69.989957629299624</v>
      </c>
      <c r="E3015" s="9"/>
      <c r="F3015" s="9">
        <f ca="1">IFERROR(__xludf.DUMMYFUNCTION("""COMPUTED_VALUE"""),42292)</f>
        <v>42292</v>
      </c>
      <c r="G3015" s="9" t="str">
        <f ca="1">IFERROR(__xludf.DUMMYFUNCTION("""COMPUTED_VALUE"""),"1 USD = 104.337 PKR")</f>
        <v>1 USD = 104.337 PKR</v>
      </c>
      <c r="H3015" s="9" t="str">
        <f ca="1">IFERROR(__xludf.DUMMYFUNCTION("""COMPUTED_VALUE"""),"USD PKR rate for 15/10/2015")</f>
        <v>USD PKR rate for 15/10/2015</v>
      </c>
      <c r="I3015" s="9"/>
    </row>
    <row r="3016" spans="1:9" ht="14.25" customHeight="1" x14ac:dyDescent="0.3">
      <c r="A3016" s="6">
        <v>42733</v>
      </c>
      <c r="B3016" s="7">
        <v>104.4996</v>
      </c>
      <c r="C3016" s="8">
        <f t="shared" si="23"/>
        <v>135.41684156746047</v>
      </c>
      <c r="D3016" s="9">
        <f t="shared" si="22"/>
        <v>69.99269546209689</v>
      </c>
      <c r="E3016" s="9"/>
      <c r="F3016" s="9">
        <f ca="1">IFERROR(__xludf.DUMMYFUNCTION("""COMPUTED_VALUE"""),42291)</f>
        <v>42291</v>
      </c>
      <c r="G3016" s="9" t="str">
        <f ca="1">IFERROR(__xludf.DUMMYFUNCTION("""COMPUTED_VALUE"""),"1 USD = 104.4754 PKR")</f>
        <v>1 USD = 104.4754 PKR</v>
      </c>
      <c r="H3016" s="9" t="str">
        <f ca="1">IFERROR(__xludf.DUMMYFUNCTION("""COMPUTED_VALUE"""),"USD PKR rate for 14/10/2015")</f>
        <v>USD PKR rate for 14/10/2015</v>
      </c>
      <c r="I3016" s="9"/>
    </row>
    <row r="3017" spans="1:9" ht="14.25" customHeight="1" x14ac:dyDescent="0.3">
      <c r="A3017" s="6">
        <v>42734</v>
      </c>
      <c r="B3017" s="7">
        <v>104.66379999999999</v>
      </c>
      <c r="C3017" s="8">
        <f t="shared" si="23"/>
        <v>135.4410608382066</v>
      </c>
      <c r="D3017" s="9">
        <f t="shared" si="22"/>
        <v>69.995433294894156</v>
      </c>
      <c r="E3017" s="9"/>
      <c r="F3017" s="9">
        <f ca="1">IFERROR(__xludf.DUMMYFUNCTION("""COMPUTED_VALUE"""),42290)</f>
        <v>42290</v>
      </c>
      <c r="G3017" s="9" t="str">
        <f ca="1">IFERROR(__xludf.DUMMYFUNCTION("""COMPUTED_VALUE"""),"1 USD = 104.4184 PKR")</f>
        <v>1 USD = 104.4184 PKR</v>
      </c>
      <c r="H3017" s="9" t="str">
        <f ca="1">IFERROR(__xludf.DUMMYFUNCTION("""COMPUTED_VALUE"""),"USD PKR rate for 13/10/2015")</f>
        <v>USD PKR rate for 13/10/2015</v>
      </c>
      <c r="I3017" s="9"/>
    </row>
    <row r="3018" spans="1:9" ht="14.25" customHeight="1" x14ac:dyDescent="0.3">
      <c r="A3018" s="6">
        <v>42735</v>
      </c>
      <c r="B3018" s="7">
        <v>104.7135</v>
      </c>
      <c r="C3018" s="8">
        <f t="shared" si="23"/>
        <v>135.46528444056369</v>
      </c>
      <c r="D3018" s="9">
        <f t="shared" si="22"/>
        <v>69.998171127691421</v>
      </c>
      <c r="E3018" s="9"/>
      <c r="F3018" s="9">
        <f ca="1">IFERROR(__xludf.DUMMYFUNCTION("""COMPUTED_VALUE"""),42289)</f>
        <v>42289</v>
      </c>
      <c r="G3018" s="9" t="str">
        <f ca="1">IFERROR(__xludf.DUMMYFUNCTION("""COMPUTED_VALUE"""),"1 USD = 104.4102 PKR")</f>
        <v>1 USD = 104.4102 PKR</v>
      </c>
      <c r="H3018" s="9" t="str">
        <f ca="1">IFERROR(__xludf.DUMMYFUNCTION("""COMPUTED_VALUE"""),"USD PKR rate for 12/10/2015")</f>
        <v>USD PKR rate for 12/10/2015</v>
      </c>
      <c r="I3018" s="9"/>
    </row>
    <row r="3019" spans="1:9" ht="14.25" customHeight="1" x14ac:dyDescent="0.3">
      <c r="A3019" s="6">
        <v>42736</v>
      </c>
      <c r="B3019" s="7">
        <v>104.7085</v>
      </c>
      <c r="C3019" s="8">
        <f t="shared" si="23"/>
        <v>135.48951237530645</v>
      </c>
      <c r="D3019" s="9">
        <f t="shared" si="22"/>
        <v>70.000908960488687</v>
      </c>
      <c r="E3019" s="9"/>
      <c r="F3019" s="9">
        <f ca="1">IFERROR(__xludf.DUMMYFUNCTION("""COMPUTED_VALUE"""),42288)</f>
        <v>42288</v>
      </c>
      <c r="G3019" s="9" t="str">
        <f ca="1">IFERROR(__xludf.DUMMYFUNCTION("""COMPUTED_VALUE"""),"1 USD = 104.4336 PKR")</f>
        <v>1 USD = 104.4336 PKR</v>
      </c>
      <c r="H3019" s="9" t="str">
        <f ca="1">IFERROR(__xludf.DUMMYFUNCTION("""COMPUTED_VALUE"""),"USD PKR rate for 11/10/2015")</f>
        <v>USD PKR rate for 11/10/2015</v>
      </c>
      <c r="I3019" s="9"/>
    </row>
    <row r="3020" spans="1:9" ht="14.25" customHeight="1" x14ac:dyDescent="0.3">
      <c r="A3020" s="6">
        <v>42737</v>
      </c>
      <c r="B3020" s="7">
        <v>104.49540000000002</v>
      </c>
      <c r="C3020" s="8">
        <f t="shared" si="23"/>
        <v>135.51374464320975</v>
      </c>
      <c r="D3020" s="9">
        <f t="shared" si="22"/>
        <v>70.003646793285952</v>
      </c>
      <c r="E3020" s="9"/>
      <c r="F3020" s="9">
        <f ca="1">IFERROR(__xludf.DUMMYFUNCTION("""COMPUTED_VALUE"""),42287)</f>
        <v>42287</v>
      </c>
      <c r="G3020" s="9" t="str">
        <f ca="1">IFERROR(__xludf.DUMMYFUNCTION("""COMPUTED_VALUE"""),"1 USD = 104.4404 PKR")</f>
        <v>1 USD = 104.4404 PKR</v>
      </c>
      <c r="H3020" s="9" t="str">
        <f ca="1">IFERROR(__xludf.DUMMYFUNCTION("""COMPUTED_VALUE"""),"USD PKR rate for 10/10/2015")</f>
        <v>USD PKR rate for 10/10/2015</v>
      </c>
      <c r="I3020" s="9"/>
    </row>
    <row r="3021" spans="1:9" ht="14.25" customHeight="1" x14ac:dyDescent="0.3">
      <c r="A3021" s="6">
        <v>42738</v>
      </c>
      <c r="B3021" s="7">
        <v>104.69200000000001</v>
      </c>
      <c r="C3021" s="8">
        <f t="shared" si="23"/>
        <v>135.5379812450484</v>
      </c>
      <c r="D3021" s="9">
        <f t="shared" si="22"/>
        <v>70.006384626083218</v>
      </c>
      <c r="E3021" s="9"/>
      <c r="F3021" s="9">
        <f ca="1">IFERROR(__xludf.DUMMYFUNCTION("""COMPUTED_VALUE"""),42286)</f>
        <v>42286</v>
      </c>
      <c r="G3021" s="9" t="str">
        <f ca="1">IFERROR(__xludf.DUMMYFUNCTION("""COMPUTED_VALUE"""),"1 USD = 104.4461 PKR")</f>
        <v>1 USD = 104.4461 PKR</v>
      </c>
      <c r="H3021" s="9" t="str">
        <f ca="1">IFERROR(__xludf.DUMMYFUNCTION("""COMPUTED_VALUE"""),"USD PKR rate for 09/10/2015")</f>
        <v>USD PKR rate for 09/10/2015</v>
      </c>
      <c r="I3021" s="9"/>
    </row>
    <row r="3022" spans="1:9" ht="14.25" customHeight="1" x14ac:dyDescent="0.3">
      <c r="A3022" s="6">
        <v>42739</v>
      </c>
      <c r="B3022" s="7">
        <v>104.19800000000001</v>
      </c>
      <c r="C3022" s="8">
        <f t="shared" si="23"/>
        <v>135.5622221815978</v>
      </c>
      <c r="D3022" s="9">
        <f t="shared" si="22"/>
        <v>70.009122458880483</v>
      </c>
      <c r="E3022" s="9"/>
      <c r="F3022" s="9">
        <f ca="1">IFERROR(__xludf.DUMMYFUNCTION("""COMPUTED_VALUE"""),42285)</f>
        <v>42285</v>
      </c>
      <c r="G3022" s="9" t="str">
        <f ca="1">IFERROR(__xludf.DUMMYFUNCTION("""COMPUTED_VALUE"""),"1 USD = 104.4764 PKR")</f>
        <v>1 USD = 104.4764 PKR</v>
      </c>
      <c r="H3022" s="9" t="str">
        <f ca="1">IFERROR(__xludf.DUMMYFUNCTION("""COMPUTED_VALUE"""),"USD PKR rate for 08/10/2015")</f>
        <v>USD PKR rate for 08/10/2015</v>
      </c>
      <c r="I3022" s="9"/>
    </row>
    <row r="3023" spans="1:9" ht="14.25" customHeight="1" x14ac:dyDescent="0.3">
      <c r="A3023" s="6">
        <v>42740</v>
      </c>
      <c r="B3023" s="7">
        <v>103.6969</v>
      </c>
      <c r="C3023" s="8">
        <f t="shared" si="23"/>
        <v>135.58646745363311</v>
      </c>
      <c r="D3023" s="9">
        <f t="shared" si="22"/>
        <v>70.011860291677749</v>
      </c>
      <c r="E3023" s="9"/>
      <c r="F3023" s="9">
        <f ca="1">IFERROR(__xludf.DUMMYFUNCTION("""COMPUTED_VALUE"""),42284)</f>
        <v>42284</v>
      </c>
      <c r="G3023" s="9" t="str">
        <f ca="1">IFERROR(__xludf.DUMMYFUNCTION("""COMPUTED_VALUE"""),"1 USD = 104.5168 PKR")</f>
        <v>1 USD = 104.5168 PKR</v>
      </c>
      <c r="H3023" s="9" t="str">
        <f ca="1">IFERROR(__xludf.DUMMYFUNCTION("""COMPUTED_VALUE"""),"USD PKR rate for 07/10/2015")</f>
        <v>USD PKR rate for 07/10/2015</v>
      </c>
      <c r="I3023" s="9"/>
    </row>
    <row r="3024" spans="1:9" ht="14.25" customHeight="1" x14ac:dyDescent="0.3">
      <c r="A3024" s="6">
        <v>42741</v>
      </c>
      <c r="B3024" s="7">
        <v>104.82559999999999</v>
      </c>
      <c r="C3024" s="8">
        <f t="shared" si="23"/>
        <v>135.61071706192971</v>
      </c>
      <c r="D3024" s="9">
        <f t="shared" si="22"/>
        <v>70.014598124475015</v>
      </c>
      <c r="E3024" s="9"/>
      <c r="F3024" s="9">
        <f ca="1">IFERROR(__xludf.DUMMYFUNCTION("""COMPUTED_VALUE"""),42283)</f>
        <v>42283</v>
      </c>
      <c r="G3024" s="9" t="str">
        <f ca="1">IFERROR(__xludf.DUMMYFUNCTION("""COMPUTED_VALUE"""),"1 USD = 104.4264 PKR")</f>
        <v>1 USD = 104.4264 PKR</v>
      </c>
      <c r="H3024" s="9" t="str">
        <f ca="1">IFERROR(__xludf.DUMMYFUNCTION("""COMPUTED_VALUE"""),"USD PKR rate for 06/10/2015")</f>
        <v>USD PKR rate for 06/10/2015</v>
      </c>
      <c r="I3024" s="9"/>
    </row>
    <row r="3025" spans="1:9" ht="14.25" customHeight="1" x14ac:dyDescent="0.3">
      <c r="A3025" s="6">
        <v>42742</v>
      </c>
      <c r="B3025" s="7">
        <v>104.7997</v>
      </c>
      <c r="C3025" s="8">
        <f t="shared" si="23"/>
        <v>135.63497100726312</v>
      </c>
      <c r="D3025" s="9">
        <f t="shared" si="22"/>
        <v>70.01733595727228</v>
      </c>
      <c r="E3025" s="9"/>
      <c r="F3025" s="9">
        <f ca="1">IFERROR(__xludf.DUMMYFUNCTION("""COMPUTED_VALUE"""),42282)</f>
        <v>42282</v>
      </c>
      <c r="G3025" s="9" t="str">
        <f ca="1">IFERROR(__xludf.DUMMYFUNCTION("""COMPUTED_VALUE"""),"1 USD = 104.4882 PKR")</f>
        <v>1 USD = 104.4882 PKR</v>
      </c>
      <c r="H3025" s="9" t="str">
        <f ca="1">IFERROR(__xludf.DUMMYFUNCTION("""COMPUTED_VALUE"""),"USD PKR rate for 05/10/2015")</f>
        <v>USD PKR rate for 05/10/2015</v>
      </c>
      <c r="I3025" s="9"/>
    </row>
    <row r="3026" spans="1:9" ht="14.25" customHeight="1" x14ac:dyDescent="0.3">
      <c r="A3026" s="6">
        <v>42743</v>
      </c>
      <c r="B3026" s="7">
        <v>105.17750000000001</v>
      </c>
      <c r="C3026" s="8">
        <f t="shared" si="23"/>
        <v>135.65922929040903</v>
      </c>
      <c r="D3026" s="9">
        <f t="shared" si="22"/>
        <v>70.020073790069546</v>
      </c>
      <c r="E3026" s="9"/>
      <c r="F3026" s="9">
        <f ca="1">IFERROR(__xludf.DUMMYFUNCTION("""COMPUTED_VALUE"""),42281)</f>
        <v>42281</v>
      </c>
      <c r="G3026" s="9" t="str">
        <f ca="1">IFERROR(__xludf.DUMMYFUNCTION("""COMPUTED_VALUE"""),"1 USD = 104.4541 PKR")</f>
        <v>1 USD = 104.4541 PKR</v>
      </c>
      <c r="H3026" s="9" t="str">
        <f ca="1">IFERROR(__xludf.DUMMYFUNCTION("""COMPUTED_VALUE"""),"USD PKR rate for 04/10/2015")</f>
        <v>USD PKR rate for 04/10/2015</v>
      </c>
      <c r="I3026" s="9"/>
    </row>
    <row r="3027" spans="1:9" ht="14.25" customHeight="1" x14ac:dyDescent="0.3">
      <c r="A3027" s="6">
        <v>42744</v>
      </c>
      <c r="B3027" s="7">
        <v>104.14360000000001</v>
      </c>
      <c r="C3027" s="8">
        <f t="shared" si="23"/>
        <v>135.68349191214327</v>
      </c>
      <c r="D3027" s="9">
        <f t="shared" si="22"/>
        <v>70.022811622866811</v>
      </c>
      <c r="E3027" s="9"/>
      <c r="F3027" s="9">
        <f ca="1">IFERROR(__xludf.DUMMYFUNCTION("""COMPUTED_VALUE"""),42280)</f>
        <v>42280</v>
      </c>
      <c r="G3027" s="9" t="str">
        <f ca="1">IFERROR(__xludf.DUMMYFUNCTION("""COMPUTED_VALUE"""),"1 USD = 104.4125 PKR")</f>
        <v>1 USD = 104.4125 PKR</v>
      </c>
      <c r="H3027" s="9" t="str">
        <f ca="1">IFERROR(__xludf.DUMMYFUNCTION("""COMPUTED_VALUE"""),"USD PKR rate for 03/10/2015")</f>
        <v>USD PKR rate for 03/10/2015</v>
      </c>
      <c r="I3027" s="9"/>
    </row>
    <row r="3028" spans="1:9" ht="14.25" customHeight="1" x14ac:dyDescent="0.3">
      <c r="A3028" s="6">
        <v>42745</v>
      </c>
      <c r="B3028" s="7">
        <v>104.77730000000001</v>
      </c>
      <c r="C3028" s="8">
        <f t="shared" si="23"/>
        <v>135.70775887324177</v>
      </c>
      <c r="D3028" s="9">
        <f t="shared" si="22"/>
        <v>70.025549455664077</v>
      </c>
      <c r="E3028" s="9"/>
      <c r="F3028" s="9">
        <f ca="1">IFERROR(__xludf.DUMMYFUNCTION("""COMPUTED_VALUE"""),42279)</f>
        <v>42279</v>
      </c>
      <c r="G3028" s="9" t="str">
        <f ca="1">IFERROR(__xludf.DUMMYFUNCTION("""COMPUTED_VALUE"""),"1 USD = 104.4973 PKR")</f>
        <v>1 USD = 104.4973 PKR</v>
      </c>
      <c r="H3028" s="9" t="str">
        <f ca="1">IFERROR(__xludf.DUMMYFUNCTION("""COMPUTED_VALUE"""),"USD PKR rate for 02/10/2015")</f>
        <v>USD PKR rate for 02/10/2015</v>
      </c>
      <c r="I3028" s="9"/>
    </row>
    <row r="3029" spans="1:9" ht="14.25" customHeight="1" x14ac:dyDescent="0.3">
      <c r="A3029" s="6">
        <v>42746</v>
      </c>
      <c r="B3029" s="7">
        <v>104.21550000000001</v>
      </c>
      <c r="C3029" s="8">
        <f t="shared" si="23"/>
        <v>135.73203017448068</v>
      </c>
      <c r="D3029" s="9">
        <f t="shared" si="22"/>
        <v>70.028287288461343</v>
      </c>
      <c r="E3029" s="9"/>
      <c r="F3029" s="9">
        <f ca="1">IFERROR(__xludf.DUMMYFUNCTION("""COMPUTED_VALUE"""),42278)</f>
        <v>42278</v>
      </c>
      <c r="G3029" s="9" t="str">
        <f ca="1">IFERROR(__xludf.DUMMYFUNCTION("""COMPUTED_VALUE"""),"1 USD = 104.4772 PKR")</f>
        <v>1 USD = 104.4772 PKR</v>
      </c>
      <c r="H3029" s="9" t="str">
        <f ca="1">IFERROR(__xludf.DUMMYFUNCTION("""COMPUTED_VALUE"""),"USD PKR rate for 01/10/2015")</f>
        <v>USD PKR rate for 01/10/2015</v>
      </c>
      <c r="I3029" s="9"/>
    </row>
    <row r="3030" spans="1:9" ht="14.25" customHeight="1" x14ac:dyDescent="0.3">
      <c r="A3030" s="6">
        <v>42747</v>
      </c>
      <c r="B3030" s="7">
        <v>105.06489999999999</v>
      </c>
      <c r="C3030" s="8">
        <f t="shared" si="23"/>
        <v>135.75630581663606</v>
      </c>
      <c r="D3030" s="9">
        <f t="shared" si="22"/>
        <v>70.031025121258608</v>
      </c>
      <c r="E3030" s="9"/>
      <c r="F3030" s="9">
        <f ca="1">IFERROR(__xludf.DUMMYFUNCTION("""COMPUTED_VALUE"""),42277)</f>
        <v>42277</v>
      </c>
      <c r="G3030" s="9" t="str">
        <f ca="1">IFERROR(__xludf.DUMMYFUNCTION("""COMPUTED_VALUE"""),"1 USD = 104.4269 PKR")</f>
        <v>1 USD = 104.4269 PKR</v>
      </c>
      <c r="H3030" s="9" t="str">
        <f ca="1">IFERROR(__xludf.DUMMYFUNCTION("""COMPUTED_VALUE"""),"USD PKR rate for 30/09/2015")</f>
        <v>USD PKR rate for 30/09/2015</v>
      </c>
      <c r="I3030" s="9"/>
    </row>
    <row r="3031" spans="1:9" ht="14.25" customHeight="1" x14ac:dyDescent="0.3">
      <c r="A3031" s="6">
        <v>42748</v>
      </c>
      <c r="B3031" s="7">
        <v>104.779</v>
      </c>
      <c r="C3031" s="8">
        <f t="shared" si="23"/>
        <v>135.78058580048452</v>
      </c>
      <c r="D3031" s="9">
        <f t="shared" si="22"/>
        <v>70.033762954055874</v>
      </c>
      <c r="E3031" s="9"/>
      <c r="F3031" s="9">
        <f ca="1">IFERROR(__xludf.DUMMYFUNCTION("""COMPUTED_VALUE"""),42276)</f>
        <v>42276</v>
      </c>
      <c r="G3031" s="9" t="str">
        <f ca="1">IFERROR(__xludf.DUMMYFUNCTION("""COMPUTED_VALUE"""),"1 USD = 104.4371 PKR")</f>
        <v>1 USD = 104.4371 PKR</v>
      </c>
      <c r="H3031" s="9" t="str">
        <f ca="1">IFERROR(__xludf.DUMMYFUNCTION("""COMPUTED_VALUE"""),"USD PKR rate for 29/09/2015")</f>
        <v>USD PKR rate for 29/09/2015</v>
      </c>
      <c r="I3031" s="9"/>
    </row>
    <row r="3032" spans="1:9" ht="14.25" customHeight="1" x14ac:dyDescent="0.3">
      <c r="A3032" s="6">
        <v>42749</v>
      </c>
      <c r="B3032" s="7">
        <v>104.8643</v>
      </c>
      <c r="C3032" s="8">
        <f t="shared" si="23"/>
        <v>135.80487012680246</v>
      </c>
      <c r="D3032" s="9">
        <f t="shared" si="22"/>
        <v>70.036500786853139</v>
      </c>
      <c r="E3032" s="9"/>
      <c r="F3032" s="9">
        <f ca="1">IFERROR(__xludf.DUMMYFUNCTION("""COMPUTED_VALUE"""),42275)</f>
        <v>42275</v>
      </c>
      <c r="G3032" s="9" t="str">
        <f ca="1">IFERROR(__xludf.DUMMYFUNCTION("""COMPUTED_VALUE"""),"1 USD = 104.4676 PKR")</f>
        <v>1 USD = 104.4676 PKR</v>
      </c>
      <c r="H3032" s="9" t="str">
        <f ca="1">IFERROR(__xludf.DUMMYFUNCTION("""COMPUTED_VALUE"""),"USD PKR rate for 28/09/2015")</f>
        <v>USD PKR rate for 28/09/2015</v>
      </c>
      <c r="I3032" s="9"/>
    </row>
    <row r="3033" spans="1:9" ht="14.25" customHeight="1" x14ac:dyDescent="0.3">
      <c r="A3033" s="6">
        <v>42750</v>
      </c>
      <c r="B3033" s="7">
        <v>104.8</v>
      </c>
      <c r="C3033" s="8">
        <f t="shared" si="23"/>
        <v>135.82915879636656</v>
      </c>
      <c r="D3033" s="9">
        <f t="shared" si="22"/>
        <v>70.039238619650405</v>
      </c>
      <c r="E3033" s="9"/>
      <c r="F3033" s="9">
        <f ca="1">IFERROR(__xludf.DUMMYFUNCTION("""COMPUTED_VALUE"""),42274)</f>
        <v>42274</v>
      </c>
      <c r="G3033" s="9" t="str">
        <f ca="1">IFERROR(__xludf.DUMMYFUNCTION("""COMPUTED_VALUE"""),"1 USD = 104.4015 PKR")</f>
        <v>1 USD = 104.4015 PKR</v>
      </c>
      <c r="H3033" s="9" t="str">
        <f ca="1">IFERROR(__xludf.DUMMYFUNCTION("""COMPUTED_VALUE"""),"USD PKR rate for 27/09/2015")</f>
        <v>USD PKR rate for 27/09/2015</v>
      </c>
      <c r="I3033" s="9"/>
    </row>
    <row r="3034" spans="1:9" ht="14.25" customHeight="1" x14ac:dyDescent="0.3">
      <c r="A3034" s="6">
        <v>42751</v>
      </c>
      <c r="B3034" s="7">
        <v>104.6889</v>
      </c>
      <c r="C3034" s="8">
        <f t="shared" si="23"/>
        <v>135.85345180995355</v>
      </c>
      <c r="D3034" s="9">
        <f t="shared" si="22"/>
        <v>70.04197645244767</v>
      </c>
      <c r="E3034" s="9"/>
      <c r="F3034" s="9">
        <f ca="1">IFERROR(__xludf.DUMMYFUNCTION("""COMPUTED_VALUE"""),42273)</f>
        <v>42273</v>
      </c>
      <c r="G3034" s="9" t="str">
        <f ca="1">IFERROR(__xludf.DUMMYFUNCTION("""COMPUTED_VALUE"""),"1 USD = 104.4874 PKR")</f>
        <v>1 USD = 104.4874 PKR</v>
      </c>
      <c r="H3034" s="9" t="str">
        <f ca="1">IFERROR(__xludf.DUMMYFUNCTION("""COMPUTED_VALUE"""),"USD PKR rate for 26/09/2015")</f>
        <v>USD PKR rate for 26/09/2015</v>
      </c>
      <c r="I3034" s="9"/>
    </row>
    <row r="3035" spans="1:9" ht="14.25" customHeight="1" x14ac:dyDescent="0.3">
      <c r="A3035" s="6">
        <v>42752</v>
      </c>
      <c r="B3035" s="7">
        <v>104.8357</v>
      </c>
      <c r="C3035" s="8">
        <f t="shared" si="23"/>
        <v>135.87774916834044</v>
      </c>
      <c r="D3035" s="9">
        <f t="shared" si="22"/>
        <v>70.044714285244936</v>
      </c>
      <c r="E3035" s="9"/>
      <c r="F3035" s="9">
        <f ca="1">IFERROR(__xludf.DUMMYFUNCTION("""COMPUTED_VALUE"""),42272)</f>
        <v>42272</v>
      </c>
      <c r="G3035" s="9" t="str">
        <f ca="1">IFERROR(__xludf.DUMMYFUNCTION("""COMPUTED_VALUE"""),"1 USD = 104.4015 PKR")</f>
        <v>1 USD = 104.4015 PKR</v>
      </c>
      <c r="H3035" s="9" t="str">
        <f ca="1">IFERROR(__xludf.DUMMYFUNCTION("""COMPUTED_VALUE"""),"USD PKR rate for 25/09/2015")</f>
        <v>USD PKR rate for 25/09/2015</v>
      </c>
      <c r="I3035" s="9"/>
    </row>
    <row r="3036" spans="1:9" ht="14.25" customHeight="1" x14ac:dyDescent="0.3">
      <c r="A3036" s="6">
        <v>42753</v>
      </c>
      <c r="B3036" s="7">
        <v>104.7814</v>
      </c>
      <c r="C3036" s="8">
        <f t="shared" si="23"/>
        <v>135.90205087230424</v>
      </c>
      <c r="D3036" s="9">
        <f t="shared" si="22"/>
        <v>70.047452118042202</v>
      </c>
      <c r="E3036" s="9"/>
      <c r="F3036" s="9">
        <f ca="1">IFERROR(__xludf.DUMMYFUNCTION("""COMPUTED_VALUE"""),42271)</f>
        <v>42271</v>
      </c>
      <c r="G3036" s="9" t="str">
        <f ca="1">IFERROR(__xludf.DUMMYFUNCTION("""COMPUTED_VALUE"""),"1 USD = 104.4307 PKR")</f>
        <v>1 USD = 104.4307 PKR</v>
      </c>
      <c r="H3036" s="9" t="str">
        <f ca="1">IFERROR(__xludf.DUMMYFUNCTION("""COMPUTED_VALUE"""),"USD PKR rate for 24/09/2015")</f>
        <v>USD PKR rate for 24/09/2015</v>
      </c>
      <c r="I3036" s="9"/>
    </row>
    <row r="3037" spans="1:9" ht="14.25" customHeight="1" x14ac:dyDescent="0.3">
      <c r="A3037" s="6">
        <v>42754</v>
      </c>
      <c r="B3037" s="7">
        <v>104.79470000000002</v>
      </c>
      <c r="C3037" s="8">
        <f t="shared" si="23"/>
        <v>135.92635692262215</v>
      </c>
      <c r="D3037" s="9">
        <f t="shared" si="22"/>
        <v>70.050189950839467</v>
      </c>
      <c r="E3037" s="9"/>
      <c r="F3037" s="9">
        <f ca="1">IFERROR(__xludf.DUMMYFUNCTION("""COMPUTED_VALUE"""),42270)</f>
        <v>42270</v>
      </c>
      <c r="G3037" s="9" t="str">
        <f ca="1">IFERROR(__xludf.DUMMYFUNCTION("""COMPUTED_VALUE"""),"1 USD = 104.3918 PKR")</f>
        <v>1 USD = 104.3918 PKR</v>
      </c>
      <c r="H3037" s="9" t="str">
        <f ca="1">IFERROR(__xludf.DUMMYFUNCTION("""COMPUTED_VALUE"""),"USD PKR rate for 23/09/2015")</f>
        <v>USD PKR rate for 23/09/2015</v>
      </c>
      <c r="I3037" s="9"/>
    </row>
    <row r="3038" spans="1:9" ht="14.25" customHeight="1" x14ac:dyDescent="0.3">
      <c r="A3038" s="6">
        <v>42755</v>
      </c>
      <c r="B3038" s="7">
        <v>104.2128</v>
      </c>
      <c r="C3038" s="8">
        <f t="shared" si="23"/>
        <v>135.95066732007152</v>
      </c>
      <c r="D3038" s="9">
        <f t="shared" si="22"/>
        <v>70.052927783636733</v>
      </c>
      <c r="E3038" s="9"/>
      <c r="F3038" s="9">
        <f ca="1">IFERROR(__xludf.DUMMYFUNCTION("""COMPUTED_VALUE"""),42269)</f>
        <v>42269</v>
      </c>
      <c r="G3038" s="9" t="str">
        <f ca="1">IFERROR(__xludf.DUMMYFUNCTION("""COMPUTED_VALUE"""),"1 USD = 104.5027 PKR")</f>
        <v>1 USD = 104.5027 PKR</v>
      </c>
      <c r="H3038" s="9" t="str">
        <f ca="1">IFERROR(__xludf.DUMMYFUNCTION("""COMPUTED_VALUE"""),"USD PKR rate for 22/09/2015")</f>
        <v>USD PKR rate for 22/09/2015</v>
      </c>
      <c r="I3038" s="9"/>
    </row>
    <row r="3039" spans="1:9" ht="14.25" customHeight="1" x14ac:dyDescent="0.3">
      <c r="A3039" s="6">
        <v>42756</v>
      </c>
      <c r="B3039" s="7">
        <v>104.30589999999999</v>
      </c>
      <c r="C3039" s="8">
        <f t="shared" si="23"/>
        <v>135.97498206542974</v>
      </c>
      <c r="D3039" s="9">
        <f t="shared" si="22"/>
        <v>70.055665616433998</v>
      </c>
      <c r="E3039" s="9"/>
      <c r="F3039" s="9">
        <f ca="1">IFERROR(__xludf.DUMMYFUNCTION("""COMPUTED_VALUE"""),42268)</f>
        <v>42268</v>
      </c>
      <c r="G3039" s="9" t="str">
        <f ca="1">IFERROR(__xludf.DUMMYFUNCTION("""COMPUTED_VALUE"""),"1 USD = 104.3532 PKR")</f>
        <v>1 USD = 104.3532 PKR</v>
      </c>
      <c r="H3039" s="9" t="str">
        <f ca="1">IFERROR(__xludf.DUMMYFUNCTION("""COMPUTED_VALUE"""),"USD PKR rate for 21/09/2015")</f>
        <v>USD PKR rate for 21/09/2015</v>
      </c>
      <c r="I3039" s="9"/>
    </row>
    <row r="3040" spans="1:9" ht="14.25" customHeight="1" x14ac:dyDescent="0.3">
      <c r="A3040" s="6">
        <v>42757</v>
      </c>
      <c r="B3040" s="7">
        <v>104.295</v>
      </c>
      <c r="C3040" s="8">
        <f t="shared" si="23"/>
        <v>135.99930115947464</v>
      </c>
      <c r="D3040" s="9">
        <f t="shared" si="22"/>
        <v>70.058403449231264</v>
      </c>
      <c r="E3040" s="9"/>
      <c r="F3040" s="9">
        <f ca="1">IFERROR(__xludf.DUMMYFUNCTION("""COMPUTED_VALUE"""),42267)</f>
        <v>42267</v>
      </c>
      <c r="G3040" s="9" t="str">
        <f ca="1">IFERROR(__xludf.DUMMYFUNCTION("""COMPUTED_VALUE"""),"1 USD = 104.4501 PKR")</f>
        <v>1 USD = 104.4501 PKR</v>
      </c>
      <c r="H3040" s="9" t="str">
        <f ca="1">IFERROR(__xludf.DUMMYFUNCTION("""COMPUTED_VALUE"""),"USD PKR rate for 20/09/2015")</f>
        <v>USD PKR rate for 20/09/2015</v>
      </c>
      <c r="I3040" s="9"/>
    </row>
    <row r="3041" spans="1:9" ht="14.25" customHeight="1" x14ac:dyDescent="0.3">
      <c r="A3041" s="6">
        <v>42758</v>
      </c>
      <c r="B3041" s="7">
        <v>104.4889</v>
      </c>
      <c r="C3041" s="8">
        <f t="shared" si="23"/>
        <v>136.02362460298389</v>
      </c>
      <c r="D3041" s="9">
        <f t="shared" si="22"/>
        <v>70.06114128202853</v>
      </c>
      <c r="E3041" s="9"/>
      <c r="F3041" s="9">
        <f ca="1">IFERROR(__xludf.DUMMYFUNCTION("""COMPUTED_VALUE"""),42266)</f>
        <v>42266</v>
      </c>
      <c r="G3041" s="9" t="str">
        <f ca="1">IFERROR(__xludf.DUMMYFUNCTION("""COMPUTED_VALUE"""),"1 USD = 104.3286 PKR")</f>
        <v>1 USD = 104.3286 PKR</v>
      </c>
      <c r="H3041" s="9" t="str">
        <f ca="1">IFERROR(__xludf.DUMMYFUNCTION("""COMPUTED_VALUE"""),"USD PKR rate for 19/09/2015")</f>
        <v>USD PKR rate for 19/09/2015</v>
      </c>
      <c r="I3041" s="9"/>
    </row>
    <row r="3042" spans="1:9" ht="14.25" customHeight="1" x14ac:dyDescent="0.3">
      <c r="A3042" s="6">
        <v>42759</v>
      </c>
      <c r="B3042" s="7">
        <v>104.8122</v>
      </c>
      <c r="C3042" s="8">
        <f t="shared" si="23"/>
        <v>136.04795239673538</v>
      </c>
      <c r="D3042" s="9">
        <f t="shared" si="22"/>
        <v>70.063879114825795</v>
      </c>
      <c r="E3042" s="9"/>
      <c r="F3042" s="9">
        <f ca="1">IFERROR(__xludf.DUMMYFUNCTION("""COMPUTED_VALUE"""),42265)</f>
        <v>42265</v>
      </c>
      <c r="G3042" s="9" t="str">
        <f ca="1">IFERROR(__xludf.DUMMYFUNCTION("""COMPUTED_VALUE"""),"1 USD = 104.3497 PKR")</f>
        <v>1 USD = 104.3497 PKR</v>
      </c>
      <c r="H3042" s="9" t="str">
        <f ca="1">IFERROR(__xludf.DUMMYFUNCTION("""COMPUTED_VALUE"""),"USD PKR rate for 18/09/2015")</f>
        <v>USD PKR rate for 18/09/2015</v>
      </c>
      <c r="I3042" s="9"/>
    </row>
    <row r="3043" spans="1:9" ht="14.25" customHeight="1" x14ac:dyDescent="0.3">
      <c r="A3043" s="6">
        <v>42760</v>
      </c>
      <c r="B3043" s="7">
        <v>104.8113</v>
      </c>
      <c r="C3043" s="8">
        <f t="shared" si="23"/>
        <v>136.07228454150714</v>
      </c>
      <c r="D3043" s="9">
        <f t="shared" si="22"/>
        <v>70.066616947623061</v>
      </c>
      <c r="E3043" s="9"/>
      <c r="F3043" s="9">
        <f ca="1">IFERROR(__xludf.DUMMYFUNCTION("""COMPUTED_VALUE"""),42264)</f>
        <v>42264</v>
      </c>
      <c r="G3043" s="9" t="str">
        <f ca="1">IFERROR(__xludf.DUMMYFUNCTION("""COMPUTED_VALUE"""),"1 USD = 104.4116 PKR")</f>
        <v>1 USD = 104.4116 PKR</v>
      </c>
      <c r="H3043" s="9" t="str">
        <f ca="1">IFERROR(__xludf.DUMMYFUNCTION("""COMPUTED_VALUE"""),"USD PKR rate for 17/09/2015")</f>
        <v>USD PKR rate for 17/09/2015</v>
      </c>
      <c r="I3043" s="9"/>
    </row>
    <row r="3044" spans="1:9" ht="14.25" customHeight="1" x14ac:dyDescent="0.3">
      <c r="A3044" s="6">
        <v>42761</v>
      </c>
      <c r="B3044" s="7">
        <v>105.2658</v>
      </c>
      <c r="C3044" s="8">
        <f t="shared" si="23"/>
        <v>136.09662103807736</v>
      </c>
      <c r="D3044" s="9">
        <f t="shared" si="22"/>
        <v>70.069354780420326</v>
      </c>
      <c r="E3044" s="9"/>
      <c r="F3044" s="9">
        <f ca="1">IFERROR(__xludf.DUMMYFUNCTION("""COMPUTED_VALUE"""),42263)</f>
        <v>42263</v>
      </c>
      <c r="G3044" s="9" t="str">
        <f ca="1">IFERROR(__xludf.DUMMYFUNCTION("""COMPUTED_VALUE"""),"1 USD = 104.3362 PKR")</f>
        <v>1 USD = 104.3362 PKR</v>
      </c>
      <c r="H3044" s="9" t="str">
        <f ca="1">IFERROR(__xludf.DUMMYFUNCTION("""COMPUTED_VALUE"""),"USD PKR rate for 16/09/2015")</f>
        <v>USD PKR rate for 16/09/2015</v>
      </c>
      <c r="I3044" s="9"/>
    </row>
    <row r="3045" spans="1:9" ht="14.25" customHeight="1" x14ac:dyDescent="0.3">
      <c r="A3045" s="6">
        <v>42762</v>
      </c>
      <c r="B3045" s="7">
        <v>104.7996</v>
      </c>
      <c r="C3045" s="8">
        <f t="shared" si="23"/>
        <v>136.12096188722435</v>
      </c>
      <c r="D3045" s="9">
        <f t="shared" si="22"/>
        <v>70.072092613217592</v>
      </c>
      <c r="E3045" s="9"/>
      <c r="F3045" s="9">
        <f ca="1">IFERROR(__xludf.DUMMYFUNCTION("""COMPUTED_VALUE"""),42262)</f>
        <v>42262</v>
      </c>
      <c r="G3045" s="9" t="str">
        <f ca="1">IFERROR(__xludf.DUMMYFUNCTION("""COMPUTED_VALUE"""),"1 USD = 104.2736 PKR")</f>
        <v>1 USD = 104.2736 PKR</v>
      </c>
      <c r="H3045" s="9" t="str">
        <f ca="1">IFERROR(__xludf.DUMMYFUNCTION("""COMPUTED_VALUE"""),"USD PKR rate for 15/09/2015")</f>
        <v>USD PKR rate for 15/09/2015</v>
      </c>
      <c r="I3045" s="9"/>
    </row>
    <row r="3046" spans="1:9" ht="14.25" customHeight="1" x14ac:dyDescent="0.3">
      <c r="A3046" s="6">
        <v>42763</v>
      </c>
      <c r="B3046" s="7">
        <v>104.7814</v>
      </c>
      <c r="C3046" s="8">
        <f t="shared" si="23"/>
        <v>136.14530708972657</v>
      </c>
      <c r="D3046" s="9">
        <f t="shared" si="22"/>
        <v>70.074830446014857</v>
      </c>
      <c r="E3046" s="9"/>
      <c r="F3046" s="9">
        <f ca="1">IFERROR(__xludf.DUMMYFUNCTION("""COMPUTED_VALUE"""),42261)</f>
        <v>42261</v>
      </c>
      <c r="G3046" s="9" t="str">
        <f ca="1">IFERROR(__xludf.DUMMYFUNCTION("""COMPUTED_VALUE"""),"1 USD = 104.3979 PKR")</f>
        <v>1 USD = 104.3979 PKR</v>
      </c>
      <c r="H3046" s="9" t="str">
        <f ca="1">IFERROR(__xludf.DUMMYFUNCTION("""COMPUTED_VALUE"""),"USD PKR rate for 14/09/2015")</f>
        <v>USD PKR rate for 14/09/2015</v>
      </c>
      <c r="I3046" s="9"/>
    </row>
    <row r="3047" spans="1:9" ht="14.25" customHeight="1" x14ac:dyDescent="0.3">
      <c r="A3047" s="6">
        <v>42764</v>
      </c>
      <c r="B3047" s="7">
        <v>104.8103</v>
      </c>
      <c r="C3047" s="8">
        <f t="shared" si="23"/>
        <v>136.1696566463626</v>
      </c>
      <c r="D3047" s="9">
        <f t="shared" si="22"/>
        <v>70.077568278812123</v>
      </c>
      <c r="E3047" s="9"/>
      <c r="F3047" s="9">
        <f ca="1">IFERROR(__xludf.DUMMYFUNCTION("""COMPUTED_VALUE"""),42260)</f>
        <v>42260</v>
      </c>
      <c r="G3047" s="9" t="str">
        <f ca="1">IFERROR(__xludf.DUMMYFUNCTION("""COMPUTED_VALUE"""),"1 USD = 104.4367 PKR")</f>
        <v>1 USD = 104.4367 PKR</v>
      </c>
      <c r="H3047" s="9" t="str">
        <f ca="1">IFERROR(__xludf.DUMMYFUNCTION("""COMPUTED_VALUE"""),"USD PKR rate for 13/09/2015")</f>
        <v>USD PKR rate for 13/09/2015</v>
      </c>
      <c r="I3047" s="9"/>
    </row>
    <row r="3048" spans="1:9" ht="14.25" customHeight="1" x14ac:dyDescent="0.3">
      <c r="A3048" s="6">
        <v>42765</v>
      </c>
      <c r="B3048" s="7">
        <v>104.4435</v>
      </c>
      <c r="C3048" s="8">
        <f t="shared" si="23"/>
        <v>136.1940105579111</v>
      </c>
      <c r="D3048" s="9">
        <f t="shared" si="22"/>
        <v>70.080306111609389</v>
      </c>
      <c r="E3048" s="9"/>
      <c r="F3048" s="9">
        <f ca="1">IFERROR(__xludf.DUMMYFUNCTION("""COMPUTED_VALUE"""),42259)</f>
        <v>42259</v>
      </c>
      <c r="G3048" s="9" t="str">
        <f ca="1">IFERROR(__xludf.DUMMYFUNCTION("""COMPUTED_VALUE"""),"1 USD = 104.4592 PKR")</f>
        <v>1 USD = 104.4592 PKR</v>
      </c>
      <c r="H3048" s="9" t="str">
        <f ca="1">IFERROR(__xludf.DUMMYFUNCTION("""COMPUTED_VALUE"""),"USD PKR rate for 12/09/2015")</f>
        <v>USD PKR rate for 12/09/2015</v>
      </c>
      <c r="I3048" s="9"/>
    </row>
    <row r="3049" spans="1:9" ht="14.25" customHeight="1" x14ac:dyDescent="0.3">
      <c r="A3049" s="6">
        <v>42766</v>
      </c>
      <c r="B3049" s="7">
        <v>104.39579999999999</v>
      </c>
      <c r="C3049" s="8">
        <f t="shared" si="23"/>
        <v>136.21836882515117</v>
      </c>
      <c r="D3049" s="9">
        <f t="shared" si="22"/>
        <v>70.083043944406654</v>
      </c>
      <c r="E3049" s="9"/>
      <c r="F3049" s="9">
        <f ca="1">IFERROR(__xludf.DUMMYFUNCTION("""COMPUTED_VALUE"""),42258)</f>
        <v>42258</v>
      </c>
      <c r="G3049" s="9" t="str">
        <f ca="1">IFERROR(__xludf.DUMMYFUNCTION("""COMPUTED_VALUE"""),"1 USD = 104.3848 PKR")</f>
        <v>1 USD = 104.3848 PKR</v>
      </c>
      <c r="H3049" s="9" t="str">
        <f ca="1">IFERROR(__xludf.DUMMYFUNCTION("""COMPUTED_VALUE"""),"USD PKR rate for 11/09/2015")</f>
        <v>USD PKR rate for 11/09/2015</v>
      </c>
      <c r="I3049" s="9"/>
    </row>
    <row r="3050" spans="1:9" ht="14.25" customHeight="1" x14ac:dyDescent="0.3">
      <c r="A3050" s="6">
        <v>42767</v>
      </c>
      <c r="B3050" s="7">
        <v>104.8309</v>
      </c>
      <c r="C3050" s="8">
        <f t="shared" si="23"/>
        <v>136.24273144886166</v>
      </c>
      <c r="D3050" s="9">
        <f t="shared" si="22"/>
        <v>70.08578177720392</v>
      </c>
      <c r="E3050" s="9"/>
      <c r="F3050" s="9">
        <f ca="1">IFERROR(__xludf.DUMMYFUNCTION("""COMPUTED_VALUE"""),42257)</f>
        <v>42257</v>
      </c>
      <c r="G3050" s="9" t="str">
        <f ca="1">IFERROR(__xludf.DUMMYFUNCTION("""COMPUTED_VALUE"""),"1 USD = 104.3323 PKR")</f>
        <v>1 USD = 104.3323 PKR</v>
      </c>
      <c r="H3050" s="9" t="str">
        <f ca="1">IFERROR(__xludf.DUMMYFUNCTION("""COMPUTED_VALUE"""),"USD PKR rate for 10/09/2015")</f>
        <v>USD PKR rate for 10/09/2015</v>
      </c>
      <c r="I3050" s="9"/>
    </row>
    <row r="3051" spans="1:9" ht="14.25" customHeight="1" x14ac:dyDescent="0.3">
      <c r="A3051" s="6">
        <v>42768</v>
      </c>
      <c r="B3051" s="7">
        <v>104.8205</v>
      </c>
      <c r="C3051" s="8">
        <f t="shared" si="23"/>
        <v>136.26709842982177</v>
      </c>
      <c r="D3051" s="9">
        <f t="shared" si="22"/>
        <v>70.088519610001185</v>
      </c>
      <c r="E3051" s="9"/>
      <c r="F3051" s="9">
        <f ca="1">IFERROR(__xludf.DUMMYFUNCTION("""COMPUTED_VALUE"""),42256)</f>
        <v>42256</v>
      </c>
      <c r="G3051" s="9" t="str">
        <f ca="1">IFERROR(__xludf.DUMMYFUNCTION("""COMPUTED_VALUE"""),"1 USD = 104.3496 PKR")</f>
        <v>1 USD = 104.3496 PKR</v>
      </c>
      <c r="H3051" s="9" t="str">
        <f ca="1">IFERROR(__xludf.DUMMYFUNCTION("""COMPUTED_VALUE"""),"USD PKR rate for 09/09/2015")</f>
        <v>USD PKR rate for 09/09/2015</v>
      </c>
      <c r="I3051" s="9"/>
    </row>
    <row r="3052" spans="1:9" ht="14.25" customHeight="1" x14ac:dyDescent="0.3">
      <c r="A3052" s="6">
        <v>42769</v>
      </c>
      <c r="B3052" s="7">
        <v>104.6816</v>
      </c>
      <c r="C3052" s="8">
        <f t="shared" si="23"/>
        <v>136.2914697688108</v>
      </c>
      <c r="D3052" s="9">
        <f t="shared" si="22"/>
        <v>70.091257442798451</v>
      </c>
      <c r="E3052" s="9"/>
      <c r="F3052" s="9">
        <f ca="1">IFERROR(__xludf.DUMMYFUNCTION("""COMPUTED_VALUE"""),42255)</f>
        <v>42255</v>
      </c>
      <c r="G3052" s="9" t="str">
        <f ca="1">IFERROR(__xludf.DUMMYFUNCTION("""COMPUTED_VALUE"""),"1 USD = 103.9768 PKR")</f>
        <v>1 USD = 103.9768 PKR</v>
      </c>
      <c r="H3052" s="9" t="str">
        <f ca="1">IFERROR(__xludf.DUMMYFUNCTION("""COMPUTED_VALUE"""),"USD PKR rate for 08/09/2015")</f>
        <v>USD PKR rate for 08/09/2015</v>
      </c>
      <c r="I3052" s="9"/>
    </row>
    <row r="3053" spans="1:9" ht="14.25" customHeight="1" x14ac:dyDescent="0.3">
      <c r="A3053" s="6">
        <v>42770</v>
      </c>
      <c r="B3053" s="7">
        <v>104.682</v>
      </c>
      <c r="C3053" s="8">
        <f t="shared" si="23"/>
        <v>136.31584546660815</v>
      </c>
      <c r="D3053" s="9">
        <f t="shared" si="22"/>
        <v>70.093995275595717</v>
      </c>
      <c r="E3053" s="9"/>
      <c r="F3053" s="9">
        <f ca="1">IFERROR(__xludf.DUMMYFUNCTION("""COMPUTED_VALUE"""),42254)</f>
        <v>42254</v>
      </c>
      <c r="G3053" s="9" t="str">
        <f ca="1">IFERROR(__xludf.DUMMYFUNCTION("""COMPUTED_VALUE"""),"1 USD = 104.2203 PKR")</f>
        <v>1 USD = 104.2203 PKR</v>
      </c>
      <c r="H3053" s="9" t="str">
        <f ca="1">IFERROR(__xludf.DUMMYFUNCTION("""COMPUTED_VALUE"""),"USD PKR rate for 07/09/2015")</f>
        <v>USD PKR rate for 07/09/2015</v>
      </c>
      <c r="I3053" s="9"/>
    </row>
    <row r="3054" spans="1:9" ht="14.25" customHeight="1" x14ac:dyDescent="0.3">
      <c r="A3054" s="6">
        <v>42771</v>
      </c>
      <c r="B3054" s="7">
        <v>104.31440000000001</v>
      </c>
      <c r="C3054" s="8">
        <f t="shared" si="23"/>
        <v>136.34022552399341</v>
      </c>
      <c r="D3054" s="9">
        <f t="shared" si="22"/>
        <v>70.096733108392982</v>
      </c>
      <c r="E3054" s="9"/>
      <c r="F3054" s="9">
        <f ca="1">IFERROR(__xludf.DUMMYFUNCTION("""COMPUTED_VALUE"""),42253)</f>
        <v>42253</v>
      </c>
      <c r="G3054" s="9" t="str">
        <f ca="1">IFERROR(__xludf.DUMMYFUNCTION("""COMPUTED_VALUE"""),"1 USD = 104.2 PKR")</f>
        <v>1 USD = 104.2 PKR</v>
      </c>
      <c r="H3054" s="9" t="str">
        <f ca="1">IFERROR(__xludf.DUMMYFUNCTION("""COMPUTED_VALUE"""),"USD PKR rate for 06/09/2015")</f>
        <v>USD PKR rate for 06/09/2015</v>
      </c>
      <c r="I3054" s="9"/>
    </row>
    <row r="3055" spans="1:9" ht="14.25" customHeight="1" x14ac:dyDescent="0.3">
      <c r="A3055" s="6">
        <v>42772</v>
      </c>
      <c r="B3055" s="7">
        <v>104.7517</v>
      </c>
      <c r="C3055" s="8">
        <f t="shared" si="23"/>
        <v>136.36460994174627</v>
      </c>
      <c r="D3055" s="9">
        <f t="shared" si="22"/>
        <v>70.099470941190248</v>
      </c>
      <c r="E3055" s="9"/>
      <c r="F3055" s="9">
        <f ca="1">IFERROR(__xludf.DUMMYFUNCTION("""COMPUTED_VALUE"""),42252)</f>
        <v>42252</v>
      </c>
      <c r="G3055" s="9" t="str">
        <f ca="1">IFERROR(__xludf.DUMMYFUNCTION("""COMPUTED_VALUE"""),"1 USD = 104.277 PKR")</f>
        <v>1 USD = 104.277 PKR</v>
      </c>
      <c r="H3055" s="9" t="str">
        <f ca="1">IFERROR(__xludf.DUMMYFUNCTION("""COMPUTED_VALUE"""),"USD PKR rate for 05/09/2015")</f>
        <v>USD PKR rate for 05/09/2015</v>
      </c>
      <c r="I3055" s="9"/>
    </row>
    <row r="3056" spans="1:9" ht="14.25" customHeight="1" x14ac:dyDescent="0.3">
      <c r="A3056" s="6">
        <v>42773</v>
      </c>
      <c r="B3056" s="7">
        <v>104.8599</v>
      </c>
      <c r="C3056" s="8">
        <f t="shared" si="23"/>
        <v>136.38899872064661</v>
      </c>
      <c r="D3056" s="9">
        <f t="shared" si="22"/>
        <v>70.102208773987513</v>
      </c>
      <c r="E3056" s="9"/>
      <c r="F3056" s="9">
        <f ca="1">IFERROR(__xludf.DUMMYFUNCTION("""COMPUTED_VALUE"""),42251)</f>
        <v>42251</v>
      </c>
      <c r="G3056" s="9" t="str">
        <f ca="1">IFERROR(__xludf.DUMMYFUNCTION("""COMPUTED_VALUE"""),"1 USD = 104.2281 PKR")</f>
        <v>1 USD = 104.2281 PKR</v>
      </c>
      <c r="H3056" s="9" t="str">
        <f ca="1">IFERROR(__xludf.DUMMYFUNCTION("""COMPUTED_VALUE"""),"USD PKR rate for 04/09/2015")</f>
        <v>USD PKR rate for 04/09/2015</v>
      </c>
      <c r="I3056" s="9"/>
    </row>
    <row r="3057" spans="1:9" ht="14.25" customHeight="1" x14ac:dyDescent="0.3">
      <c r="A3057" s="6">
        <v>42774</v>
      </c>
      <c r="B3057" s="7">
        <v>104.4049</v>
      </c>
      <c r="C3057" s="8">
        <f t="shared" si="23"/>
        <v>136.41339186147428</v>
      </c>
      <c r="D3057" s="9">
        <f t="shared" si="22"/>
        <v>70.104946606784779</v>
      </c>
      <c r="E3057" s="9"/>
      <c r="F3057" s="9">
        <f ca="1">IFERROR(__xludf.DUMMYFUNCTION("""COMPUTED_VALUE"""),42250)</f>
        <v>42250</v>
      </c>
      <c r="G3057" s="9" t="str">
        <f ca="1">IFERROR(__xludf.DUMMYFUNCTION("""COMPUTED_VALUE"""),"1 USD = 104.161 PKR")</f>
        <v>1 USD = 104.161 PKR</v>
      </c>
      <c r="H3057" s="9" t="str">
        <f ca="1">IFERROR(__xludf.DUMMYFUNCTION("""COMPUTED_VALUE"""),"USD PKR rate for 03/09/2015")</f>
        <v>USD PKR rate for 03/09/2015</v>
      </c>
      <c r="I3057" s="9"/>
    </row>
    <row r="3058" spans="1:9" ht="14.25" customHeight="1" x14ac:dyDescent="0.3">
      <c r="A3058" s="6">
        <v>42775</v>
      </c>
      <c r="B3058" s="7">
        <v>104.95640000000002</v>
      </c>
      <c r="C3058" s="8">
        <f t="shared" si="23"/>
        <v>136.43778936500965</v>
      </c>
      <c r="D3058" s="9">
        <f t="shared" si="22"/>
        <v>70.107684439582044</v>
      </c>
      <c r="E3058" s="9"/>
      <c r="F3058" s="9">
        <f ca="1">IFERROR(__xludf.DUMMYFUNCTION("""COMPUTED_VALUE"""),42249)</f>
        <v>42249</v>
      </c>
      <c r="G3058" s="9" t="str">
        <f ca="1">IFERROR(__xludf.DUMMYFUNCTION("""COMPUTED_VALUE"""),"1 USD = 104.1501 PKR")</f>
        <v>1 USD = 104.1501 PKR</v>
      </c>
      <c r="H3058" s="9" t="str">
        <f ca="1">IFERROR(__xludf.DUMMYFUNCTION("""COMPUTED_VALUE"""),"USD PKR rate for 02/09/2015")</f>
        <v>USD PKR rate for 02/09/2015</v>
      </c>
      <c r="I3058" s="9"/>
    </row>
    <row r="3059" spans="1:9" ht="14.25" customHeight="1" x14ac:dyDescent="0.3">
      <c r="A3059" s="6">
        <v>42776</v>
      </c>
      <c r="B3059" s="7">
        <v>104.7697</v>
      </c>
      <c r="C3059" s="8">
        <f t="shared" si="23"/>
        <v>136.46219123203286</v>
      </c>
      <c r="D3059" s="9">
        <f t="shared" si="22"/>
        <v>70.11042227237931</v>
      </c>
      <c r="E3059" s="9"/>
      <c r="F3059" s="9">
        <f ca="1">IFERROR(__xludf.DUMMYFUNCTION("""COMPUTED_VALUE"""),42248)</f>
        <v>42248</v>
      </c>
      <c r="G3059" s="9" t="str">
        <f ca="1">IFERROR(__xludf.DUMMYFUNCTION("""COMPUTED_VALUE"""),"1 USD = 104.2164 PKR")</f>
        <v>1 USD = 104.2164 PKR</v>
      </c>
      <c r="H3059" s="9" t="str">
        <f ca="1">IFERROR(__xludf.DUMMYFUNCTION("""COMPUTED_VALUE"""),"USD PKR rate for 01/09/2015")</f>
        <v>USD PKR rate for 01/09/2015</v>
      </c>
      <c r="I3059" s="9"/>
    </row>
    <row r="3060" spans="1:9" ht="14.25" customHeight="1" x14ac:dyDescent="0.3">
      <c r="A3060" s="6">
        <v>42777</v>
      </c>
      <c r="B3060" s="7">
        <v>104.77379999999999</v>
      </c>
      <c r="C3060" s="8">
        <f t="shared" si="23"/>
        <v>136.48659746332439</v>
      </c>
      <c r="D3060" s="9">
        <f t="shared" si="22"/>
        <v>70.113160105176576</v>
      </c>
      <c r="E3060" s="9"/>
      <c r="F3060" s="9">
        <f ca="1">IFERROR(__xludf.DUMMYFUNCTION("""COMPUTED_VALUE"""),42247)</f>
        <v>42247</v>
      </c>
      <c r="G3060" s="9" t="str">
        <f ca="1">IFERROR(__xludf.DUMMYFUNCTION("""COMPUTED_VALUE"""),"1 USD = 104.0865 PKR")</f>
        <v>1 USD = 104.0865 PKR</v>
      </c>
      <c r="H3060" s="9" t="str">
        <f ca="1">IFERROR(__xludf.DUMMYFUNCTION("""COMPUTED_VALUE"""),"USD PKR rate for 31/08/2015")</f>
        <v>USD PKR rate for 31/08/2015</v>
      </c>
      <c r="I3060" s="9"/>
    </row>
    <row r="3061" spans="1:9" ht="14.25" customHeight="1" x14ac:dyDescent="0.3">
      <c r="A3061" s="6">
        <v>42778</v>
      </c>
      <c r="B3061" s="7">
        <v>104.77419999999999</v>
      </c>
      <c r="C3061" s="8">
        <f t="shared" si="23"/>
        <v>136.51100805966468</v>
      </c>
      <c r="D3061" s="9">
        <f t="shared" si="22"/>
        <v>70.115897937973841</v>
      </c>
      <c r="E3061" s="9"/>
      <c r="F3061" s="9">
        <f ca="1">IFERROR(__xludf.DUMMYFUNCTION("""COMPUTED_VALUE"""),42246)</f>
        <v>42246</v>
      </c>
      <c r="G3061" s="9" t="str">
        <f ca="1">IFERROR(__xludf.DUMMYFUNCTION("""COMPUTED_VALUE"""),"1 USD = 103.9272 PKR")</f>
        <v>1 USD = 103.9272 PKR</v>
      </c>
      <c r="H3061" s="9" t="str">
        <f ca="1">IFERROR(__xludf.DUMMYFUNCTION("""COMPUTED_VALUE"""),"USD PKR rate for 30/08/2015")</f>
        <v>USD PKR rate for 30/08/2015</v>
      </c>
      <c r="I3061" s="9"/>
    </row>
    <row r="3062" spans="1:9" ht="14.25" customHeight="1" x14ac:dyDescent="0.3">
      <c r="A3062" s="6">
        <v>42779</v>
      </c>
      <c r="B3062" s="7">
        <v>105.3353</v>
      </c>
      <c r="C3062" s="8">
        <f t="shared" si="23"/>
        <v>136.5354230218345</v>
      </c>
      <c r="D3062" s="9">
        <f t="shared" si="22"/>
        <v>70.118635770771107</v>
      </c>
      <c r="E3062" s="9"/>
      <c r="F3062" s="9">
        <f ca="1">IFERROR(__xludf.DUMMYFUNCTION("""COMPUTED_VALUE"""),42245)</f>
        <v>42245</v>
      </c>
      <c r="G3062" s="9" t="str">
        <f ca="1">IFERROR(__xludf.DUMMYFUNCTION("""COMPUTED_VALUE"""),"1 USD = 104.1503 PKR")</f>
        <v>1 USD = 104.1503 PKR</v>
      </c>
      <c r="H3062" s="9" t="str">
        <f ca="1">IFERROR(__xludf.DUMMYFUNCTION("""COMPUTED_VALUE"""),"USD PKR rate for 29/08/2015")</f>
        <v>USD PKR rate for 29/08/2015</v>
      </c>
      <c r="I3062" s="9"/>
    </row>
    <row r="3063" spans="1:9" ht="14.25" customHeight="1" x14ac:dyDescent="0.3">
      <c r="A3063" s="6">
        <v>42780</v>
      </c>
      <c r="B3063" s="7">
        <v>105.2872</v>
      </c>
      <c r="C3063" s="8">
        <f t="shared" si="23"/>
        <v>136.55984235061464</v>
      </c>
      <c r="D3063" s="9">
        <f t="shared" ref="D3063:D3317" si="24">(A3063-$A$3)/365.2524</f>
        <v>70.121373603568372</v>
      </c>
      <c r="E3063" s="9"/>
      <c r="F3063" s="9">
        <f ca="1">IFERROR(__xludf.DUMMYFUNCTION("""COMPUTED_VALUE"""),42244)</f>
        <v>42244</v>
      </c>
      <c r="G3063" s="9" t="str">
        <f ca="1">IFERROR(__xludf.DUMMYFUNCTION("""COMPUTED_VALUE"""),"1 USD = 104.2026 PKR")</f>
        <v>1 USD = 104.2026 PKR</v>
      </c>
      <c r="H3063" s="9" t="str">
        <f ca="1">IFERROR(__xludf.DUMMYFUNCTION("""COMPUTED_VALUE"""),"USD PKR rate for 28/08/2015")</f>
        <v>USD PKR rate for 28/08/2015</v>
      </c>
      <c r="I3063" s="9"/>
    </row>
    <row r="3064" spans="1:9" ht="14.25" customHeight="1" x14ac:dyDescent="0.3">
      <c r="A3064" s="6">
        <v>42781</v>
      </c>
      <c r="B3064" s="7">
        <v>104.3522</v>
      </c>
      <c r="C3064" s="8">
        <f t="shared" ref="C3064:C3318" si="25">(1+$C$1)^D3064*$C$3</f>
        <v>136.58426604678607</v>
      </c>
      <c r="D3064" s="9">
        <f t="shared" si="24"/>
        <v>70.124111436365638</v>
      </c>
      <c r="E3064" s="9"/>
      <c r="F3064" s="9">
        <f ca="1">IFERROR(__xludf.DUMMYFUNCTION("""COMPUTED_VALUE"""),42243)</f>
        <v>42243</v>
      </c>
      <c r="G3064" s="9" t="str">
        <f ca="1">IFERROR(__xludf.DUMMYFUNCTION("""COMPUTED_VALUE"""),"1 USD = 103.8514 PKR")</f>
        <v>1 USD = 103.8514 PKR</v>
      </c>
      <c r="H3064" s="9" t="str">
        <f ca="1">IFERROR(__xludf.DUMMYFUNCTION("""COMPUTED_VALUE"""),"USD PKR rate for 27/08/2015")</f>
        <v>USD PKR rate for 27/08/2015</v>
      </c>
      <c r="I3064" s="9"/>
    </row>
    <row r="3065" spans="1:9" ht="14.25" customHeight="1" x14ac:dyDescent="0.3">
      <c r="A3065" s="6">
        <v>42782</v>
      </c>
      <c r="B3065" s="7">
        <v>104.39360000000001</v>
      </c>
      <c r="C3065" s="8">
        <f t="shared" si="25"/>
        <v>136.60869411112992</v>
      </c>
      <c r="D3065" s="9">
        <f t="shared" si="24"/>
        <v>70.126849269162904</v>
      </c>
      <c r="E3065" s="9"/>
      <c r="F3065" s="9">
        <f ca="1">IFERROR(__xludf.DUMMYFUNCTION("""COMPUTED_VALUE"""),42242)</f>
        <v>42242</v>
      </c>
      <c r="G3065" s="9" t="str">
        <f ca="1">IFERROR(__xludf.DUMMYFUNCTION("""COMPUTED_VALUE"""),"1 USD = 103.7496 PKR")</f>
        <v>1 USD = 103.7496 PKR</v>
      </c>
      <c r="H3065" s="9" t="str">
        <f ca="1">IFERROR(__xludf.DUMMYFUNCTION("""COMPUTED_VALUE"""),"USD PKR rate for 26/08/2015")</f>
        <v>USD PKR rate for 26/08/2015</v>
      </c>
      <c r="I3065" s="9"/>
    </row>
    <row r="3066" spans="1:9" ht="14.25" customHeight="1" x14ac:dyDescent="0.3">
      <c r="A3066" s="6">
        <v>42783</v>
      </c>
      <c r="B3066" s="7">
        <v>104.78740000000001</v>
      </c>
      <c r="C3066" s="8">
        <f t="shared" si="25"/>
        <v>136.63312654442728</v>
      </c>
      <c r="D3066" s="9">
        <f t="shared" si="24"/>
        <v>70.129587101960169</v>
      </c>
      <c r="E3066" s="9"/>
      <c r="F3066" s="9">
        <f ca="1">IFERROR(__xludf.DUMMYFUNCTION("""COMPUTED_VALUE"""),42241)</f>
        <v>42241</v>
      </c>
      <c r="G3066" s="9" t="str">
        <f ca="1">IFERROR(__xludf.DUMMYFUNCTION("""COMPUTED_VALUE"""),"1 USD = 103.625 PKR")</f>
        <v>1 USD = 103.625 PKR</v>
      </c>
      <c r="H3066" s="9" t="str">
        <f ca="1">IFERROR(__xludf.DUMMYFUNCTION("""COMPUTED_VALUE"""),"USD PKR rate for 25/08/2015")</f>
        <v>USD PKR rate for 25/08/2015</v>
      </c>
      <c r="I3066" s="9"/>
    </row>
    <row r="3067" spans="1:9" ht="14.25" customHeight="1" x14ac:dyDescent="0.3">
      <c r="A3067" s="6">
        <v>42784</v>
      </c>
      <c r="B3067" s="7">
        <v>105.08150000000001</v>
      </c>
      <c r="C3067" s="8">
        <f t="shared" si="25"/>
        <v>136.65756334745981</v>
      </c>
      <c r="D3067" s="9">
        <f t="shared" si="24"/>
        <v>70.132324934757435</v>
      </c>
      <c r="E3067" s="9"/>
      <c r="F3067" s="9">
        <f ca="1">IFERROR(__xludf.DUMMYFUNCTION("""COMPUTED_VALUE"""),42240)</f>
        <v>42240</v>
      </c>
      <c r="G3067" s="9" t="str">
        <f ca="1">IFERROR(__xludf.DUMMYFUNCTION("""COMPUTED_VALUE"""),"1 USD = 103.473 PKR")</f>
        <v>1 USD = 103.473 PKR</v>
      </c>
      <c r="H3067" s="9" t="str">
        <f ca="1">IFERROR(__xludf.DUMMYFUNCTION("""COMPUTED_VALUE"""),"USD PKR rate for 24/08/2015")</f>
        <v>USD PKR rate for 24/08/2015</v>
      </c>
      <c r="I3067" s="9"/>
    </row>
    <row r="3068" spans="1:9" ht="14.25" customHeight="1" x14ac:dyDescent="0.3">
      <c r="A3068" s="6">
        <v>42785</v>
      </c>
      <c r="B3068" s="7">
        <v>105.1074</v>
      </c>
      <c r="C3068" s="8">
        <f t="shared" si="25"/>
        <v>136.68200452100891</v>
      </c>
      <c r="D3068" s="9">
        <f t="shared" si="24"/>
        <v>70.1350627675547</v>
      </c>
      <c r="E3068" s="9"/>
      <c r="F3068" s="9">
        <f ca="1">IFERROR(__xludf.DUMMYFUNCTION("""COMPUTED_VALUE"""),42239)</f>
        <v>42239</v>
      </c>
      <c r="G3068" s="9" t="str">
        <f ca="1">IFERROR(__xludf.DUMMYFUNCTION("""COMPUTED_VALUE"""),"1 USD = 102.0963 PKR")</f>
        <v>1 USD = 102.0963 PKR</v>
      </c>
      <c r="H3068" s="9" t="str">
        <f ca="1">IFERROR(__xludf.DUMMYFUNCTION("""COMPUTED_VALUE"""),"USD PKR rate for 23/08/2015")</f>
        <v>USD PKR rate for 23/08/2015</v>
      </c>
      <c r="I3068" s="9"/>
    </row>
    <row r="3069" spans="1:9" ht="14.25" customHeight="1" x14ac:dyDescent="0.3">
      <c r="A3069" s="6">
        <v>42786</v>
      </c>
      <c r="B3069" s="7">
        <v>104.895</v>
      </c>
      <c r="C3069" s="8">
        <f t="shared" si="25"/>
        <v>136.70645006585622</v>
      </c>
      <c r="D3069" s="9">
        <f t="shared" si="24"/>
        <v>70.137800600351966</v>
      </c>
      <c r="E3069" s="9"/>
      <c r="F3069" s="9">
        <f ca="1">IFERROR(__xludf.DUMMYFUNCTION("""COMPUTED_VALUE"""),42238)</f>
        <v>42238</v>
      </c>
      <c r="G3069" s="9" t="str">
        <f ca="1">IFERROR(__xludf.DUMMYFUNCTION("""COMPUTED_VALUE"""),"1 USD = 101.7823 PKR")</f>
        <v>1 USD = 101.7823 PKR</v>
      </c>
      <c r="H3069" s="9" t="str">
        <f ca="1">IFERROR(__xludf.DUMMYFUNCTION("""COMPUTED_VALUE"""),"USD PKR rate for 22/08/2015")</f>
        <v>USD PKR rate for 22/08/2015</v>
      </c>
      <c r="I3069" s="9"/>
    </row>
    <row r="3070" spans="1:9" ht="14.25" customHeight="1" x14ac:dyDescent="0.3">
      <c r="A3070" s="6">
        <v>42787</v>
      </c>
      <c r="B3070" s="7">
        <v>104.8437</v>
      </c>
      <c r="C3070" s="8">
        <f t="shared" si="25"/>
        <v>136.73089998278357</v>
      </c>
      <c r="D3070" s="9">
        <f t="shared" si="24"/>
        <v>70.140538433149231</v>
      </c>
      <c r="E3070" s="9"/>
      <c r="F3070" s="9">
        <f ca="1">IFERROR(__xludf.DUMMYFUNCTION("""COMPUTED_VALUE"""),42237)</f>
        <v>42237</v>
      </c>
      <c r="G3070" s="9" t="str">
        <f ca="1">IFERROR(__xludf.DUMMYFUNCTION("""COMPUTED_VALUE"""),"1 USD = 101.7507 PKR")</f>
        <v>1 USD = 101.7507 PKR</v>
      </c>
      <c r="H3070" s="9" t="str">
        <f ca="1">IFERROR(__xludf.DUMMYFUNCTION("""COMPUTED_VALUE"""),"USD PKR rate for 21/08/2015")</f>
        <v>USD PKR rate for 21/08/2015</v>
      </c>
      <c r="I3070" s="9"/>
    </row>
    <row r="3071" spans="1:9" ht="14.25" customHeight="1" x14ac:dyDescent="0.3">
      <c r="A3071" s="6">
        <v>42788</v>
      </c>
      <c r="B3071" s="7">
        <v>104.3</v>
      </c>
      <c r="C3071" s="8">
        <f t="shared" si="25"/>
        <v>136.75535427257287</v>
      </c>
      <c r="D3071" s="9">
        <f t="shared" si="24"/>
        <v>70.143276265946497</v>
      </c>
      <c r="E3071" s="9"/>
      <c r="F3071" s="9">
        <f ca="1">IFERROR(__xludf.DUMMYFUNCTION("""COMPUTED_VALUE"""),42236)</f>
        <v>42236</v>
      </c>
      <c r="G3071" s="9" t="str">
        <f ca="1">IFERROR(__xludf.DUMMYFUNCTION("""COMPUTED_VALUE"""),"1 USD = 101.9589 PKR")</f>
        <v>1 USD = 101.9589 PKR</v>
      </c>
      <c r="H3071" s="9" t="str">
        <f ca="1">IFERROR(__xludf.DUMMYFUNCTION("""COMPUTED_VALUE"""),"USD PKR rate for 20/08/2015")</f>
        <v>USD PKR rate for 20/08/2015</v>
      </c>
      <c r="I3071" s="9"/>
    </row>
    <row r="3072" spans="1:9" ht="14.25" customHeight="1" x14ac:dyDescent="0.3">
      <c r="A3072" s="6">
        <v>42789</v>
      </c>
      <c r="B3072" s="7">
        <v>104.79219999999999</v>
      </c>
      <c r="C3072" s="8">
        <f t="shared" si="25"/>
        <v>136.77981293600627</v>
      </c>
      <c r="D3072" s="9">
        <f t="shared" si="24"/>
        <v>70.146014098743763</v>
      </c>
      <c r="E3072" s="9"/>
      <c r="F3072" s="9">
        <f ca="1">IFERROR(__xludf.DUMMYFUNCTION("""COMPUTED_VALUE"""),42235)</f>
        <v>42235</v>
      </c>
      <c r="G3072" s="9" t="str">
        <f ca="1">IFERROR(__xludf.DUMMYFUNCTION("""COMPUTED_VALUE"""),"1 USD = 101.9076 PKR")</f>
        <v>1 USD = 101.9076 PKR</v>
      </c>
      <c r="H3072" s="9" t="str">
        <f ca="1">IFERROR(__xludf.DUMMYFUNCTION("""COMPUTED_VALUE"""),"USD PKR rate for 19/08/2015")</f>
        <v>USD PKR rate for 19/08/2015</v>
      </c>
      <c r="I3072" s="9"/>
    </row>
    <row r="3073" spans="1:9" ht="14.25" customHeight="1" x14ac:dyDescent="0.3">
      <c r="A3073" s="6">
        <v>42790</v>
      </c>
      <c r="B3073" s="7">
        <v>104.8925</v>
      </c>
      <c r="C3073" s="8">
        <f t="shared" si="25"/>
        <v>136.80427597386594</v>
      </c>
      <c r="D3073" s="9">
        <f t="shared" si="24"/>
        <v>70.148751931541028</v>
      </c>
      <c r="E3073" s="9"/>
      <c r="F3073" s="9">
        <f ca="1">IFERROR(__xludf.DUMMYFUNCTION("""COMPUTED_VALUE"""),42234)</f>
        <v>42234</v>
      </c>
      <c r="G3073" s="9" t="str">
        <f ca="1">IFERROR(__xludf.DUMMYFUNCTION("""COMPUTED_VALUE"""),"1 USD = 102.0079 PKR")</f>
        <v>1 USD = 102.0079 PKR</v>
      </c>
      <c r="H3073" s="9" t="str">
        <f ca="1">IFERROR(__xludf.DUMMYFUNCTION("""COMPUTED_VALUE"""),"USD PKR rate for 18/08/2015")</f>
        <v>USD PKR rate for 18/08/2015</v>
      </c>
      <c r="I3073" s="9"/>
    </row>
    <row r="3074" spans="1:9" ht="14.25" customHeight="1" x14ac:dyDescent="0.3">
      <c r="A3074" s="6">
        <v>42791</v>
      </c>
      <c r="B3074" s="7">
        <v>105.32850000000001</v>
      </c>
      <c r="C3074" s="8">
        <f t="shared" si="25"/>
        <v>136.82874338693429</v>
      </c>
      <c r="D3074" s="9">
        <f t="shared" si="24"/>
        <v>70.151489764338294</v>
      </c>
      <c r="E3074" s="9"/>
      <c r="F3074" s="9">
        <f ca="1">IFERROR(__xludf.DUMMYFUNCTION("""COMPUTED_VALUE"""),42233)</f>
        <v>42233</v>
      </c>
      <c r="G3074" s="9" t="str">
        <f ca="1">IFERROR(__xludf.DUMMYFUNCTION("""COMPUTED_VALUE"""),"1 USD = 101.9166 PKR")</f>
        <v>1 USD = 101.9166 PKR</v>
      </c>
      <c r="H3074" s="9" t="str">
        <f ca="1">IFERROR(__xludf.DUMMYFUNCTION("""COMPUTED_VALUE"""),"USD PKR rate for 17/08/2015")</f>
        <v>USD PKR rate for 17/08/2015</v>
      </c>
      <c r="I3074" s="9"/>
    </row>
    <row r="3075" spans="1:9" ht="14.25" customHeight="1" x14ac:dyDescent="0.3">
      <c r="A3075" s="6">
        <v>42792</v>
      </c>
      <c r="B3075" s="7">
        <v>105.2246</v>
      </c>
      <c r="C3075" s="8">
        <f t="shared" si="25"/>
        <v>136.85321517599368</v>
      </c>
      <c r="D3075" s="9">
        <f t="shared" si="24"/>
        <v>70.154227597135559</v>
      </c>
      <c r="E3075" s="9"/>
      <c r="F3075" s="9">
        <f ca="1">IFERROR(__xludf.DUMMYFUNCTION("""COMPUTED_VALUE"""),42232)</f>
        <v>42232</v>
      </c>
      <c r="G3075" s="9" t="str">
        <f ca="1">IFERROR(__xludf.DUMMYFUNCTION("""COMPUTED_VALUE"""),"1 USD = 101.7593 PKR")</f>
        <v>1 USD = 101.7593 PKR</v>
      </c>
      <c r="H3075" s="9" t="str">
        <f ca="1">IFERROR(__xludf.DUMMYFUNCTION("""COMPUTED_VALUE"""),"USD PKR rate for 16/08/2015")</f>
        <v>USD PKR rate for 16/08/2015</v>
      </c>
      <c r="I3075" s="9"/>
    </row>
    <row r="3076" spans="1:9" ht="14.25" customHeight="1" x14ac:dyDescent="0.3">
      <c r="A3076" s="6">
        <v>42793</v>
      </c>
      <c r="B3076" s="7">
        <v>104.7889</v>
      </c>
      <c r="C3076" s="8">
        <f t="shared" si="25"/>
        <v>136.87769134182696</v>
      </c>
      <c r="D3076" s="9">
        <f t="shared" si="24"/>
        <v>70.156965429932825</v>
      </c>
      <c r="E3076" s="9"/>
      <c r="F3076" s="9">
        <f ca="1">IFERROR(__xludf.DUMMYFUNCTION("""COMPUTED_VALUE"""),42231)</f>
        <v>42231</v>
      </c>
      <c r="G3076" s="9" t="str">
        <f ca="1">IFERROR(__xludf.DUMMYFUNCTION("""COMPUTED_VALUE"""),"1 USD = 101.7724 PKR")</f>
        <v>1 USD = 101.7724 PKR</v>
      </c>
      <c r="H3076" s="9" t="str">
        <f ca="1">IFERROR(__xludf.DUMMYFUNCTION("""COMPUTED_VALUE"""),"USD PKR rate for 15/08/2015")</f>
        <v>USD PKR rate for 15/08/2015</v>
      </c>
      <c r="I3076" s="9"/>
    </row>
    <row r="3077" spans="1:9" ht="14.25" customHeight="1" x14ac:dyDescent="0.3">
      <c r="A3077" s="6">
        <v>42794</v>
      </c>
      <c r="B3077" s="7">
        <v>104.7974</v>
      </c>
      <c r="C3077" s="8">
        <f t="shared" si="25"/>
        <v>136.90217188521686</v>
      </c>
      <c r="D3077" s="9">
        <f t="shared" si="24"/>
        <v>70.159703262730091</v>
      </c>
      <c r="E3077" s="9"/>
      <c r="F3077" s="9">
        <f ca="1">IFERROR(__xludf.DUMMYFUNCTION("""COMPUTED_VALUE"""),42230)</f>
        <v>42230</v>
      </c>
      <c r="G3077" s="9" t="str">
        <f ca="1">IFERROR(__xludf.DUMMYFUNCTION("""COMPUTED_VALUE"""),"1 USD = 101.7997 PKR")</f>
        <v>1 USD = 101.7997 PKR</v>
      </c>
      <c r="H3077" s="9" t="str">
        <f ca="1">IFERROR(__xludf.DUMMYFUNCTION("""COMPUTED_VALUE"""),"USD PKR rate for 14/08/2015")</f>
        <v>USD PKR rate for 14/08/2015</v>
      </c>
      <c r="I3077" s="9"/>
    </row>
    <row r="3078" spans="1:9" ht="14.25" customHeight="1" x14ac:dyDescent="0.3">
      <c r="A3078" s="6">
        <v>42795</v>
      </c>
      <c r="B3078" s="7">
        <v>104.75709999999999</v>
      </c>
      <c r="C3078" s="8">
        <f t="shared" si="25"/>
        <v>136.92665680694626</v>
      </c>
      <c r="D3078" s="9">
        <f t="shared" si="24"/>
        <v>70.162441095527356</v>
      </c>
      <c r="E3078" s="9"/>
      <c r="F3078" s="9">
        <f ca="1">IFERROR(__xludf.DUMMYFUNCTION("""COMPUTED_VALUE"""),42229)</f>
        <v>42229</v>
      </c>
      <c r="G3078" s="9" t="str">
        <f ca="1">IFERROR(__xludf.DUMMYFUNCTION("""COMPUTED_VALUE"""),"1 USD = 101.8368 PKR")</f>
        <v>1 USD = 101.8368 PKR</v>
      </c>
      <c r="H3078" s="9" t="str">
        <f ca="1">IFERROR(__xludf.DUMMYFUNCTION("""COMPUTED_VALUE"""),"USD PKR rate for 13/08/2015")</f>
        <v>USD PKR rate for 13/08/2015</v>
      </c>
      <c r="I3078" s="9"/>
    </row>
    <row r="3079" spans="1:9" ht="14.25" customHeight="1" x14ac:dyDescent="0.3">
      <c r="A3079" s="6">
        <v>42796</v>
      </c>
      <c r="B3079" s="7">
        <v>104.9374</v>
      </c>
      <c r="C3079" s="8">
        <f t="shared" si="25"/>
        <v>136.95114610779825</v>
      </c>
      <c r="D3079" s="9">
        <f t="shared" si="24"/>
        <v>70.165178928324622</v>
      </c>
      <c r="E3079" s="9"/>
      <c r="F3079" s="9">
        <f ca="1">IFERROR(__xludf.DUMMYFUNCTION("""COMPUTED_VALUE"""),42228)</f>
        <v>42228</v>
      </c>
      <c r="G3079" s="9" t="str">
        <f ca="1">IFERROR(__xludf.DUMMYFUNCTION("""COMPUTED_VALUE"""),"1 USD = 101.7768 PKR")</f>
        <v>1 USD = 101.7768 PKR</v>
      </c>
      <c r="H3079" s="9" t="str">
        <f ca="1">IFERROR(__xludf.DUMMYFUNCTION("""COMPUTED_VALUE"""),"USD PKR rate for 12/08/2015")</f>
        <v>USD PKR rate for 12/08/2015</v>
      </c>
      <c r="I3079" s="9"/>
    </row>
    <row r="3080" spans="1:9" ht="14.25" customHeight="1" x14ac:dyDescent="0.3">
      <c r="A3080" s="6">
        <v>42797</v>
      </c>
      <c r="B3080" s="7">
        <v>104.8172</v>
      </c>
      <c r="C3080" s="8">
        <f t="shared" si="25"/>
        <v>136.97563978855601</v>
      </c>
      <c r="D3080" s="9">
        <f t="shared" si="24"/>
        <v>70.167916761121887</v>
      </c>
      <c r="E3080" s="9"/>
      <c r="F3080" s="9">
        <f ca="1">IFERROR(__xludf.DUMMYFUNCTION("""COMPUTED_VALUE"""),42227)</f>
        <v>42227</v>
      </c>
      <c r="G3080" s="9" t="str">
        <f ca="1">IFERROR(__xludf.DUMMYFUNCTION("""COMPUTED_VALUE"""),"1 USD = 101.7718 PKR")</f>
        <v>1 USD = 101.7718 PKR</v>
      </c>
      <c r="H3080" s="9" t="str">
        <f ca="1">IFERROR(__xludf.DUMMYFUNCTION("""COMPUTED_VALUE"""),"USD PKR rate for 11/08/2015")</f>
        <v>USD PKR rate for 11/08/2015</v>
      </c>
      <c r="I3080" s="9"/>
    </row>
    <row r="3081" spans="1:9" ht="14.25" customHeight="1" x14ac:dyDescent="0.3">
      <c r="A3081" s="6">
        <v>42798</v>
      </c>
      <c r="B3081" s="7">
        <v>104.80310000000001</v>
      </c>
      <c r="C3081" s="8">
        <f t="shared" si="25"/>
        <v>137.00013785000289</v>
      </c>
      <c r="D3081" s="9">
        <f t="shared" si="24"/>
        <v>70.170654593919153</v>
      </c>
      <c r="E3081" s="9"/>
      <c r="F3081" s="9">
        <f ca="1">IFERROR(__xludf.DUMMYFUNCTION("""COMPUTED_VALUE"""),42226)</f>
        <v>42226</v>
      </c>
      <c r="G3081" s="9" t="str">
        <f ca="1">IFERROR(__xludf.DUMMYFUNCTION("""COMPUTED_VALUE"""),"1 USD = 101.8412 PKR")</f>
        <v>1 USD = 101.8412 PKR</v>
      </c>
      <c r="H3081" s="9" t="str">
        <f ca="1">IFERROR(__xludf.DUMMYFUNCTION("""COMPUTED_VALUE"""),"USD PKR rate for 10/08/2015")</f>
        <v>USD PKR rate for 10/08/2015</v>
      </c>
      <c r="I3081" s="9"/>
    </row>
    <row r="3082" spans="1:9" ht="14.25" customHeight="1" x14ac:dyDescent="0.3">
      <c r="A3082" s="6">
        <v>42799</v>
      </c>
      <c r="B3082" s="7">
        <v>104.21550000000001</v>
      </c>
      <c r="C3082" s="8">
        <f t="shared" si="25"/>
        <v>137.02464029292241</v>
      </c>
      <c r="D3082" s="9">
        <f t="shared" si="24"/>
        <v>70.173392426716418</v>
      </c>
      <c r="E3082" s="9"/>
      <c r="F3082" s="9">
        <f ca="1">IFERROR(__xludf.DUMMYFUNCTION("""COMPUTED_VALUE"""),42225)</f>
        <v>42225</v>
      </c>
      <c r="G3082" s="9" t="str">
        <f ca="1">IFERROR(__xludf.DUMMYFUNCTION("""COMPUTED_VALUE"""),"1 USD = 101.81 PKR")</f>
        <v>1 USD = 101.81 PKR</v>
      </c>
      <c r="H3082" s="9" t="str">
        <f ca="1">IFERROR(__xludf.DUMMYFUNCTION("""COMPUTED_VALUE"""),"USD PKR rate for 09/08/2015")</f>
        <v>USD PKR rate for 09/08/2015</v>
      </c>
      <c r="I3082" s="9"/>
    </row>
    <row r="3083" spans="1:9" ht="14.25" customHeight="1" x14ac:dyDescent="0.3">
      <c r="A3083" s="6">
        <v>42800</v>
      </c>
      <c r="B3083" s="7">
        <v>104.7795</v>
      </c>
      <c r="C3083" s="8">
        <f t="shared" si="25"/>
        <v>137.04914711809818</v>
      </c>
      <c r="D3083" s="9">
        <f t="shared" si="24"/>
        <v>70.176130259513684</v>
      </c>
      <c r="E3083" s="9"/>
      <c r="F3083" s="9">
        <f ca="1">IFERROR(__xludf.DUMMYFUNCTION("""COMPUTED_VALUE"""),42224)</f>
        <v>42224</v>
      </c>
      <c r="G3083" s="9" t="str">
        <f ca="1">IFERROR(__xludf.DUMMYFUNCTION("""COMPUTED_VALUE"""),"1 USD = 101.8353 PKR")</f>
        <v>1 USD = 101.8353 PKR</v>
      </c>
      <c r="H3083" s="9" t="str">
        <f ca="1">IFERROR(__xludf.DUMMYFUNCTION("""COMPUTED_VALUE"""),"USD PKR rate for 08/08/2015")</f>
        <v>USD PKR rate for 08/08/2015</v>
      </c>
      <c r="I3083" s="9"/>
    </row>
    <row r="3084" spans="1:9" ht="14.25" customHeight="1" x14ac:dyDescent="0.3">
      <c r="A3084" s="6">
        <v>42801</v>
      </c>
      <c r="B3084" s="7">
        <v>104.8913</v>
      </c>
      <c r="C3084" s="8">
        <f t="shared" si="25"/>
        <v>137.07365832631379</v>
      </c>
      <c r="D3084" s="9">
        <f t="shared" si="24"/>
        <v>70.17886809231095</v>
      </c>
      <c r="E3084" s="9"/>
      <c r="F3084" s="9">
        <f ca="1">IFERROR(__xludf.DUMMYFUNCTION("""COMPUTED_VALUE"""),42223)</f>
        <v>42223</v>
      </c>
      <c r="G3084" s="9" t="str">
        <f ca="1">IFERROR(__xludf.DUMMYFUNCTION("""COMPUTED_VALUE"""),"1 USD = 101.8165 PKR")</f>
        <v>1 USD = 101.8165 PKR</v>
      </c>
      <c r="H3084" s="9" t="str">
        <f ca="1">IFERROR(__xludf.DUMMYFUNCTION("""COMPUTED_VALUE"""),"USD PKR rate for 07/08/2015")</f>
        <v>USD PKR rate for 07/08/2015</v>
      </c>
      <c r="I3084" s="9"/>
    </row>
    <row r="3085" spans="1:9" ht="14.25" customHeight="1" x14ac:dyDescent="0.3">
      <c r="A3085" s="6">
        <v>42802</v>
      </c>
      <c r="B3085" s="7">
        <v>104.7324</v>
      </c>
      <c r="C3085" s="8">
        <f t="shared" si="25"/>
        <v>137.09817391835347</v>
      </c>
      <c r="D3085" s="9">
        <f t="shared" si="24"/>
        <v>70.181605925108215</v>
      </c>
      <c r="E3085" s="9"/>
      <c r="F3085" s="9">
        <f ca="1">IFERROR(__xludf.DUMMYFUNCTION("""COMPUTED_VALUE"""),42222)</f>
        <v>42222</v>
      </c>
      <c r="G3085" s="9" t="str">
        <f ca="1">IFERROR(__xludf.DUMMYFUNCTION("""COMPUTED_VALUE"""),"1 USD = 101.9164 PKR")</f>
        <v>1 USD = 101.9164 PKR</v>
      </c>
      <c r="H3085" s="9" t="str">
        <f ca="1">IFERROR(__xludf.DUMMYFUNCTION("""COMPUTED_VALUE"""),"USD PKR rate for 06/08/2015")</f>
        <v>USD PKR rate for 06/08/2015</v>
      </c>
      <c r="I3085" s="9"/>
    </row>
    <row r="3086" spans="1:9" ht="14.25" customHeight="1" x14ac:dyDescent="0.3">
      <c r="A3086" s="6">
        <v>42803</v>
      </c>
      <c r="B3086" s="7">
        <v>104.679</v>
      </c>
      <c r="C3086" s="8">
        <f t="shared" si="25"/>
        <v>137.12269389500108</v>
      </c>
      <c r="D3086" s="9">
        <f t="shared" si="24"/>
        <v>70.184343757905481</v>
      </c>
      <c r="E3086" s="9"/>
      <c r="F3086" s="9">
        <f ca="1">IFERROR(__xludf.DUMMYFUNCTION("""COMPUTED_VALUE"""),42221)</f>
        <v>42221</v>
      </c>
      <c r="G3086" s="9" t="str">
        <f ca="1">IFERROR(__xludf.DUMMYFUNCTION("""COMPUTED_VALUE"""),"1 USD = 101.8189 PKR")</f>
        <v>1 USD = 101.8189 PKR</v>
      </c>
      <c r="H3086" s="9" t="str">
        <f ca="1">IFERROR(__xludf.DUMMYFUNCTION("""COMPUTED_VALUE"""),"USD PKR rate for 05/08/2015")</f>
        <v>USD PKR rate for 05/08/2015</v>
      </c>
      <c r="I3086" s="9"/>
    </row>
    <row r="3087" spans="1:9" ht="14.25" customHeight="1" x14ac:dyDescent="0.3">
      <c r="A3087" s="6">
        <v>42804</v>
      </c>
      <c r="B3087" s="7">
        <v>104.1486</v>
      </c>
      <c r="C3087" s="8">
        <f t="shared" si="25"/>
        <v>137.14721825704098</v>
      </c>
      <c r="D3087" s="9">
        <f t="shared" si="24"/>
        <v>70.187081590702761</v>
      </c>
      <c r="E3087" s="9"/>
      <c r="F3087" s="9">
        <f ca="1">IFERROR(__xludf.DUMMYFUNCTION("""COMPUTED_VALUE"""),42220)</f>
        <v>42220</v>
      </c>
      <c r="G3087" s="9" t="str">
        <f ca="1">IFERROR(__xludf.DUMMYFUNCTION("""COMPUTED_VALUE"""),"1 USD = 101.8027 PKR")</f>
        <v>1 USD = 101.8027 PKR</v>
      </c>
      <c r="H3087" s="9" t="str">
        <f ca="1">IFERROR(__xludf.DUMMYFUNCTION("""COMPUTED_VALUE"""),"USD PKR rate for 04/08/2015")</f>
        <v>USD PKR rate for 04/08/2015</v>
      </c>
      <c r="I3087" s="9"/>
    </row>
    <row r="3088" spans="1:9" ht="14.25" customHeight="1" x14ac:dyDescent="0.3">
      <c r="A3088" s="6">
        <v>42805</v>
      </c>
      <c r="B3088" s="7">
        <v>104.1538</v>
      </c>
      <c r="C3088" s="8">
        <f t="shared" si="25"/>
        <v>137.1717470052572</v>
      </c>
      <c r="D3088" s="9">
        <f t="shared" si="24"/>
        <v>70.189819423500026</v>
      </c>
      <c r="E3088" s="9"/>
      <c r="F3088" s="9">
        <f ca="1">IFERROR(__xludf.DUMMYFUNCTION("""COMPUTED_VALUE"""),42219)</f>
        <v>42219</v>
      </c>
      <c r="G3088" s="9" t="str">
        <f ca="1">IFERROR(__xludf.DUMMYFUNCTION("""COMPUTED_VALUE"""),"1 USD = 101.8313 PKR")</f>
        <v>1 USD = 101.8313 PKR</v>
      </c>
      <c r="H3088" s="9" t="str">
        <f ca="1">IFERROR(__xludf.DUMMYFUNCTION("""COMPUTED_VALUE"""),"USD PKR rate for 03/08/2015")</f>
        <v>USD PKR rate for 03/08/2015</v>
      </c>
      <c r="I3088" s="9"/>
    </row>
    <row r="3089" spans="1:9" ht="14.25" customHeight="1" x14ac:dyDescent="0.3">
      <c r="A3089" s="6">
        <v>42806</v>
      </c>
      <c r="B3089" s="7">
        <v>104.34880000000001</v>
      </c>
      <c r="C3089" s="8">
        <f t="shared" si="25"/>
        <v>137.1962801404344</v>
      </c>
      <c r="D3089" s="9">
        <f t="shared" si="24"/>
        <v>70.192557256297292</v>
      </c>
      <c r="E3089" s="9"/>
      <c r="F3089" s="9">
        <f ca="1">IFERROR(__xludf.DUMMYFUNCTION("""COMPUTED_VALUE"""),42218)</f>
        <v>42218</v>
      </c>
      <c r="G3089" s="9" t="str">
        <f ca="1">IFERROR(__xludf.DUMMYFUNCTION("""COMPUTED_VALUE"""),"1 USD = 101.7664 PKR")</f>
        <v>1 USD = 101.7664 PKR</v>
      </c>
      <c r="H3089" s="9" t="str">
        <f ca="1">IFERROR(__xludf.DUMMYFUNCTION("""COMPUTED_VALUE"""),"USD PKR rate for 02/08/2015")</f>
        <v>USD PKR rate for 02/08/2015</v>
      </c>
      <c r="I3089" s="9"/>
    </row>
    <row r="3090" spans="1:9" ht="14.25" customHeight="1" x14ac:dyDescent="0.3">
      <c r="A3090" s="6">
        <v>42807</v>
      </c>
      <c r="B3090" s="7">
        <v>104.79389999999999</v>
      </c>
      <c r="C3090" s="8">
        <f t="shared" si="25"/>
        <v>137.22081766335714</v>
      </c>
      <c r="D3090" s="9">
        <f t="shared" si="24"/>
        <v>70.195295089094557</v>
      </c>
      <c r="E3090" s="9"/>
      <c r="F3090" s="9">
        <f ca="1">IFERROR(__xludf.DUMMYFUNCTION("""COMPUTED_VALUE"""),42217)</f>
        <v>42217</v>
      </c>
      <c r="G3090" s="9" t="str">
        <f ca="1">IFERROR(__xludf.DUMMYFUNCTION("""COMPUTED_VALUE"""),"1 USD = 101.8149 PKR")</f>
        <v>1 USD = 101.8149 PKR</v>
      </c>
      <c r="H3090" s="9" t="str">
        <f ca="1">IFERROR(__xludf.DUMMYFUNCTION("""COMPUTED_VALUE"""),"USD PKR rate for 01/08/2015")</f>
        <v>USD PKR rate for 01/08/2015</v>
      </c>
      <c r="I3090" s="9"/>
    </row>
    <row r="3091" spans="1:9" ht="14.25" customHeight="1" x14ac:dyDescent="0.3">
      <c r="A3091" s="6">
        <v>42808</v>
      </c>
      <c r="B3091" s="7">
        <v>104.8086</v>
      </c>
      <c r="C3091" s="8">
        <f t="shared" si="25"/>
        <v>137.24535957481012</v>
      </c>
      <c r="D3091" s="9">
        <f t="shared" si="24"/>
        <v>70.198032921891823</v>
      </c>
      <c r="E3091" s="9"/>
      <c r="F3091" s="9">
        <f ca="1">IFERROR(__xludf.DUMMYFUNCTION("""COMPUTED_VALUE"""),42216)</f>
        <v>42216</v>
      </c>
      <c r="G3091" s="9" t="str">
        <f ca="1">IFERROR(__xludf.DUMMYFUNCTION("""COMPUTED_VALUE"""),"1 USD = 101.812 PKR")</f>
        <v>1 USD = 101.812 PKR</v>
      </c>
      <c r="H3091" s="9" t="str">
        <f ca="1">IFERROR(__xludf.DUMMYFUNCTION("""COMPUTED_VALUE"""),"USD PKR rate for 31/07/2015")</f>
        <v>USD PKR rate for 31/07/2015</v>
      </c>
      <c r="I3091" s="9"/>
    </row>
    <row r="3092" spans="1:9" ht="14.25" customHeight="1" x14ac:dyDescent="0.3">
      <c r="A3092" s="6">
        <v>42809</v>
      </c>
      <c r="B3092" s="7">
        <v>103.7373</v>
      </c>
      <c r="C3092" s="8">
        <f t="shared" si="25"/>
        <v>137.26990587557833</v>
      </c>
      <c r="D3092" s="9">
        <f t="shared" si="24"/>
        <v>70.200770754689088</v>
      </c>
      <c r="E3092" s="9"/>
      <c r="F3092" s="9">
        <f ca="1">IFERROR(__xludf.DUMMYFUNCTION("""COMPUTED_VALUE"""),42215)</f>
        <v>42215</v>
      </c>
      <c r="G3092" s="9" t="str">
        <f ca="1">IFERROR(__xludf.DUMMYFUNCTION("""COMPUTED_VALUE"""),"1 USD = 101.7942 PKR")</f>
        <v>1 USD = 101.7942 PKR</v>
      </c>
      <c r="H3092" s="9" t="str">
        <f ca="1">IFERROR(__xludf.DUMMYFUNCTION("""COMPUTED_VALUE"""),"USD PKR rate for 30/07/2015")</f>
        <v>USD PKR rate for 30/07/2015</v>
      </c>
      <c r="I3092" s="9"/>
    </row>
    <row r="3093" spans="1:9" ht="14.25" customHeight="1" x14ac:dyDescent="0.3">
      <c r="A3093" s="6">
        <v>42810</v>
      </c>
      <c r="B3093" s="7">
        <v>104.36150000000001</v>
      </c>
      <c r="C3093" s="8">
        <f t="shared" si="25"/>
        <v>137.29445656644671</v>
      </c>
      <c r="D3093" s="9">
        <f t="shared" si="24"/>
        <v>70.203508587486354</v>
      </c>
      <c r="E3093" s="9"/>
      <c r="F3093" s="9">
        <f ca="1">IFERROR(__xludf.DUMMYFUNCTION("""COMPUTED_VALUE"""),42214)</f>
        <v>42214</v>
      </c>
      <c r="G3093" s="9" t="str">
        <f ca="1">IFERROR(__xludf.DUMMYFUNCTION("""COMPUTED_VALUE"""),"1 USD = 101.7694 PKR")</f>
        <v>1 USD = 101.7694 PKR</v>
      </c>
      <c r="H3093" s="9" t="str">
        <f ca="1">IFERROR(__xludf.DUMMYFUNCTION("""COMPUTED_VALUE"""),"USD PKR rate for 29/07/2015")</f>
        <v>USD PKR rate for 29/07/2015</v>
      </c>
      <c r="I3093" s="9"/>
    </row>
    <row r="3094" spans="1:9" ht="14.25" customHeight="1" x14ac:dyDescent="0.3">
      <c r="A3094" s="6">
        <v>42811</v>
      </c>
      <c r="B3094" s="7">
        <v>104.80419999999999</v>
      </c>
      <c r="C3094" s="8">
        <f t="shared" si="25"/>
        <v>137.31901164820039</v>
      </c>
      <c r="D3094" s="9">
        <f t="shared" si="24"/>
        <v>70.20624642028362</v>
      </c>
      <c r="E3094" s="9"/>
      <c r="F3094" s="9">
        <f ca="1">IFERROR(__xludf.DUMMYFUNCTION("""COMPUTED_VALUE"""),42213)</f>
        <v>42213</v>
      </c>
      <c r="G3094" s="9" t="str">
        <f ca="1">IFERROR(__xludf.DUMMYFUNCTION("""COMPUTED_VALUE"""),"1 USD = 101.7723 PKR")</f>
        <v>1 USD = 101.7723 PKR</v>
      </c>
      <c r="H3094" s="9" t="str">
        <f ca="1">IFERROR(__xludf.DUMMYFUNCTION("""COMPUTED_VALUE"""),"USD PKR rate for 28/07/2015")</f>
        <v>USD PKR rate for 28/07/2015</v>
      </c>
      <c r="I3094" s="9"/>
    </row>
    <row r="3095" spans="1:9" ht="14.25" customHeight="1" x14ac:dyDescent="0.3">
      <c r="A3095" s="6">
        <v>42812</v>
      </c>
      <c r="B3095" s="7">
        <v>104.7483</v>
      </c>
      <c r="C3095" s="8">
        <f t="shared" si="25"/>
        <v>137.34357112162482</v>
      </c>
      <c r="D3095" s="9">
        <f t="shared" si="24"/>
        <v>70.208984253080885</v>
      </c>
      <c r="E3095" s="9"/>
      <c r="F3095" s="9">
        <f ca="1">IFERROR(__xludf.DUMMYFUNCTION("""COMPUTED_VALUE"""),42212)</f>
        <v>42212</v>
      </c>
      <c r="G3095" s="9" t="str">
        <f ca="1">IFERROR(__xludf.DUMMYFUNCTION("""COMPUTED_VALUE"""),"1 USD = 101.8257 PKR")</f>
        <v>1 USD = 101.8257 PKR</v>
      </c>
      <c r="H3095" s="9" t="str">
        <f ca="1">IFERROR(__xludf.DUMMYFUNCTION("""COMPUTED_VALUE"""),"USD PKR rate for 27/07/2015")</f>
        <v>USD PKR rate for 27/07/2015</v>
      </c>
      <c r="I3095" s="9"/>
    </row>
    <row r="3096" spans="1:9" ht="14.25" customHeight="1" x14ac:dyDescent="0.3">
      <c r="A3096" s="6">
        <v>42813</v>
      </c>
      <c r="B3096" s="7">
        <v>104.79710000000001</v>
      </c>
      <c r="C3096" s="8">
        <f t="shared" si="25"/>
        <v>137.36813498750541</v>
      </c>
      <c r="D3096" s="9">
        <f t="shared" si="24"/>
        <v>70.211722085878151</v>
      </c>
      <c r="E3096" s="9"/>
      <c r="F3096" s="9">
        <f ca="1">IFERROR(__xludf.DUMMYFUNCTION("""COMPUTED_VALUE"""),42211)</f>
        <v>42211</v>
      </c>
      <c r="G3096" s="9" t="str">
        <f ca="1">IFERROR(__xludf.DUMMYFUNCTION("""COMPUTED_VALUE"""),"1 USD = 101.8345 PKR")</f>
        <v>1 USD = 101.8345 PKR</v>
      </c>
      <c r="H3096" s="9" t="str">
        <f ca="1">IFERROR(__xludf.DUMMYFUNCTION("""COMPUTED_VALUE"""),"USD PKR rate for 26/07/2015")</f>
        <v>USD PKR rate for 26/07/2015</v>
      </c>
      <c r="I3096" s="9"/>
    </row>
    <row r="3097" spans="1:9" ht="14.25" customHeight="1" x14ac:dyDescent="0.3">
      <c r="A3097" s="6">
        <v>42814</v>
      </c>
      <c r="B3097" s="7">
        <v>104.9222</v>
      </c>
      <c r="C3097" s="8">
        <f t="shared" si="25"/>
        <v>137.39270324662772</v>
      </c>
      <c r="D3097" s="9">
        <f t="shared" si="24"/>
        <v>70.214459918675416</v>
      </c>
      <c r="E3097" s="9"/>
      <c r="F3097" s="9">
        <f ca="1">IFERROR(__xludf.DUMMYFUNCTION("""COMPUTED_VALUE"""),42210)</f>
        <v>42210</v>
      </c>
      <c r="G3097" s="9" t="str">
        <f ca="1">IFERROR(__xludf.DUMMYFUNCTION("""COMPUTED_VALUE"""),"1 USD = 101.8415 PKR")</f>
        <v>1 USD = 101.8415 PKR</v>
      </c>
      <c r="H3097" s="9" t="str">
        <f ca="1">IFERROR(__xludf.DUMMYFUNCTION("""COMPUTED_VALUE"""),"USD PKR rate for 25/07/2015")</f>
        <v>USD PKR rate for 25/07/2015</v>
      </c>
      <c r="I3097" s="9"/>
    </row>
    <row r="3098" spans="1:9" ht="14.25" customHeight="1" x14ac:dyDescent="0.3">
      <c r="A3098" s="6">
        <v>42815</v>
      </c>
      <c r="B3098" s="7">
        <v>104.79950000000001</v>
      </c>
      <c r="C3098" s="8">
        <f t="shared" si="25"/>
        <v>137.41727589977748</v>
      </c>
      <c r="D3098" s="9">
        <f t="shared" si="24"/>
        <v>70.217197751472682</v>
      </c>
      <c r="E3098" s="9"/>
      <c r="F3098" s="9">
        <f ca="1">IFERROR(__xludf.DUMMYFUNCTION("""COMPUTED_VALUE"""),42209)</f>
        <v>42209</v>
      </c>
      <c r="G3098" s="9" t="str">
        <f ca="1">IFERROR(__xludf.DUMMYFUNCTION("""COMPUTED_VALUE"""),"1 USD = 101.8469 PKR")</f>
        <v>1 USD = 101.8469 PKR</v>
      </c>
      <c r="H3098" s="9" t="str">
        <f ca="1">IFERROR(__xludf.DUMMYFUNCTION("""COMPUTED_VALUE"""),"USD PKR rate for 24/07/2015")</f>
        <v>USD PKR rate for 24/07/2015</v>
      </c>
      <c r="I3098" s="9"/>
    </row>
    <row r="3099" spans="1:9" ht="14.25" customHeight="1" x14ac:dyDescent="0.3">
      <c r="A3099" s="6">
        <v>42816</v>
      </c>
      <c r="B3099" s="7">
        <v>104.7835</v>
      </c>
      <c r="C3099" s="8">
        <f t="shared" si="25"/>
        <v>137.44185294774056</v>
      </c>
      <c r="D3099" s="9">
        <f t="shared" si="24"/>
        <v>70.219935584269948</v>
      </c>
      <c r="E3099" s="9"/>
      <c r="F3099" s="9">
        <f ca="1">IFERROR(__xludf.DUMMYFUNCTION("""COMPUTED_VALUE"""),42208)</f>
        <v>42208</v>
      </c>
      <c r="G3099" s="9" t="str">
        <f ca="1">IFERROR(__xludf.DUMMYFUNCTION("""COMPUTED_VALUE"""),"1 USD = 101.7883 PKR")</f>
        <v>1 USD = 101.7883 PKR</v>
      </c>
      <c r="H3099" s="9" t="str">
        <f ca="1">IFERROR(__xludf.DUMMYFUNCTION("""COMPUTED_VALUE"""),"USD PKR rate for 23/07/2015")</f>
        <v>USD PKR rate for 23/07/2015</v>
      </c>
      <c r="I3099" s="9"/>
    </row>
    <row r="3100" spans="1:9" ht="14.25" customHeight="1" x14ac:dyDescent="0.3">
      <c r="A3100" s="6">
        <v>42817</v>
      </c>
      <c r="B3100" s="7">
        <v>104.77850000000001</v>
      </c>
      <c r="C3100" s="8">
        <f t="shared" si="25"/>
        <v>137.46643439130298</v>
      </c>
      <c r="D3100" s="9">
        <f t="shared" si="24"/>
        <v>70.222673417067213</v>
      </c>
      <c r="E3100" s="9"/>
      <c r="F3100" s="9">
        <f ca="1">IFERROR(__xludf.DUMMYFUNCTION("""COMPUTED_VALUE"""),42207)</f>
        <v>42207</v>
      </c>
      <c r="G3100" s="9" t="str">
        <f ca="1">IFERROR(__xludf.DUMMYFUNCTION("""COMPUTED_VALUE"""),"1 USD = 101.8154 PKR")</f>
        <v>1 USD = 101.8154 PKR</v>
      </c>
      <c r="H3100" s="9" t="str">
        <f ca="1">IFERROR(__xludf.DUMMYFUNCTION("""COMPUTED_VALUE"""),"USD PKR rate for 22/07/2015")</f>
        <v>USD PKR rate for 22/07/2015</v>
      </c>
      <c r="I3100" s="9"/>
    </row>
    <row r="3101" spans="1:9" ht="14.25" customHeight="1" x14ac:dyDescent="0.3">
      <c r="A3101" s="6">
        <v>42818</v>
      </c>
      <c r="B3101" s="7">
        <v>104.8758</v>
      </c>
      <c r="C3101" s="8">
        <f t="shared" si="25"/>
        <v>137.4910202312509</v>
      </c>
      <c r="D3101" s="9">
        <f t="shared" si="24"/>
        <v>70.225411249864479</v>
      </c>
      <c r="E3101" s="9"/>
      <c r="F3101" s="9">
        <f ca="1">IFERROR(__xludf.DUMMYFUNCTION("""COMPUTED_VALUE"""),42206)</f>
        <v>42206</v>
      </c>
      <c r="G3101" s="9" t="str">
        <f ca="1">IFERROR(__xludf.DUMMYFUNCTION("""COMPUTED_VALUE"""),"1 USD = 101.9093 PKR")</f>
        <v>1 USD = 101.9093 PKR</v>
      </c>
      <c r="H3101" s="9" t="str">
        <f ca="1">IFERROR(__xludf.DUMMYFUNCTION("""COMPUTED_VALUE"""),"USD PKR rate for 21/07/2015")</f>
        <v>USD PKR rate for 21/07/2015</v>
      </c>
      <c r="I3101" s="9"/>
    </row>
    <row r="3102" spans="1:9" ht="14.25" customHeight="1" x14ac:dyDescent="0.3">
      <c r="A3102" s="6">
        <v>42819</v>
      </c>
      <c r="B3102" s="7">
        <v>104.8926</v>
      </c>
      <c r="C3102" s="8">
        <f t="shared" si="25"/>
        <v>137.5156104683706</v>
      </c>
      <c r="D3102" s="9">
        <f t="shared" si="24"/>
        <v>70.228149082661744</v>
      </c>
      <c r="E3102" s="9"/>
      <c r="F3102" s="9">
        <f ca="1">IFERROR(__xludf.DUMMYFUNCTION("""COMPUTED_VALUE"""),42205)</f>
        <v>42205</v>
      </c>
      <c r="G3102" s="9" t="str">
        <f ca="1">IFERROR(__xludf.DUMMYFUNCTION("""COMPUTED_VALUE"""),"1 USD = 101.8471 PKR")</f>
        <v>1 USD = 101.8471 PKR</v>
      </c>
      <c r="H3102" s="9" t="str">
        <f ca="1">IFERROR(__xludf.DUMMYFUNCTION("""COMPUTED_VALUE"""),"USD PKR rate for 20/07/2015")</f>
        <v>USD PKR rate for 20/07/2015</v>
      </c>
      <c r="I3102" s="9"/>
    </row>
    <row r="3103" spans="1:9" ht="14.25" customHeight="1" x14ac:dyDescent="0.3">
      <c r="A3103" s="6">
        <v>42820</v>
      </c>
      <c r="B3103" s="7">
        <v>104.80459999999999</v>
      </c>
      <c r="C3103" s="8">
        <f t="shared" si="25"/>
        <v>137.54020510344836</v>
      </c>
      <c r="D3103" s="9">
        <f t="shared" si="24"/>
        <v>70.23088691545901</v>
      </c>
      <c r="E3103" s="9"/>
      <c r="F3103" s="9">
        <f ca="1">IFERROR(__xludf.DUMMYFUNCTION("""COMPUTED_VALUE"""),42204)</f>
        <v>42204</v>
      </c>
      <c r="G3103" s="9" t="str">
        <f ca="1">IFERROR(__xludf.DUMMYFUNCTION("""COMPUTED_VALUE"""),"1 USD = 101.8256 PKR")</f>
        <v>1 USD = 101.8256 PKR</v>
      </c>
      <c r="H3103" s="9" t="str">
        <f ca="1">IFERROR(__xludf.DUMMYFUNCTION("""COMPUTED_VALUE"""),"USD PKR rate for 19/07/2015")</f>
        <v>USD PKR rate for 19/07/2015</v>
      </c>
      <c r="I3103" s="9"/>
    </row>
    <row r="3104" spans="1:9" ht="14.25" customHeight="1" x14ac:dyDescent="0.3">
      <c r="A3104" s="6">
        <v>42821</v>
      </c>
      <c r="B3104" s="7">
        <v>104.81760000000001</v>
      </c>
      <c r="C3104" s="8">
        <f t="shared" si="25"/>
        <v>137.56480413727107</v>
      </c>
      <c r="D3104" s="9">
        <f t="shared" si="24"/>
        <v>70.233624748256275</v>
      </c>
      <c r="E3104" s="9"/>
      <c r="F3104" s="9">
        <f ca="1">IFERROR(__xludf.DUMMYFUNCTION("""COMPUTED_VALUE"""),42203)</f>
        <v>42203</v>
      </c>
      <c r="G3104" s="9" t="str">
        <f ca="1">IFERROR(__xludf.DUMMYFUNCTION("""COMPUTED_VALUE"""),"1 USD = 101.8477 PKR")</f>
        <v>1 USD = 101.8477 PKR</v>
      </c>
      <c r="H3104" s="9" t="str">
        <f ca="1">IFERROR(__xludf.DUMMYFUNCTION("""COMPUTED_VALUE"""),"USD PKR rate for 18/07/2015")</f>
        <v>USD PKR rate for 18/07/2015</v>
      </c>
      <c r="I3104" s="9"/>
    </row>
    <row r="3105" spans="1:9" ht="14.25" customHeight="1" x14ac:dyDescent="0.3">
      <c r="A3105" s="6">
        <v>42822</v>
      </c>
      <c r="B3105" s="7">
        <v>104.82600000000001</v>
      </c>
      <c r="C3105" s="8">
        <f t="shared" si="25"/>
        <v>137.58940757062524</v>
      </c>
      <c r="D3105" s="9">
        <f t="shared" si="24"/>
        <v>70.236362581053541</v>
      </c>
      <c r="E3105" s="9"/>
      <c r="F3105" s="9">
        <f ca="1">IFERROR(__xludf.DUMMYFUNCTION("""COMPUTED_VALUE"""),42202)</f>
        <v>42202</v>
      </c>
      <c r="G3105" s="9" t="str">
        <f ca="1">IFERROR(__xludf.DUMMYFUNCTION("""COMPUTED_VALUE"""),"1 USD = 101.9094 PKR")</f>
        <v>1 USD = 101.9094 PKR</v>
      </c>
      <c r="H3105" s="9" t="str">
        <f ca="1">IFERROR(__xludf.DUMMYFUNCTION("""COMPUTED_VALUE"""),"USD PKR rate for 17/07/2015")</f>
        <v>USD PKR rate for 17/07/2015</v>
      </c>
      <c r="I3105" s="9"/>
    </row>
    <row r="3106" spans="1:9" ht="14.25" customHeight="1" x14ac:dyDescent="0.3">
      <c r="A3106" s="6">
        <v>42823</v>
      </c>
      <c r="B3106" s="7">
        <v>104.7976</v>
      </c>
      <c r="C3106" s="8">
        <f t="shared" si="25"/>
        <v>137.61401540429779</v>
      </c>
      <c r="D3106" s="9">
        <f t="shared" si="24"/>
        <v>70.239100413850807</v>
      </c>
      <c r="E3106" s="9"/>
      <c r="F3106" s="9">
        <f ca="1">IFERROR(__xludf.DUMMYFUNCTION("""COMPUTED_VALUE"""),42201)</f>
        <v>42201</v>
      </c>
      <c r="G3106" s="9" t="str">
        <f ca="1">IFERROR(__xludf.DUMMYFUNCTION("""COMPUTED_VALUE"""),"1 USD = 101.8394 PKR")</f>
        <v>1 USD = 101.8394 PKR</v>
      </c>
      <c r="H3106" s="9" t="str">
        <f ca="1">IFERROR(__xludf.DUMMYFUNCTION("""COMPUTED_VALUE"""),"USD PKR rate for 16/07/2015")</f>
        <v>USD PKR rate for 16/07/2015</v>
      </c>
      <c r="I3106" s="9"/>
    </row>
    <row r="3107" spans="1:9" ht="14.25" customHeight="1" x14ac:dyDescent="0.3">
      <c r="A3107" s="6">
        <v>42824</v>
      </c>
      <c r="B3107" s="7">
        <v>105.3259</v>
      </c>
      <c r="C3107" s="8">
        <f t="shared" si="25"/>
        <v>137.63862763907568</v>
      </c>
      <c r="D3107" s="9">
        <f t="shared" si="24"/>
        <v>70.241838246648072</v>
      </c>
      <c r="E3107" s="9"/>
      <c r="F3107" s="9">
        <f ca="1">IFERROR(__xludf.DUMMYFUNCTION("""COMPUTED_VALUE"""),42200)</f>
        <v>42200</v>
      </c>
      <c r="G3107" s="9" t="str">
        <f ca="1">IFERROR(__xludf.DUMMYFUNCTION("""COMPUTED_VALUE"""),"1 USD = 101.9323 PKR")</f>
        <v>1 USD = 101.9323 PKR</v>
      </c>
      <c r="H3107" s="9" t="str">
        <f ca="1">IFERROR(__xludf.DUMMYFUNCTION("""COMPUTED_VALUE"""),"USD PKR rate for 15/07/2015")</f>
        <v>USD PKR rate for 15/07/2015</v>
      </c>
      <c r="I3107" s="9"/>
    </row>
    <row r="3108" spans="1:9" ht="14.25" customHeight="1" x14ac:dyDescent="0.3">
      <c r="A3108" s="6">
        <v>42825</v>
      </c>
      <c r="B3108" s="7">
        <v>104.8165</v>
      </c>
      <c r="C3108" s="8">
        <f t="shared" si="25"/>
        <v>137.66324427574605</v>
      </c>
      <c r="D3108" s="9">
        <f t="shared" si="24"/>
        <v>70.244576079445338</v>
      </c>
      <c r="E3108" s="9"/>
      <c r="F3108" s="9">
        <f ca="1">IFERROR(__xludf.DUMMYFUNCTION("""COMPUTED_VALUE"""),42199)</f>
        <v>42199</v>
      </c>
      <c r="G3108" s="9" t="str">
        <f ca="1">IFERROR(__xludf.DUMMYFUNCTION("""COMPUTED_VALUE"""),"1 USD = 101.8442 PKR")</f>
        <v>1 USD = 101.8442 PKR</v>
      </c>
      <c r="H3108" s="9" t="str">
        <f ca="1">IFERROR(__xludf.DUMMYFUNCTION("""COMPUTED_VALUE"""),"USD PKR rate for 14/07/2015")</f>
        <v>USD PKR rate for 14/07/2015</v>
      </c>
      <c r="I3108" s="9"/>
    </row>
    <row r="3109" spans="1:9" ht="14.25" customHeight="1" x14ac:dyDescent="0.3">
      <c r="A3109" s="6">
        <v>42826</v>
      </c>
      <c r="B3109" s="7">
        <v>104.8165</v>
      </c>
      <c r="C3109" s="8">
        <f t="shared" si="25"/>
        <v>137.68786531509622</v>
      </c>
      <c r="D3109" s="9">
        <f t="shared" si="24"/>
        <v>70.247313912242603</v>
      </c>
      <c r="E3109" s="9"/>
      <c r="F3109" s="9">
        <f ca="1">IFERROR(__xludf.DUMMYFUNCTION("""COMPUTED_VALUE"""),42198)</f>
        <v>42198</v>
      </c>
      <c r="G3109" s="9" t="str">
        <f ca="1">IFERROR(__xludf.DUMMYFUNCTION("""COMPUTED_VALUE"""),"1 USD = 101.8075 PKR")</f>
        <v>1 USD = 101.8075 PKR</v>
      </c>
      <c r="H3109" s="9" t="str">
        <f ca="1">IFERROR(__xludf.DUMMYFUNCTION("""COMPUTED_VALUE"""),"USD PKR rate for 13/07/2015")</f>
        <v>USD PKR rate for 13/07/2015</v>
      </c>
      <c r="I3109" s="9"/>
    </row>
    <row r="3110" spans="1:9" ht="14.25" customHeight="1" x14ac:dyDescent="0.3">
      <c r="A3110" s="6">
        <v>42827</v>
      </c>
      <c r="B3110" s="7">
        <v>104.8359</v>
      </c>
      <c r="C3110" s="8">
        <f t="shared" si="25"/>
        <v>137.71249075791354</v>
      </c>
      <c r="D3110" s="9">
        <f t="shared" si="24"/>
        <v>70.250051745039869</v>
      </c>
      <c r="E3110" s="9"/>
      <c r="F3110" s="9">
        <f ca="1">IFERROR(__xludf.DUMMYFUNCTION("""COMPUTED_VALUE"""),42197)</f>
        <v>42197</v>
      </c>
      <c r="G3110" s="9" t="str">
        <f ca="1">IFERROR(__xludf.DUMMYFUNCTION("""COMPUTED_VALUE"""),"1 USD = 101.7496 PKR")</f>
        <v>1 USD = 101.7496 PKR</v>
      </c>
      <c r="H3110" s="9" t="str">
        <f ca="1">IFERROR(__xludf.DUMMYFUNCTION("""COMPUTED_VALUE"""),"USD PKR rate for 12/07/2015")</f>
        <v>USD PKR rate for 12/07/2015</v>
      </c>
      <c r="I3110" s="9"/>
    </row>
    <row r="3111" spans="1:9" ht="14.25" customHeight="1" x14ac:dyDescent="0.3">
      <c r="A3111" s="6">
        <v>42828</v>
      </c>
      <c r="B3111" s="7">
        <v>104.82900000000001</v>
      </c>
      <c r="C3111" s="8">
        <f t="shared" si="25"/>
        <v>137.73712060498565</v>
      </c>
      <c r="D3111" s="9">
        <f t="shared" si="24"/>
        <v>70.252789577837135</v>
      </c>
      <c r="E3111" s="9"/>
      <c r="F3111" s="9">
        <f ca="1">IFERROR(__xludf.DUMMYFUNCTION("""COMPUTED_VALUE"""),42196)</f>
        <v>42196</v>
      </c>
      <c r="G3111" s="9" t="str">
        <f ca="1">IFERROR(__xludf.DUMMYFUNCTION("""COMPUTED_VALUE"""),"1 USD = 101.6902 PKR")</f>
        <v>1 USD = 101.6902 PKR</v>
      </c>
      <c r="H3111" s="9" t="str">
        <f ca="1">IFERROR(__xludf.DUMMYFUNCTION("""COMPUTED_VALUE"""),"USD PKR rate for 11/07/2015")</f>
        <v>USD PKR rate for 11/07/2015</v>
      </c>
      <c r="I3111" s="9"/>
    </row>
    <row r="3112" spans="1:9" ht="14.25" customHeight="1" x14ac:dyDescent="0.3">
      <c r="A3112" s="6">
        <v>42829</v>
      </c>
      <c r="B3112" s="7">
        <v>104.7679</v>
      </c>
      <c r="C3112" s="8">
        <f t="shared" si="25"/>
        <v>137.76175485710004</v>
      </c>
      <c r="D3112" s="9">
        <f t="shared" si="24"/>
        <v>70.2555274106344</v>
      </c>
      <c r="E3112" s="9"/>
      <c r="F3112" s="9">
        <f ca="1">IFERROR(__xludf.DUMMYFUNCTION("""COMPUTED_VALUE"""),42195)</f>
        <v>42195</v>
      </c>
      <c r="G3112" s="9" t="str">
        <f ca="1">IFERROR(__xludf.DUMMYFUNCTION("""COMPUTED_VALUE"""),"1 USD = 101.7282 PKR")</f>
        <v>1 USD = 101.7282 PKR</v>
      </c>
      <c r="H3112" s="9" t="str">
        <f ca="1">IFERROR(__xludf.DUMMYFUNCTION("""COMPUTED_VALUE"""),"USD PKR rate for 10/07/2015")</f>
        <v>USD PKR rate for 10/07/2015</v>
      </c>
      <c r="I3112" s="9"/>
    </row>
    <row r="3113" spans="1:9" ht="14.25" customHeight="1" x14ac:dyDescent="0.3">
      <c r="A3113" s="6">
        <v>42830</v>
      </c>
      <c r="B3113" s="7">
        <v>104.76430000000001</v>
      </c>
      <c r="C3113" s="8">
        <f t="shared" si="25"/>
        <v>137.78639351504486</v>
      </c>
      <c r="D3113" s="9">
        <f t="shared" si="24"/>
        <v>70.258265243431666</v>
      </c>
      <c r="E3113" s="9"/>
      <c r="F3113" s="9">
        <f ca="1">IFERROR(__xludf.DUMMYFUNCTION("""COMPUTED_VALUE"""),42194)</f>
        <v>42194</v>
      </c>
      <c r="G3113" s="9" t="str">
        <f ca="1">IFERROR(__xludf.DUMMYFUNCTION("""COMPUTED_VALUE"""),"1 USD = 101.733 PKR")</f>
        <v>1 USD = 101.733 PKR</v>
      </c>
      <c r="H3113" s="9" t="str">
        <f ca="1">IFERROR(__xludf.DUMMYFUNCTION("""COMPUTED_VALUE"""),"USD PKR rate for 09/07/2015")</f>
        <v>USD PKR rate for 09/07/2015</v>
      </c>
      <c r="I3113" s="9"/>
    </row>
    <row r="3114" spans="1:9" ht="14.25" customHeight="1" x14ac:dyDescent="0.3">
      <c r="A3114" s="6">
        <v>42831</v>
      </c>
      <c r="B3114" s="7">
        <v>105.027</v>
      </c>
      <c r="C3114" s="8">
        <f t="shared" si="25"/>
        <v>137.81103657960793</v>
      </c>
      <c r="D3114" s="9">
        <f t="shared" si="24"/>
        <v>70.261003076228931</v>
      </c>
      <c r="E3114" s="9"/>
      <c r="F3114" s="9">
        <f ca="1">IFERROR(__xludf.DUMMYFUNCTION("""COMPUTED_VALUE"""),42193)</f>
        <v>42193</v>
      </c>
      <c r="G3114" s="9" t="str">
        <f ca="1">IFERROR(__xludf.DUMMYFUNCTION("""COMPUTED_VALUE"""),"1 USD = 101.7212 PKR")</f>
        <v>1 USD = 101.7212 PKR</v>
      </c>
      <c r="H3114" s="9" t="str">
        <f ca="1">IFERROR(__xludf.DUMMYFUNCTION("""COMPUTED_VALUE"""),"USD PKR rate for 08/07/2015")</f>
        <v>USD PKR rate for 08/07/2015</v>
      </c>
      <c r="I3114" s="9"/>
    </row>
    <row r="3115" spans="1:9" ht="14.25" customHeight="1" x14ac:dyDescent="0.3">
      <c r="A3115" s="6">
        <v>42832</v>
      </c>
      <c r="B3115" s="7">
        <v>104.7163</v>
      </c>
      <c r="C3115" s="8">
        <f t="shared" si="25"/>
        <v>137.8356840515774</v>
      </c>
      <c r="D3115" s="9">
        <f t="shared" si="24"/>
        <v>70.263740909026197</v>
      </c>
      <c r="E3115" s="9"/>
      <c r="F3115" s="9">
        <f ca="1">IFERROR(__xludf.DUMMYFUNCTION("""COMPUTED_VALUE"""),42192)</f>
        <v>42192</v>
      </c>
      <c r="G3115" s="9" t="str">
        <f ca="1">IFERROR(__xludf.DUMMYFUNCTION("""COMPUTED_VALUE"""),"1 USD = 101.8865 PKR")</f>
        <v>1 USD = 101.8865 PKR</v>
      </c>
      <c r="H3115" s="9" t="str">
        <f ca="1">IFERROR(__xludf.DUMMYFUNCTION("""COMPUTED_VALUE"""),"USD PKR rate for 07/07/2015")</f>
        <v>USD PKR rate for 07/07/2015</v>
      </c>
      <c r="I3115" s="9"/>
    </row>
    <row r="3116" spans="1:9" ht="14.25" customHeight="1" x14ac:dyDescent="0.3">
      <c r="A3116" s="6">
        <v>42833</v>
      </c>
      <c r="B3116" s="7">
        <v>105.1833</v>
      </c>
      <c r="C3116" s="8">
        <f t="shared" si="25"/>
        <v>137.8603359317415</v>
      </c>
      <c r="D3116" s="9">
        <f t="shared" si="24"/>
        <v>70.266478741823462</v>
      </c>
      <c r="E3116" s="9"/>
      <c r="F3116" s="9">
        <f ca="1">IFERROR(__xludf.DUMMYFUNCTION("""COMPUTED_VALUE"""),42191)</f>
        <v>42191</v>
      </c>
      <c r="G3116" s="9" t="str">
        <f ca="1">IFERROR(__xludf.DUMMYFUNCTION("""COMPUTED_VALUE"""),"1 USD = 101.7974 PKR")</f>
        <v>1 USD = 101.7974 PKR</v>
      </c>
      <c r="H3116" s="9" t="str">
        <f ca="1">IFERROR(__xludf.DUMMYFUNCTION("""COMPUTED_VALUE"""),"USD PKR rate for 06/07/2015")</f>
        <v>USD PKR rate for 06/07/2015</v>
      </c>
      <c r="I3116" s="9"/>
    </row>
    <row r="3117" spans="1:9" ht="14.25" customHeight="1" x14ac:dyDescent="0.3">
      <c r="A3117" s="6">
        <v>42834</v>
      </c>
      <c r="B3117" s="7">
        <v>105.1118</v>
      </c>
      <c r="C3117" s="8">
        <f t="shared" si="25"/>
        <v>137.88499222088868</v>
      </c>
      <c r="D3117" s="9">
        <f t="shared" si="24"/>
        <v>70.269216574620728</v>
      </c>
      <c r="E3117" s="9"/>
      <c r="F3117" s="9">
        <f ca="1">IFERROR(__xludf.DUMMYFUNCTION("""COMPUTED_VALUE"""),42190)</f>
        <v>42190</v>
      </c>
      <c r="G3117" s="9" t="str">
        <f ca="1">IFERROR(__xludf.DUMMYFUNCTION("""COMPUTED_VALUE"""),"1 USD = 101.8001 PKR")</f>
        <v>1 USD = 101.8001 PKR</v>
      </c>
      <c r="H3117" s="9" t="str">
        <f ca="1">IFERROR(__xludf.DUMMYFUNCTION("""COMPUTED_VALUE"""),"USD PKR rate for 05/07/2015")</f>
        <v>USD PKR rate for 05/07/2015</v>
      </c>
      <c r="I3117" s="9"/>
    </row>
    <row r="3118" spans="1:9" ht="14.25" customHeight="1" x14ac:dyDescent="0.3">
      <c r="A3118" s="6">
        <v>42835</v>
      </c>
      <c r="B3118" s="7">
        <v>104.866</v>
      </c>
      <c r="C3118" s="8">
        <f t="shared" si="25"/>
        <v>137.90965291980746</v>
      </c>
      <c r="D3118" s="9">
        <f t="shared" si="24"/>
        <v>70.271954407417994</v>
      </c>
      <c r="E3118" s="9"/>
      <c r="F3118" s="9">
        <f ca="1">IFERROR(__xludf.DUMMYFUNCTION("""COMPUTED_VALUE"""),42189)</f>
        <v>42189</v>
      </c>
      <c r="G3118" s="9" t="str">
        <f ca="1">IFERROR(__xludf.DUMMYFUNCTION("""COMPUTED_VALUE"""),"1 USD = 101.8046 PKR")</f>
        <v>1 USD = 101.8046 PKR</v>
      </c>
      <c r="H3118" s="9" t="str">
        <f ca="1">IFERROR(__xludf.DUMMYFUNCTION("""COMPUTED_VALUE"""),"USD PKR rate for 04/07/2015")</f>
        <v>USD PKR rate for 04/07/2015</v>
      </c>
      <c r="I3118" s="9"/>
    </row>
    <row r="3119" spans="1:9" ht="14.25" customHeight="1" x14ac:dyDescent="0.3">
      <c r="A3119" s="6">
        <v>42836</v>
      </c>
      <c r="B3119" s="7">
        <v>104.7684</v>
      </c>
      <c r="C3119" s="8">
        <f t="shared" si="25"/>
        <v>137.93431802928652</v>
      </c>
      <c r="D3119" s="9">
        <f t="shared" si="24"/>
        <v>70.274692240215259</v>
      </c>
      <c r="E3119" s="9"/>
      <c r="F3119" s="9">
        <f ca="1">IFERROR(__xludf.DUMMYFUNCTION("""COMPUTED_VALUE"""),42188)</f>
        <v>42188</v>
      </c>
      <c r="G3119" s="9" t="str">
        <f ca="1">IFERROR(__xludf.DUMMYFUNCTION("""COMPUTED_VALUE"""),"1 USD = 101.8967 PKR")</f>
        <v>1 USD = 101.8967 PKR</v>
      </c>
      <c r="H3119" s="9" t="str">
        <f ca="1">IFERROR(__xludf.DUMMYFUNCTION("""COMPUTED_VALUE"""),"USD PKR rate for 03/07/2015")</f>
        <v>USD PKR rate for 03/07/2015</v>
      </c>
      <c r="I3119" s="9"/>
    </row>
    <row r="3120" spans="1:9" ht="14.25" customHeight="1" x14ac:dyDescent="0.3">
      <c r="A3120" s="6">
        <v>42837</v>
      </c>
      <c r="B3120" s="7">
        <v>104.8335</v>
      </c>
      <c r="C3120" s="8">
        <f t="shared" si="25"/>
        <v>137.9589875501147</v>
      </c>
      <c r="D3120" s="9">
        <f t="shared" si="24"/>
        <v>70.277430073012525</v>
      </c>
      <c r="E3120" s="9"/>
      <c r="F3120" s="9">
        <f ca="1">IFERROR(__xludf.DUMMYFUNCTION("""COMPUTED_VALUE"""),42187)</f>
        <v>42187</v>
      </c>
      <c r="G3120" s="9" t="str">
        <f ca="1">IFERROR(__xludf.DUMMYFUNCTION("""COMPUTED_VALUE"""),"1 USD = 101.8209 PKR")</f>
        <v>1 USD = 101.8209 PKR</v>
      </c>
      <c r="H3120" s="9" t="str">
        <f ca="1">IFERROR(__xludf.DUMMYFUNCTION("""COMPUTED_VALUE"""),"USD PKR rate for 02/07/2015")</f>
        <v>USD PKR rate for 02/07/2015</v>
      </c>
      <c r="I3120" s="9"/>
    </row>
    <row r="3121" spans="1:9" ht="14.25" customHeight="1" x14ac:dyDescent="0.3">
      <c r="A3121" s="6">
        <v>42838</v>
      </c>
      <c r="B3121" s="7">
        <v>104.80459999999999</v>
      </c>
      <c r="C3121" s="8">
        <f t="shared" si="25"/>
        <v>137.98366148308085</v>
      </c>
      <c r="D3121" s="9">
        <f t="shared" si="24"/>
        <v>70.28016790580979</v>
      </c>
      <c r="E3121" s="9"/>
      <c r="F3121" s="9">
        <f ca="1">IFERROR(__xludf.DUMMYFUNCTION("""COMPUTED_VALUE"""),42186)</f>
        <v>42186</v>
      </c>
      <c r="G3121" s="9" t="str">
        <f ca="1">IFERROR(__xludf.DUMMYFUNCTION("""COMPUTED_VALUE"""),"1 USD = 101.8315 PKR")</f>
        <v>1 USD = 101.8315 PKR</v>
      </c>
      <c r="H3121" s="9" t="str">
        <f ca="1">IFERROR(__xludf.DUMMYFUNCTION("""COMPUTED_VALUE"""),"USD PKR rate for 01/07/2015")</f>
        <v>USD PKR rate for 01/07/2015</v>
      </c>
      <c r="I3121" s="9"/>
    </row>
    <row r="3122" spans="1:9" ht="14.25" customHeight="1" x14ac:dyDescent="0.3">
      <c r="A3122" s="6">
        <v>42839</v>
      </c>
      <c r="B3122" s="7">
        <v>105.07559999999999</v>
      </c>
      <c r="C3122" s="8">
        <f t="shared" si="25"/>
        <v>138.0083398289743</v>
      </c>
      <c r="D3122" s="9">
        <f t="shared" si="24"/>
        <v>70.282905738607056</v>
      </c>
      <c r="E3122" s="9"/>
      <c r="F3122" s="9">
        <f ca="1">IFERROR(__xludf.DUMMYFUNCTION("""COMPUTED_VALUE"""),42185)</f>
        <v>42185</v>
      </c>
      <c r="G3122" s="9" t="str">
        <f ca="1">IFERROR(__xludf.DUMMYFUNCTION("""COMPUTED_VALUE"""),"1 USD = 102.1516 PKR")</f>
        <v>1 USD = 102.1516 PKR</v>
      </c>
      <c r="H3122" s="9" t="str">
        <f ca="1">IFERROR(__xludf.DUMMYFUNCTION("""COMPUTED_VALUE"""),"USD PKR rate for 30/06/2015")</f>
        <v>USD PKR rate for 30/06/2015</v>
      </c>
      <c r="I3122" s="9"/>
    </row>
    <row r="3123" spans="1:9" ht="14.25" customHeight="1" x14ac:dyDescent="0.3">
      <c r="A3123" s="6">
        <v>42840</v>
      </c>
      <c r="B3123" s="7">
        <v>105.11800000000001</v>
      </c>
      <c r="C3123" s="8">
        <f t="shared" si="25"/>
        <v>138.0330225885842</v>
      </c>
      <c r="D3123" s="9">
        <f t="shared" si="24"/>
        <v>70.285643571404322</v>
      </c>
      <c r="E3123" s="9"/>
      <c r="F3123" s="9">
        <f ca="1">IFERROR(__xludf.DUMMYFUNCTION("""COMPUTED_VALUE"""),42184)</f>
        <v>42184</v>
      </c>
      <c r="G3123" s="9" t="str">
        <f ca="1">IFERROR(__xludf.DUMMYFUNCTION("""COMPUTED_VALUE"""),"1 USD = 101.848 PKR")</f>
        <v>1 USD = 101.848 PKR</v>
      </c>
      <c r="H3123" s="9" t="str">
        <f ca="1">IFERROR(__xludf.DUMMYFUNCTION("""COMPUTED_VALUE"""),"USD PKR rate for 29/06/2015")</f>
        <v>USD PKR rate for 29/06/2015</v>
      </c>
      <c r="I3123" s="9"/>
    </row>
    <row r="3124" spans="1:9" ht="14.25" customHeight="1" x14ac:dyDescent="0.3">
      <c r="A3124" s="6">
        <v>42841</v>
      </c>
      <c r="B3124" s="7">
        <v>105.047</v>
      </c>
      <c r="C3124" s="8">
        <f t="shared" si="25"/>
        <v>138.05770976269994</v>
      </c>
      <c r="D3124" s="9">
        <f t="shared" si="24"/>
        <v>70.288381404201587</v>
      </c>
      <c r="E3124" s="9"/>
      <c r="F3124" s="9">
        <f ca="1">IFERROR(__xludf.DUMMYFUNCTION("""COMPUTED_VALUE"""),42183)</f>
        <v>42183</v>
      </c>
      <c r="G3124" s="9" t="str">
        <f ca="1">IFERROR(__xludf.DUMMYFUNCTION("""COMPUTED_VALUE"""),"1 USD = 101.8776 PKR")</f>
        <v>1 USD = 101.8776 PKR</v>
      </c>
      <c r="H3124" s="9" t="str">
        <f ca="1">IFERROR(__xludf.DUMMYFUNCTION("""COMPUTED_VALUE"""),"USD PKR rate for 28/06/2015")</f>
        <v>USD PKR rate for 28/06/2015</v>
      </c>
      <c r="I3124" s="9"/>
    </row>
    <row r="3125" spans="1:9" ht="14.25" customHeight="1" x14ac:dyDescent="0.3">
      <c r="A3125" s="6">
        <v>42842</v>
      </c>
      <c r="B3125" s="7">
        <v>104.79519999999999</v>
      </c>
      <c r="C3125" s="8">
        <f t="shared" si="25"/>
        <v>138.08240135211108</v>
      </c>
      <c r="D3125" s="9">
        <f t="shared" si="24"/>
        <v>70.291119236998853</v>
      </c>
      <c r="E3125" s="9"/>
      <c r="F3125" s="9">
        <f ca="1">IFERROR(__xludf.DUMMYFUNCTION("""COMPUTED_VALUE"""),42182)</f>
        <v>42182</v>
      </c>
      <c r="G3125" s="9" t="str">
        <f ca="1">IFERROR(__xludf.DUMMYFUNCTION("""COMPUTED_VALUE"""),"1 USD = 101.8086 PKR")</f>
        <v>1 USD = 101.8086 PKR</v>
      </c>
      <c r="H3125" s="9" t="str">
        <f ca="1">IFERROR(__xludf.DUMMYFUNCTION("""COMPUTED_VALUE"""),"USD PKR rate for 27/06/2015")</f>
        <v>USD PKR rate for 27/06/2015</v>
      </c>
      <c r="I3125" s="9"/>
    </row>
    <row r="3126" spans="1:9" ht="14.25" customHeight="1" x14ac:dyDescent="0.3">
      <c r="A3126" s="6">
        <v>42843</v>
      </c>
      <c r="B3126" s="7">
        <v>104.2281</v>
      </c>
      <c r="C3126" s="8">
        <f t="shared" si="25"/>
        <v>138.10709735760724</v>
      </c>
      <c r="D3126" s="9">
        <f t="shared" si="24"/>
        <v>70.293857069796118</v>
      </c>
      <c r="E3126" s="9"/>
      <c r="F3126" s="9">
        <f ca="1">IFERROR(__xludf.DUMMYFUNCTION("""COMPUTED_VALUE"""),42181)</f>
        <v>42181</v>
      </c>
      <c r="G3126" s="9" t="str">
        <f ca="1">IFERROR(__xludf.DUMMYFUNCTION("""COMPUTED_VALUE"""),"1 USD = 101.7961 PKR")</f>
        <v>1 USD = 101.7961 PKR</v>
      </c>
      <c r="H3126" s="9" t="str">
        <f ca="1">IFERROR(__xludf.DUMMYFUNCTION("""COMPUTED_VALUE"""),"USD PKR rate for 26/06/2015")</f>
        <v>USD PKR rate for 26/06/2015</v>
      </c>
      <c r="I3126" s="9"/>
    </row>
    <row r="3127" spans="1:9" ht="14.25" customHeight="1" x14ac:dyDescent="0.3">
      <c r="A3127" s="6">
        <v>42844</v>
      </c>
      <c r="B3127" s="7">
        <v>104.99769999999999</v>
      </c>
      <c r="C3127" s="8">
        <f t="shared" si="25"/>
        <v>138.13179777997829</v>
      </c>
      <c r="D3127" s="9">
        <f t="shared" si="24"/>
        <v>70.296594902593384</v>
      </c>
      <c r="E3127" s="9"/>
      <c r="F3127" s="9">
        <f ca="1">IFERROR(__xludf.DUMMYFUNCTION("""COMPUTED_VALUE"""),42180)</f>
        <v>42180</v>
      </c>
      <c r="G3127" s="9" t="str">
        <f ca="1">IFERROR(__xludf.DUMMYFUNCTION("""COMPUTED_VALUE"""),"1 USD = 101.7326 PKR")</f>
        <v>1 USD = 101.7326 PKR</v>
      </c>
      <c r="H3127" s="9" t="str">
        <f ca="1">IFERROR(__xludf.DUMMYFUNCTION("""COMPUTED_VALUE"""),"USD PKR rate for 25/06/2015")</f>
        <v>USD PKR rate for 25/06/2015</v>
      </c>
      <c r="I3127" s="9"/>
    </row>
    <row r="3128" spans="1:9" ht="14.25" customHeight="1" x14ac:dyDescent="0.3">
      <c r="A3128" s="6">
        <v>42845</v>
      </c>
      <c r="B3128" s="7">
        <v>105.1401</v>
      </c>
      <c r="C3128" s="8">
        <f t="shared" si="25"/>
        <v>138.15650262001412</v>
      </c>
      <c r="D3128" s="9">
        <f t="shared" si="24"/>
        <v>70.299332735390649</v>
      </c>
      <c r="E3128" s="9"/>
      <c r="F3128" s="9">
        <f ca="1">IFERROR(__xludf.DUMMYFUNCTION("""COMPUTED_VALUE"""),42179)</f>
        <v>42179</v>
      </c>
      <c r="G3128" s="9" t="str">
        <f ca="1">IFERROR(__xludf.DUMMYFUNCTION("""COMPUTED_VALUE"""),"1 USD = 101.7763 PKR")</f>
        <v>1 USD = 101.7763 PKR</v>
      </c>
      <c r="H3128" s="9" t="str">
        <f ca="1">IFERROR(__xludf.DUMMYFUNCTION("""COMPUTED_VALUE"""),"USD PKR rate for 24/06/2015")</f>
        <v>USD PKR rate for 24/06/2015</v>
      </c>
      <c r="I3128" s="9"/>
    </row>
    <row r="3129" spans="1:9" ht="14.25" customHeight="1" x14ac:dyDescent="0.3">
      <c r="A3129" s="6">
        <v>42846</v>
      </c>
      <c r="B3129" s="7">
        <v>104.53330000000001</v>
      </c>
      <c r="C3129" s="8">
        <f t="shared" si="25"/>
        <v>138.18121187850488</v>
      </c>
      <c r="D3129" s="9">
        <f t="shared" si="24"/>
        <v>70.302070568187915</v>
      </c>
      <c r="E3129" s="9"/>
      <c r="F3129" s="9">
        <f ca="1">IFERROR(__xludf.DUMMYFUNCTION("""COMPUTED_VALUE"""),42178)</f>
        <v>42178</v>
      </c>
      <c r="G3129" s="9" t="str">
        <f ca="1">IFERROR(__xludf.DUMMYFUNCTION("""COMPUTED_VALUE"""),"1 USD = 101.7145 PKR")</f>
        <v>1 USD = 101.7145 PKR</v>
      </c>
      <c r="H3129" s="9" t="str">
        <f ca="1">IFERROR(__xludf.DUMMYFUNCTION("""COMPUTED_VALUE"""),"USD PKR rate for 23/06/2015")</f>
        <v>USD PKR rate for 23/06/2015</v>
      </c>
      <c r="I3129" s="9"/>
    </row>
    <row r="3130" spans="1:9" ht="14.25" customHeight="1" x14ac:dyDescent="0.3">
      <c r="A3130" s="6">
        <v>42847</v>
      </c>
      <c r="B3130" s="7">
        <v>104.53330000000001</v>
      </c>
      <c r="C3130" s="8">
        <f t="shared" si="25"/>
        <v>138.20592555624069</v>
      </c>
      <c r="D3130" s="9">
        <f t="shared" si="24"/>
        <v>70.304808400985181</v>
      </c>
      <c r="E3130" s="9"/>
      <c r="F3130" s="9">
        <f ca="1">IFERROR(__xludf.DUMMYFUNCTION("""COMPUTED_VALUE"""),42177)</f>
        <v>42177</v>
      </c>
      <c r="G3130" s="9" t="str">
        <f ca="1">IFERROR(__xludf.DUMMYFUNCTION("""COMPUTED_VALUE"""),"1 USD = 101.7884 PKR")</f>
        <v>1 USD = 101.7884 PKR</v>
      </c>
      <c r="H3130" s="9" t="str">
        <f ca="1">IFERROR(__xludf.DUMMYFUNCTION("""COMPUTED_VALUE"""),"USD PKR rate for 22/06/2015")</f>
        <v>USD PKR rate for 22/06/2015</v>
      </c>
      <c r="I3130" s="9"/>
    </row>
    <row r="3131" spans="1:9" ht="14.25" customHeight="1" x14ac:dyDescent="0.3">
      <c r="A3131" s="6">
        <v>42848</v>
      </c>
      <c r="B3131" s="7">
        <v>104.54300000000001</v>
      </c>
      <c r="C3131" s="8">
        <f t="shared" si="25"/>
        <v>138.23064365401214</v>
      </c>
      <c r="D3131" s="9">
        <f t="shared" si="24"/>
        <v>70.307546233782446</v>
      </c>
      <c r="E3131" s="9"/>
      <c r="F3131" s="9">
        <f ca="1">IFERROR(__xludf.DUMMYFUNCTION("""COMPUTED_VALUE"""),42176)</f>
        <v>42176</v>
      </c>
      <c r="G3131" s="9" t="str">
        <f ca="1">IFERROR(__xludf.DUMMYFUNCTION("""COMPUTED_VALUE"""),"1 USD = 101.6113 PKR")</f>
        <v>1 USD = 101.6113 PKR</v>
      </c>
      <c r="H3131" s="9" t="str">
        <f ca="1">IFERROR(__xludf.DUMMYFUNCTION("""COMPUTED_VALUE"""),"USD PKR rate for 21/06/2015")</f>
        <v>USD PKR rate for 21/06/2015</v>
      </c>
      <c r="I3131" s="9"/>
    </row>
    <row r="3132" spans="1:9" ht="14.25" customHeight="1" x14ac:dyDescent="0.3">
      <c r="A3132" s="6">
        <v>42849</v>
      </c>
      <c r="B3132" s="7">
        <v>104.75660000000001</v>
      </c>
      <c r="C3132" s="8">
        <f t="shared" si="25"/>
        <v>138.25536617260968</v>
      </c>
      <c r="D3132" s="9">
        <f t="shared" si="24"/>
        <v>70.310284066579712</v>
      </c>
      <c r="E3132" s="9"/>
      <c r="F3132" s="9">
        <f ca="1">IFERROR(__xludf.DUMMYFUNCTION("""COMPUTED_VALUE"""),42175)</f>
        <v>42175</v>
      </c>
      <c r="G3132" s="9" t="str">
        <f ca="1">IFERROR(__xludf.DUMMYFUNCTION("""COMPUTED_VALUE"""),"1 USD = 101.6962 PKR")</f>
        <v>1 USD = 101.6962 PKR</v>
      </c>
      <c r="H3132" s="9" t="str">
        <f ca="1">IFERROR(__xludf.DUMMYFUNCTION("""COMPUTED_VALUE"""),"USD PKR rate for 20/06/2015")</f>
        <v>USD PKR rate for 20/06/2015</v>
      </c>
      <c r="I3132" s="9"/>
    </row>
    <row r="3133" spans="1:9" ht="14.25" customHeight="1" x14ac:dyDescent="0.3">
      <c r="A3133" s="6">
        <v>42850</v>
      </c>
      <c r="B3133" s="7">
        <v>104.3389</v>
      </c>
      <c r="C3133" s="8">
        <f t="shared" si="25"/>
        <v>138.28009311282392</v>
      </c>
      <c r="D3133" s="9">
        <f t="shared" si="24"/>
        <v>70.313021899376977</v>
      </c>
      <c r="E3133" s="9"/>
      <c r="F3133" s="9">
        <f ca="1">IFERROR(__xludf.DUMMYFUNCTION("""COMPUTED_VALUE"""),42174)</f>
        <v>42174</v>
      </c>
      <c r="G3133" s="9" t="str">
        <f ca="1">IFERROR(__xludf.DUMMYFUNCTION("""COMPUTED_VALUE"""),"1 USD = 101.568 PKR")</f>
        <v>1 USD = 101.568 PKR</v>
      </c>
      <c r="H3133" s="9" t="str">
        <f ca="1">IFERROR(__xludf.DUMMYFUNCTION("""COMPUTED_VALUE"""),"USD PKR rate for 19/06/2015")</f>
        <v>USD PKR rate for 19/06/2015</v>
      </c>
      <c r="I3133" s="9"/>
    </row>
    <row r="3134" spans="1:9" ht="14.25" customHeight="1" x14ac:dyDescent="0.3">
      <c r="A3134" s="6">
        <v>42851</v>
      </c>
      <c r="B3134" s="7">
        <v>104.5522</v>
      </c>
      <c r="C3134" s="8">
        <f t="shared" si="25"/>
        <v>138.30482447544571</v>
      </c>
      <c r="D3134" s="9">
        <f t="shared" si="24"/>
        <v>70.315759732174243</v>
      </c>
      <c r="E3134" s="9"/>
      <c r="F3134" s="9">
        <f ca="1">IFERROR(__xludf.DUMMYFUNCTION("""COMPUTED_VALUE"""),42173)</f>
        <v>42173</v>
      </c>
      <c r="G3134" s="9" t="str">
        <f ca="1">IFERROR(__xludf.DUMMYFUNCTION("""COMPUTED_VALUE"""),"1 USD = 101.8871 PKR")</f>
        <v>1 USD = 101.8871 PKR</v>
      </c>
      <c r="H3134" s="9" t="str">
        <f ca="1">IFERROR(__xludf.DUMMYFUNCTION("""COMPUTED_VALUE"""),"USD PKR rate for 18/06/2015")</f>
        <v>USD PKR rate for 18/06/2015</v>
      </c>
      <c r="I3134" s="9"/>
    </row>
    <row r="3135" spans="1:9" ht="14.25" customHeight="1" x14ac:dyDescent="0.3">
      <c r="A3135" s="6">
        <v>42852</v>
      </c>
      <c r="B3135" s="7">
        <v>105.0108</v>
      </c>
      <c r="C3135" s="8">
        <f t="shared" si="25"/>
        <v>138.32956026126595</v>
      </c>
      <c r="D3135" s="9">
        <f t="shared" si="24"/>
        <v>70.318497564971508</v>
      </c>
      <c r="E3135" s="9"/>
      <c r="F3135" s="9">
        <f ca="1">IFERROR(__xludf.DUMMYFUNCTION("""COMPUTED_VALUE"""),42172)</f>
        <v>42172</v>
      </c>
      <c r="G3135" s="9" t="str">
        <f ca="1">IFERROR(__xludf.DUMMYFUNCTION("""COMPUTED_VALUE"""),"1 USD = 101.7841 PKR")</f>
        <v>1 USD = 101.7841 PKR</v>
      </c>
      <c r="H3135" s="9" t="str">
        <f ca="1">IFERROR(__xludf.DUMMYFUNCTION("""COMPUTED_VALUE"""),"USD PKR rate for 17/06/2015")</f>
        <v>USD PKR rate for 17/06/2015</v>
      </c>
      <c r="I3135" s="9"/>
    </row>
    <row r="3136" spans="1:9" ht="14.25" customHeight="1" x14ac:dyDescent="0.3">
      <c r="A3136" s="6">
        <v>42853</v>
      </c>
      <c r="B3136" s="7">
        <v>105.17789999999999</v>
      </c>
      <c r="C3136" s="8">
        <f t="shared" si="25"/>
        <v>138.35430047107576</v>
      </c>
      <c r="D3136" s="9">
        <f t="shared" si="24"/>
        <v>70.321235397768774</v>
      </c>
      <c r="E3136" s="9"/>
      <c r="F3136" s="9">
        <f ca="1">IFERROR(__xludf.DUMMYFUNCTION("""COMPUTED_VALUE"""),42171)</f>
        <v>42171</v>
      </c>
      <c r="G3136" s="9" t="str">
        <f ca="1">IFERROR(__xludf.DUMMYFUNCTION("""COMPUTED_VALUE"""),"1 USD = 101.742 PKR")</f>
        <v>1 USD = 101.742 PKR</v>
      </c>
      <c r="H3136" s="9" t="str">
        <f ca="1">IFERROR(__xludf.DUMMYFUNCTION("""COMPUTED_VALUE"""),"USD PKR rate for 16/06/2015")</f>
        <v>USD PKR rate for 16/06/2015</v>
      </c>
      <c r="I3136" s="9"/>
    </row>
    <row r="3137" spans="1:9" ht="14.25" customHeight="1" x14ac:dyDescent="0.3">
      <c r="A3137" s="6">
        <v>42854</v>
      </c>
      <c r="B3137" s="7">
        <v>105.15389999999999</v>
      </c>
      <c r="C3137" s="8">
        <f t="shared" si="25"/>
        <v>138.37904510566639</v>
      </c>
      <c r="D3137" s="9">
        <f t="shared" si="24"/>
        <v>70.32397323056604</v>
      </c>
      <c r="E3137" s="9"/>
      <c r="F3137" s="9">
        <f ca="1">IFERROR(__xludf.DUMMYFUNCTION("""COMPUTED_VALUE"""),42170)</f>
        <v>42170</v>
      </c>
      <c r="G3137" s="9" t="str">
        <f ca="1">IFERROR(__xludf.DUMMYFUNCTION("""COMPUTED_VALUE"""),"1 USD = 101.7737 PKR")</f>
        <v>1 USD = 101.7737 PKR</v>
      </c>
      <c r="H3137" s="9" t="str">
        <f ca="1">IFERROR(__xludf.DUMMYFUNCTION("""COMPUTED_VALUE"""),"USD PKR rate for 15/06/2015")</f>
        <v>USD PKR rate for 15/06/2015</v>
      </c>
      <c r="I3137" s="9"/>
    </row>
    <row r="3138" spans="1:9" ht="14.25" customHeight="1" x14ac:dyDescent="0.3">
      <c r="A3138" s="6">
        <v>42855</v>
      </c>
      <c r="B3138" s="7">
        <v>105.0883</v>
      </c>
      <c r="C3138" s="8">
        <f t="shared" si="25"/>
        <v>138.40379416582917</v>
      </c>
      <c r="D3138" s="9">
        <f t="shared" si="24"/>
        <v>70.326711063363305</v>
      </c>
      <c r="E3138" s="9"/>
      <c r="F3138" s="9">
        <f ca="1">IFERROR(__xludf.DUMMYFUNCTION("""COMPUTED_VALUE"""),42169)</f>
        <v>42169</v>
      </c>
      <c r="G3138" s="9" t="str">
        <f ca="1">IFERROR(__xludf.DUMMYFUNCTION("""COMPUTED_VALUE"""),"1 USD = 101.8004 PKR")</f>
        <v>1 USD = 101.8004 PKR</v>
      </c>
      <c r="H3138" s="9" t="str">
        <f ca="1">IFERROR(__xludf.DUMMYFUNCTION("""COMPUTED_VALUE"""),"USD PKR rate for 14/06/2015")</f>
        <v>USD PKR rate for 14/06/2015</v>
      </c>
      <c r="I3138" s="9"/>
    </row>
    <row r="3139" spans="1:9" ht="14.25" customHeight="1" x14ac:dyDescent="0.3">
      <c r="A3139" s="6">
        <v>42856</v>
      </c>
      <c r="B3139" s="7">
        <v>105.08140000000002</v>
      </c>
      <c r="C3139" s="8">
        <f t="shared" si="25"/>
        <v>138.42854765235546</v>
      </c>
      <c r="D3139" s="9">
        <f t="shared" si="24"/>
        <v>70.329448896160571</v>
      </c>
      <c r="E3139" s="9"/>
      <c r="F3139" s="9">
        <f ca="1">IFERROR(__xludf.DUMMYFUNCTION("""COMPUTED_VALUE"""),42168)</f>
        <v>42168</v>
      </c>
      <c r="G3139" s="9" t="str">
        <f ca="1">IFERROR(__xludf.DUMMYFUNCTION("""COMPUTED_VALUE"""),"1 USD = 101.8296 PKR")</f>
        <v>1 USD = 101.8296 PKR</v>
      </c>
      <c r="H3139" s="9" t="str">
        <f ca="1">IFERROR(__xludf.DUMMYFUNCTION("""COMPUTED_VALUE"""),"USD PKR rate for 13/06/2015")</f>
        <v>USD PKR rate for 13/06/2015</v>
      </c>
      <c r="I3139" s="9"/>
    </row>
    <row r="3140" spans="1:9" ht="14.25" customHeight="1" x14ac:dyDescent="0.3">
      <c r="A3140" s="6">
        <v>42857</v>
      </c>
      <c r="B3140" s="7">
        <v>104.76900000000001</v>
      </c>
      <c r="C3140" s="8">
        <f t="shared" si="25"/>
        <v>138.45330556603724</v>
      </c>
      <c r="D3140" s="9">
        <f t="shared" si="24"/>
        <v>70.332186728957836</v>
      </c>
      <c r="E3140" s="9"/>
      <c r="F3140" s="9">
        <f ca="1">IFERROR(__xludf.DUMMYFUNCTION("""COMPUTED_VALUE"""),42167)</f>
        <v>42167</v>
      </c>
      <c r="G3140" s="9" t="str">
        <f ca="1">IFERROR(__xludf.DUMMYFUNCTION("""COMPUTED_VALUE"""),"1 USD = 101.826 PKR")</f>
        <v>1 USD = 101.826 PKR</v>
      </c>
      <c r="H3140" s="9" t="str">
        <f ca="1">IFERROR(__xludf.DUMMYFUNCTION("""COMPUTED_VALUE"""),"USD PKR rate for 12/06/2015")</f>
        <v>USD PKR rate for 12/06/2015</v>
      </c>
      <c r="I3140" s="9"/>
    </row>
    <row r="3141" spans="1:9" ht="14.25" customHeight="1" x14ac:dyDescent="0.3">
      <c r="A3141" s="6">
        <v>42858</v>
      </c>
      <c r="B3141" s="7">
        <v>105.01309999999999</v>
      </c>
      <c r="C3141" s="8">
        <f t="shared" si="25"/>
        <v>138.47806790766617</v>
      </c>
      <c r="D3141" s="9">
        <f t="shared" si="24"/>
        <v>70.334924561755102</v>
      </c>
      <c r="E3141" s="9"/>
      <c r="F3141" s="9">
        <f ca="1">IFERROR(__xludf.DUMMYFUNCTION("""COMPUTED_VALUE"""),42166)</f>
        <v>42166</v>
      </c>
      <c r="G3141" s="9" t="str">
        <f ca="1">IFERROR(__xludf.DUMMYFUNCTION("""COMPUTED_VALUE"""),"1 USD = 101.8598 PKR")</f>
        <v>1 USD = 101.8598 PKR</v>
      </c>
      <c r="H3141" s="9" t="str">
        <f ca="1">IFERROR(__xludf.DUMMYFUNCTION("""COMPUTED_VALUE"""),"USD PKR rate for 11/06/2015")</f>
        <v>USD PKR rate for 11/06/2015</v>
      </c>
      <c r="I3141" s="9"/>
    </row>
    <row r="3142" spans="1:9" ht="14.25" customHeight="1" x14ac:dyDescent="0.3">
      <c r="A3142" s="6">
        <v>42859</v>
      </c>
      <c r="B3142" s="7">
        <v>104.3373</v>
      </c>
      <c r="C3142" s="8">
        <f t="shared" si="25"/>
        <v>138.50283467803413</v>
      </c>
      <c r="D3142" s="9">
        <f t="shared" si="24"/>
        <v>70.337662394552368</v>
      </c>
      <c r="E3142" s="9"/>
      <c r="F3142" s="9">
        <f ca="1">IFERROR(__xludf.DUMMYFUNCTION("""COMPUTED_VALUE"""),42165)</f>
        <v>42165</v>
      </c>
      <c r="G3142" s="9" t="str">
        <f ca="1">IFERROR(__xludf.DUMMYFUNCTION("""COMPUTED_VALUE"""),"1 USD = 101.8071 PKR")</f>
        <v>1 USD = 101.8071 PKR</v>
      </c>
      <c r="H3142" s="9" t="str">
        <f ca="1">IFERROR(__xludf.DUMMYFUNCTION("""COMPUTED_VALUE"""),"USD PKR rate for 10/06/2015")</f>
        <v>USD PKR rate for 10/06/2015</v>
      </c>
      <c r="I3142" s="9"/>
    </row>
    <row r="3143" spans="1:9" ht="14.25" customHeight="1" x14ac:dyDescent="0.3">
      <c r="A3143" s="6">
        <v>42860</v>
      </c>
      <c r="B3143" s="7">
        <v>104.754</v>
      </c>
      <c r="C3143" s="8">
        <f t="shared" si="25"/>
        <v>138.52760587793324</v>
      </c>
      <c r="D3143" s="9">
        <f t="shared" si="24"/>
        <v>70.340400227349633</v>
      </c>
      <c r="E3143" s="9"/>
      <c r="F3143" s="9">
        <f ca="1">IFERROR(__xludf.DUMMYFUNCTION("""COMPUTED_VALUE"""),42164)</f>
        <v>42164</v>
      </c>
      <c r="G3143" s="9" t="str">
        <f ca="1">IFERROR(__xludf.DUMMYFUNCTION("""COMPUTED_VALUE"""),"1 USD = 102.0021 PKR")</f>
        <v>1 USD = 102.0021 PKR</v>
      </c>
      <c r="H3143" s="9" t="str">
        <f ca="1">IFERROR(__xludf.DUMMYFUNCTION("""COMPUTED_VALUE"""),"USD PKR rate for 09/06/2015")</f>
        <v>USD PKR rate for 09/06/2015</v>
      </c>
      <c r="I3143" s="9"/>
    </row>
    <row r="3144" spans="1:9" ht="14.25" customHeight="1" x14ac:dyDescent="0.3">
      <c r="A3144" s="6">
        <v>42861</v>
      </c>
      <c r="B3144" s="7">
        <v>104.754</v>
      </c>
      <c r="C3144" s="8">
        <f t="shared" si="25"/>
        <v>138.55238150815575</v>
      </c>
      <c r="D3144" s="9">
        <f t="shared" si="24"/>
        <v>70.343138060146899</v>
      </c>
      <c r="E3144" s="9"/>
      <c r="F3144" s="9">
        <f ca="1">IFERROR(__xludf.DUMMYFUNCTION("""COMPUTED_VALUE"""),42163)</f>
        <v>42163</v>
      </c>
      <c r="G3144" s="9" t="str">
        <f ca="1">IFERROR(__xludf.DUMMYFUNCTION("""COMPUTED_VALUE"""),"1 USD = 102.0149 PKR")</f>
        <v>1 USD = 102.0149 PKR</v>
      </c>
      <c r="H3144" s="9" t="str">
        <f ca="1">IFERROR(__xludf.DUMMYFUNCTION("""COMPUTED_VALUE"""),"USD PKR rate for 08/06/2015")</f>
        <v>USD PKR rate for 08/06/2015</v>
      </c>
      <c r="I3144" s="9"/>
    </row>
    <row r="3145" spans="1:9" ht="14.25" customHeight="1" x14ac:dyDescent="0.3">
      <c r="A3145" s="6">
        <v>42862</v>
      </c>
      <c r="B3145" s="7">
        <v>104.7577</v>
      </c>
      <c r="C3145" s="8">
        <f t="shared" si="25"/>
        <v>138.57716156949394</v>
      </c>
      <c r="D3145" s="9">
        <f t="shared" si="24"/>
        <v>70.345875892944164</v>
      </c>
      <c r="E3145" s="9"/>
      <c r="F3145" s="9">
        <f ca="1">IFERROR(__xludf.DUMMYFUNCTION("""COMPUTED_VALUE"""),42162)</f>
        <v>42162</v>
      </c>
      <c r="G3145" s="9" t="str">
        <f ca="1">IFERROR(__xludf.DUMMYFUNCTION("""COMPUTED_VALUE"""),"1 USD = 101.8986 PKR")</f>
        <v>1 USD = 101.8986 PKR</v>
      </c>
      <c r="H3145" s="9" t="str">
        <f ca="1">IFERROR(__xludf.DUMMYFUNCTION("""COMPUTED_VALUE"""),"USD PKR rate for 07/06/2015")</f>
        <v>USD PKR rate for 07/06/2015</v>
      </c>
      <c r="I3145" s="9"/>
    </row>
    <row r="3146" spans="1:9" ht="14.25" customHeight="1" x14ac:dyDescent="0.3">
      <c r="A3146" s="6">
        <v>42863</v>
      </c>
      <c r="B3146" s="7">
        <v>105.0998</v>
      </c>
      <c r="C3146" s="8">
        <f t="shared" si="25"/>
        <v>138.60194606274038</v>
      </c>
      <c r="D3146" s="9">
        <f t="shared" si="24"/>
        <v>70.34861372574143</v>
      </c>
      <c r="E3146" s="9"/>
      <c r="F3146" s="9">
        <f ca="1">IFERROR(__xludf.DUMMYFUNCTION("""COMPUTED_VALUE"""),42161)</f>
        <v>42161</v>
      </c>
      <c r="G3146" s="9" t="str">
        <f ca="1">IFERROR(__xludf.DUMMYFUNCTION("""COMPUTED_VALUE"""),"1 USD = 102.0025 PKR")</f>
        <v>1 USD = 102.0025 PKR</v>
      </c>
      <c r="H3146" s="9" t="str">
        <f ca="1">IFERROR(__xludf.DUMMYFUNCTION("""COMPUTED_VALUE"""),"USD PKR rate for 06/06/2015")</f>
        <v>USD PKR rate for 06/06/2015</v>
      </c>
      <c r="I3146" s="9"/>
    </row>
    <row r="3147" spans="1:9" ht="14.25" customHeight="1" x14ac:dyDescent="0.3">
      <c r="A3147" s="6">
        <v>42864</v>
      </c>
      <c r="B3147" s="7">
        <v>105.0607</v>
      </c>
      <c r="C3147" s="8">
        <f t="shared" si="25"/>
        <v>138.6267349886877</v>
      </c>
      <c r="D3147" s="9">
        <f t="shared" si="24"/>
        <v>70.351351558538695</v>
      </c>
      <c r="E3147" s="9"/>
      <c r="F3147" s="9">
        <f ca="1">IFERROR(__xludf.DUMMYFUNCTION("""COMPUTED_VALUE"""),42160)</f>
        <v>42160</v>
      </c>
      <c r="G3147" s="9" t="str">
        <f ca="1">IFERROR(__xludf.DUMMYFUNCTION("""COMPUTED_VALUE"""),"1 USD = 101.7318 PKR")</f>
        <v>1 USD = 101.7318 PKR</v>
      </c>
      <c r="H3147" s="9" t="str">
        <f ca="1">IFERROR(__xludf.DUMMYFUNCTION("""COMPUTED_VALUE"""),"USD PKR rate for 05/06/2015")</f>
        <v>USD PKR rate for 05/06/2015</v>
      </c>
      <c r="I3147" s="9"/>
    </row>
    <row r="3148" spans="1:9" ht="14.25" customHeight="1" x14ac:dyDescent="0.3">
      <c r="A3148" s="6">
        <v>42865</v>
      </c>
      <c r="B3148" s="7">
        <v>104.79470000000002</v>
      </c>
      <c r="C3148" s="8">
        <f t="shared" si="25"/>
        <v>138.65152834812855</v>
      </c>
      <c r="D3148" s="9">
        <f t="shared" si="24"/>
        <v>70.354089391335961</v>
      </c>
      <c r="E3148" s="9"/>
      <c r="F3148" s="9">
        <f ca="1">IFERROR(__xludf.DUMMYFUNCTION("""COMPUTED_VALUE"""),42159)</f>
        <v>42159</v>
      </c>
      <c r="G3148" s="9" t="str">
        <f ca="1">IFERROR(__xludf.DUMMYFUNCTION("""COMPUTED_VALUE"""),"1 USD = 101.7702 PKR")</f>
        <v>1 USD = 101.7702 PKR</v>
      </c>
      <c r="H3148" s="9" t="str">
        <f ca="1">IFERROR(__xludf.DUMMYFUNCTION("""COMPUTED_VALUE"""),"USD PKR rate for 04/06/2015")</f>
        <v>USD PKR rate for 04/06/2015</v>
      </c>
      <c r="I3148" s="9"/>
    </row>
    <row r="3149" spans="1:9" ht="14.25" customHeight="1" x14ac:dyDescent="0.3">
      <c r="A3149" s="6">
        <v>42866</v>
      </c>
      <c r="B3149" s="7">
        <v>104.7974</v>
      </c>
      <c r="C3149" s="8">
        <f t="shared" si="25"/>
        <v>138.67632614185612</v>
      </c>
      <c r="D3149" s="9">
        <f t="shared" si="24"/>
        <v>70.356827224133227</v>
      </c>
      <c r="E3149" s="9"/>
      <c r="F3149" s="9">
        <f ca="1">IFERROR(__xludf.DUMMYFUNCTION("""COMPUTED_VALUE"""),42158)</f>
        <v>42158</v>
      </c>
      <c r="G3149" s="9" t="str">
        <f ca="1">IFERROR(__xludf.DUMMYFUNCTION("""COMPUTED_VALUE"""),"1 USD = 101.9001 PKR")</f>
        <v>1 USD = 101.9001 PKR</v>
      </c>
      <c r="H3149" s="9" t="str">
        <f ca="1">IFERROR(__xludf.DUMMYFUNCTION("""COMPUTED_VALUE"""),"USD PKR rate for 03/06/2015")</f>
        <v>USD PKR rate for 03/06/2015</v>
      </c>
      <c r="I3149" s="9"/>
    </row>
    <row r="3150" spans="1:9" ht="14.25" customHeight="1" x14ac:dyDescent="0.3">
      <c r="A3150" s="6">
        <v>42867</v>
      </c>
      <c r="B3150" s="7">
        <v>104.21339999999999</v>
      </c>
      <c r="C3150" s="8">
        <f t="shared" si="25"/>
        <v>138.70112837066335</v>
      </c>
      <c r="D3150" s="9">
        <f t="shared" si="24"/>
        <v>70.359565056930492</v>
      </c>
      <c r="E3150" s="9"/>
      <c r="F3150" s="9">
        <f ca="1">IFERROR(__xludf.DUMMYFUNCTION("""COMPUTED_VALUE"""),42157)</f>
        <v>42157</v>
      </c>
      <c r="G3150" s="9" t="str">
        <f ca="1">IFERROR(__xludf.DUMMYFUNCTION("""COMPUTED_VALUE"""),"1 USD = 101.8854 PKR")</f>
        <v>1 USD = 101.8854 PKR</v>
      </c>
      <c r="H3150" s="9" t="str">
        <f ca="1">IFERROR(__xludf.DUMMYFUNCTION("""COMPUTED_VALUE"""),"USD PKR rate for 02/06/2015")</f>
        <v>USD PKR rate for 02/06/2015</v>
      </c>
      <c r="I3150" s="9"/>
    </row>
    <row r="3151" spans="1:9" ht="14.25" customHeight="1" x14ac:dyDescent="0.3">
      <c r="A3151" s="6">
        <v>42868</v>
      </c>
      <c r="B3151" s="7">
        <v>104.21339999999999</v>
      </c>
      <c r="C3151" s="8">
        <f t="shared" si="25"/>
        <v>138.72593503534347</v>
      </c>
      <c r="D3151" s="9">
        <f t="shared" si="24"/>
        <v>70.362302889727758</v>
      </c>
      <c r="E3151" s="9"/>
      <c r="F3151" s="9">
        <f ca="1">IFERROR(__xludf.DUMMYFUNCTION("""COMPUTED_VALUE"""),42156)</f>
        <v>42156</v>
      </c>
      <c r="G3151" s="9" t="str">
        <f ca="1">IFERROR(__xludf.DUMMYFUNCTION("""COMPUTED_VALUE"""),"1 USD = 101.9143 PKR")</f>
        <v>1 USD = 101.9143 PKR</v>
      </c>
      <c r="H3151" s="9" t="str">
        <f ca="1">IFERROR(__xludf.DUMMYFUNCTION("""COMPUTED_VALUE"""),"USD PKR rate for 01/06/2015")</f>
        <v>USD PKR rate for 01/06/2015</v>
      </c>
      <c r="I3151" s="9"/>
    </row>
    <row r="3152" spans="1:9" ht="14.25" customHeight="1" x14ac:dyDescent="0.3">
      <c r="A3152" s="6">
        <v>42869</v>
      </c>
      <c r="B3152" s="7">
        <v>104.5262</v>
      </c>
      <c r="C3152" s="8">
        <f t="shared" si="25"/>
        <v>138.7507461366898</v>
      </c>
      <c r="D3152" s="9">
        <f t="shared" si="24"/>
        <v>70.365040722525023</v>
      </c>
      <c r="E3152" s="9"/>
      <c r="F3152" s="9">
        <f ca="1">IFERROR(__xludf.DUMMYFUNCTION("""COMPUTED_VALUE"""),42155)</f>
        <v>42155</v>
      </c>
      <c r="G3152" s="9" t="str">
        <f ca="1">IFERROR(__xludf.DUMMYFUNCTION("""COMPUTED_VALUE"""),"1 USD = 101.9659 PKR")</f>
        <v>1 USD = 101.9659 PKR</v>
      </c>
      <c r="H3152" s="9" t="str">
        <f ca="1">IFERROR(__xludf.DUMMYFUNCTION("""COMPUTED_VALUE"""),"USD PKR rate for 31/05/2015")</f>
        <v>USD PKR rate for 31/05/2015</v>
      </c>
      <c r="I3152" s="9"/>
    </row>
    <row r="3153" spans="1:9" ht="14.25" customHeight="1" x14ac:dyDescent="0.3">
      <c r="A3153" s="6">
        <v>42870</v>
      </c>
      <c r="B3153" s="7">
        <v>104.81520000000002</v>
      </c>
      <c r="C3153" s="8">
        <f t="shared" si="25"/>
        <v>138.77556167549588</v>
      </c>
      <c r="D3153" s="9">
        <f t="shared" si="24"/>
        <v>70.367778555322289</v>
      </c>
      <c r="E3153" s="9"/>
      <c r="F3153" s="9">
        <f ca="1">IFERROR(__xludf.DUMMYFUNCTION("""COMPUTED_VALUE"""),42154)</f>
        <v>42154</v>
      </c>
      <c r="G3153" s="9" t="str">
        <f ca="1">IFERROR(__xludf.DUMMYFUNCTION("""COMPUTED_VALUE"""),"1 USD = 101.9564 PKR")</f>
        <v>1 USD = 101.9564 PKR</v>
      </c>
      <c r="H3153" s="9" t="str">
        <f ca="1">IFERROR(__xludf.DUMMYFUNCTION("""COMPUTED_VALUE"""),"USD PKR rate for 30/05/2015")</f>
        <v>USD PKR rate for 30/05/2015</v>
      </c>
      <c r="I3153" s="9"/>
    </row>
    <row r="3154" spans="1:9" ht="14.25" customHeight="1" x14ac:dyDescent="0.3">
      <c r="A3154" s="6">
        <v>42871</v>
      </c>
      <c r="B3154" s="7">
        <v>104.50750000000001</v>
      </c>
      <c r="C3154" s="8">
        <f t="shared" si="25"/>
        <v>138.80038165255533</v>
      </c>
      <c r="D3154" s="9">
        <f t="shared" si="24"/>
        <v>70.370516388119555</v>
      </c>
      <c r="E3154" s="9"/>
      <c r="F3154" s="9">
        <f ca="1">IFERROR(__xludf.DUMMYFUNCTION("""COMPUTED_VALUE"""),42153)</f>
        <v>42153</v>
      </c>
      <c r="G3154" s="9" t="str">
        <f ca="1">IFERROR(__xludf.DUMMYFUNCTION("""COMPUTED_VALUE"""),"1 USD = 101.9734 PKR")</f>
        <v>1 USD = 101.9734 PKR</v>
      </c>
      <c r="H3154" s="9" t="str">
        <f ca="1">IFERROR(__xludf.DUMMYFUNCTION("""COMPUTED_VALUE"""),"USD PKR rate for 29/05/2015")</f>
        <v>USD PKR rate for 29/05/2015</v>
      </c>
      <c r="I3154" s="9"/>
    </row>
    <row r="3155" spans="1:9" ht="14.25" customHeight="1" x14ac:dyDescent="0.3">
      <c r="A3155" s="6">
        <v>42872</v>
      </c>
      <c r="B3155" s="7">
        <v>104.3319</v>
      </c>
      <c r="C3155" s="8">
        <f t="shared" si="25"/>
        <v>138.82520606866191</v>
      </c>
      <c r="D3155" s="9">
        <f t="shared" si="24"/>
        <v>70.37325422091682</v>
      </c>
      <c r="E3155" s="9"/>
      <c r="F3155" s="9">
        <f ca="1">IFERROR(__xludf.DUMMYFUNCTION("""COMPUTED_VALUE"""),42152)</f>
        <v>42152</v>
      </c>
      <c r="G3155" s="9" t="str">
        <f ca="1">IFERROR(__xludf.DUMMYFUNCTION("""COMPUTED_VALUE"""),"1 USD = 101.9522 PKR")</f>
        <v>1 USD = 101.9522 PKR</v>
      </c>
      <c r="H3155" s="9" t="str">
        <f ca="1">IFERROR(__xludf.DUMMYFUNCTION("""COMPUTED_VALUE"""),"USD PKR rate for 28/05/2015")</f>
        <v>USD PKR rate for 28/05/2015</v>
      </c>
      <c r="I3155" s="9"/>
    </row>
    <row r="3156" spans="1:9" ht="14.25" customHeight="1" x14ac:dyDescent="0.3">
      <c r="A3156" s="6">
        <v>42873</v>
      </c>
      <c r="B3156" s="7">
        <v>105.16550000000001</v>
      </c>
      <c r="C3156" s="8">
        <f t="shared" si="25"/>
        <v>138.85003492460956</v>
      </c>
      <c r="D3156" s="9">
        <f t="shared" si="24"/>
        <v>70.375992053714086</v>
      </c>
      <c r="E3156" s="9"/>
      <c r="F3156" s="9">
        <f ca="1">IFERROR(__xludf.DUMMYFUNCTION("""COMPUTED_VALUE"""),42151)</f>
        <v>42151</v>
      </c>
      <c r="G3156" s="9" t="str">
        <f ca="1">IFERROR(__xludf.DUMMYFUNCTION("""COMPUTED_VALUE"""),"1 USD = 101.9642 PKR")</f>
        <v>1 USD = 101.9642 PKR</v>
      </c>
      <c r="H3156" s="9" t="str">
        <f ca="1">IFERROR(__xludf.DUMMYFUNCTION("""COMPUTED_VALUE"""),"USD PKR rate for 27/05/2015")</f>
        <v>USD PKR rate for 27/05/2015</v>
      </c>
      <c r="I3156" s="9"/>
    </row>
    <row r="3157" spans="1:9" ht="14.25" customHeight="1" x14ac:dyDescent="0.3">
      <c r="A3157" s="6">
        <v>42874</v>
      </c>
      <c r="B3157" s="7">
        <v>104.3954</v>
      </c>
      <c r="C3157" s="8">
        <f t="shared" si="25"/>
        <v>138.87486822119223</v>
      </c>
      <c r="D3157" s="9">
        <f t="shared" si="24"/>
        <v>70.378729886511351</v>
      </c>
      <c r="E3157" s="9"/>
      <c r="F3157" s="9">
        <f ca="1">IFERROR(__xludf.DUMMYFUNCTION("""COMPUTED_VALUE"""),42150)</f>
        <v>42150</v>
      </c>
      <c r="G3157" s="9" t="str">
        <f ca="1">IFERROR(__xludf.DUMMYFUNCTION("""COMPUTED_VALUE"""),"1 USD = 102.1232 PKR")</f>
        <v>1 USD = 102.1232 PKR</v>
      </c>
      <c r="H3157" s="9" t="str">
        <f ca="1">IFERROR(__xludf.DUMMYFUNCTION("""COMPUTED_VALUE"""),"USD PKR rate for 26/05/2015")</f>
        <v>USD PKR rate for 26/05/2015</v>
      </c>
      <c r="I3157" s="9"/>
    </row>
    <row r="3158" spans="1:9" ht="14.25" customHeight="1" x14ac:dyDescent="0.3">
      <c r="A3158" s="6">
        <v>42875</v>
      </c>
      <c r="B3158" s="7">
        <v>104.4195</v>
      </c>
      <c r="C3158" s="8">
        <f t="shared" si="25"/>
        <v>138.89970595920437</v>
      </c>
      <c r="D3158" s="9">
        <f t="shared" si="24"/>
        <v>70.381467719308617</v>
      </c>
      <c r="E3158" s="9"/>
      <c r="F3158" s="9">
        <f ca="1">IFERROR(__xludf.DUMMYFUNCTION("""COMPUTED_VALUE"""),42149)</f>
        <v>42149</v>
      </c>
      <c r="G3158" s="9" t="str">
        <f ca="1">IFERROR(__xludf.DUMMYFUNCTION("""COMPUTED_VALUE"""),"1 USD = 101.9566 PKR")</f>
        <v>1 USD = 101.9566 PKR</v>
      </c>
      <c r="H3158" s="9" t="str">
        <f ca="1">IFERROR(__xludf.DUMMYFUNCTION("""COMPUTED_VALUE"""),"USD PKR rate for 25/05/2015")</f>
        <v>USD PKR rate for 25/05/2015</v>
      </c>
      <c r="I3158" s="9"/>
    </row>
    <row r="3159" spans="1:9" ht="14.25" customHeight="1" x14ac:dyDescent="0.3">
      <c r="A3159" s="6">
        <v>42876</v>
      </c>
      <c r="B3159" s="7">
        <v>104.5257</v>
      </c>
      <c r="C3159" s="8">
        <f t="shared" si="25"/>
        <v>138.92454813944019</v>
      </c>
      <c r="D3159" s="9">
        <f t="shared" si="24"/>
        <v>70.384205552105882</v>
      </c>
      <c r="E3159" s="9"/>
      <c r="F3159" s="9">
        <f ca="1">IFERROR(__xludf.DUMMYFUNCTION("""COMPUTED_VALUE"""),42148)</f>
        <v>42148</v>
      </c>
      <c r="G3159" s="9" t="str">
        <f ca="1">IFERROR(__xludf.DUMMYFUNCTION("""COMPUTED_VALUE"""),"1 USD = 101.9318 PKR")</f>
        <v>1 USD = 101.9318 PKR</v>
      </c>
      <c r="H3159" s="9" t="str">
        <f ca="1">IFERROR(__xludf.DUMMYFUNCTION("""COMPUTED_VALUE"""),"USD PKR rate for 24/05/2015")</f>
        <v>USD PKR rate for 24/05/2015</v>
      </c>
      <c r="I3159" s="9"/>
    </row>
    <row r="3160" spans="1:9" ht="14.25" customHeight="1" x14ac:dyDescent="0.3">
      <c r="A3160" s="6">
        <v>42877</v>
      </c>
      <c r="B3160" s="7">
        <v>104.66630000000001</v>
      </c>
      <c r="C3160" s="8">
        <f t="shared" si="25"/>
        <v>138.9493947626942</v>
      </c>
      <c r="D3160" s="9">
        <f t="shared" si="24"/>
        <v>70.386943384903148</v>
      </c>
      <c r="E3160" s="9"/>
      <c r="F3160" s="9">
        <f ca="1">IFERROR(__xludf.DUMMYFUNCTION("""COMPUTED_VALUE"""),42147)</f>
        <v>42147</v>
      </c>
      <c r="G3160" s="9" t="str">
        <f ca="1">IFERROR(__xludf.DUMMYFUNCTION("""COMPUTED_VALUE"""),"1 USD = 102.0001 PKR")</f>
        <v>1 USD = 102.0001 PKR</v>
      </c>
      <c r="H3160" s="9" t="str">
        <f ca="1">IFERROR(__xludf.DUMMYFUNCTION("""COMPUTED_VALUE"""),"USD PKR rate for 23/05/2015")</f>
        <v>USD PKR rate for 23/05/2015</v>
      </c>
      <c r="I3160" s="9"/>
    </row>
    <row r="3161" spans="1:9" ht="14.25" customHeight="1" x14ac:dyDescent="0.3">
      <c r="A3161" s="6">
        <v>42878</v>
      </c>
      <c r="B3161" s="7">
        <v>105.3844</v>
      </c>
      <c r="C3161" s="8">
        <f t="shared" si="25"/>
        <v>138.974245829761</v>
      </c>
      <c r="D3161" s="9">
        <f t="shared" si="24"/>
        <v>70.389681217700414</v>
      </c>
      <c r="E3161" s="9"/>
      <c r="F3161" s="9">
        <f ca="1">IFERROR(__xludf.DUMMYFUNCTION("""COMPUTED_VALUE"""),42146)</f>
        <v>42146</v>
      </c>
      <c r="G3161" s="9" t="str">
        <f ca="1">IFERROR(__xludf.DUMMYFUNCTION("""COMPUTED_VALUE"""),"1 USD = 101.9264 PKR")</f>
        <v>1 USD = 101.9264 PKR</v>
      </c>
      <c r="H3161" s="9" t="str">
        <f ca="1">IFERROR(__xludf.DUMMYFUNCTION("""COMPUTED_VALUE"""),"USD PKR rate for 22/05/2015")</f>
        <v>USD PKR rate for 22/05/2015</v>
      </c>
      <c r="I3161" s="9"/>
    </row>
    <row r="3162" spans="1:9" ht="14.25" customHeight="1" x14ac:dyDescent="0.3">
      <c r="A3162" s="6">
        <v>42879</v>
      </c>
      <c r="B3162" s="7">
        <v>104.5992</v>
      </c>
      <c r="C3162" s="8">
        <f t="shared" si="25"/>
        <v>138.99910134143542</v>
      </c>
      <c r="D3162" s="9">
        <f t="shared" si="24"/>
        <v>70.392419050497679</v>
      </c>
      <c r="E3162" s="9"/>
      <c r="F3162" s="9">
        <f ca="1">IFERROR(__xludf.DUMMYFUNCTION("""COMPUTED_VALUE"""),42145)</f>
        <v>42145</v>
      </c>
      <c r="G3162" s="9" t="str">
        <f ca="1">IFERROR(__xludf.DUMMYFUNCTION("""COMPUTED_VALUE"""),"1 USD = 101.9834 PKR")</f>
        <v>1 USD = 101.9834 PKR</v>
      </c>
      <c r="H3162" s="9" t="str">
        <f ca="1">IFERROR(__xludf.DUMMYFUNCTION("""COMPUTED_VALUE"""),"USD PKR rate for 21/05/2015")</f>
        <v>USD PKR rate for 21/05/2015</v>
      </c>
      <c r="I3162" s="9"/>
    </row>
    <row r="3163" spans="1:9" ht="14.25" customHeight="1" x14ac:dyDescent="0.3">
      <c r="A3163" s="6">
        <v>42880</v>
      </c>
      <c r="B3163" s="7">
        <v>104.8826</v>
      </c>
      <c r="C3163" s="8">
        <f t="shared" si="25"/>
        <v>139.02396129851232</v>
      </c>
      <c r="D3163" s="9">
        <f t="shared" si="24"/>
        <v>70.395156883294945</v>
      </c>
      <c r="E3163" s="9"/>
      <c r="F3163" s="9">
        <f ca="1">IFERROR(__xludf.DUMMYFUNCTION("""COMPUTED_VALUE"""),42144)</f>
        <v>42144</v>
      </c>
      <c r="G3163" s="9" t="str">
        <f ca="1">IFERROR(__xludf.DUMMYFUNCTION("""COMPUTED_VALUE"""),"1 USD = 101.9581 PKR")</f>
        <v>1 USD = 101.9581 PKR</v>
      </c>
      <c r="H3163" s="9" t="str">
        <f ca="1">IFERROR(__xludf.DUMMYFUNCTION("""COMPUTED_VALUE"""),"USD PKR rate for 20/05/2015")</f>
        <v>USD PKR rate for 20/05/2015</v>
      </c>
      <c r="I3163" s="9"/>
    </row>
    <row r="3164" spans="1:9" ht="14.25" customHeight="1" x14ac:dyDescent="0.3">
      <c r="A3164" s="6">
        <v>42881</v>
      </c>
      <c r="B3164" s="7">
        <v>105.21729999999999</v>
      </c>
      <c r="C3164" s="8">
        <f t="shared" si="25"/>
        <v>139.0488257017868</v>
      </c>
      <c r="D3164" s="9">
        <f t="shared" si="24"/>
        <v>70.39789471609221</v>
      </c>
      <c r="E3164" s="9"/>
      <c r="F3164" s="9">
        <f ca="1">IFERROR(__xludf.DUMMYFUNCTION("""COMPUTED_VALUE"""),42143)</f>
        <v>42143</v>
      </c>
      <c r="G3164" s="9" t="str">
        <f ca="1">IFERROR(__xludf.DUMMYFUNCTION("""COMPUTED_VALUE"""),"1 USD = 101.8172 PKR")</f>
        <v>1 USD = 101.8172 PKR</v>
      </c>
      <c r="H3164" s="9" t="str">
        <f ca="1">IFERROR(__xludf.DUMMYFUNCTION("""COMPUTED_VALUE"""),"USD PKR rate for 19/05/2015")</f>
        <v>USD PKR rate for 19/05/2015</v>
      </c>
      <c r="I3164" s="9"/>
    </row>
    <row r="3165" spans="1:9" ht="14.25" customHeight="1" x14ac:dyDescent="0.3">
      <c r="A3165" s="6">
        <v>42882</v>
      </c>
      <c r="B3165" s="7">
        <v>105.23340000000002</v>
      </c>
      <c r="C3165" s="8">
        <f t="shared" si="25"/>
        <v>139.07369455205404</v>
      </c>
      <c r="D3165" s="9">
        <f t="shared" si="24"/>
        <v>70.400632548889476</v>
      </c>
      <c r="E3165" s="9"/>
      <c r="F3165" s="9">
        <f ca="1">IFERROR(__xludf.DUMMYFUNCTION("""COMPUTED_VALUE"""),42142)</f>
        <v>42142</v>
      </c>
      <c r="G3165" s="9" t="str">
        <f ca="1">IFERROR(__xludf.DUMMYFUNCTION("""COMPUTED_VALUE"""),"1 USD = 101.9274 PKR")</f>
        <v>1 USD = 101.9274 PKR</v>
      </c>
      <c r="H3165" s="9" t="str">
        <f ca="1">IFERROR(__xludf.DUMMYFUNCTION("""COMPUTED_VALUE"""),"USD PKR rate for 18/05/2015")</f>
        <v>USD PKR rate for 18/05/2015</v>
      </c>
      <c r="I3165" s="9"/>
    </row>
    <row r="3166" spans="1:9" ht="14.25" customHeight="1" x14ac:dyDescent="0.3">
      <c r="A3166" s="6">
        <v>42883</v>
      </c>
      <c r="B3166" s="7">
        <v>104.93590000000002</v>
      </c>
      <c r="C3166" s="8">
        <f t="shared" si="25"/>
        <v>139.09856785010928</v>
      </c>
      <c r="D3166" s="9">
        <f t="shared" si="24"/>
        <v>70.403370381686742</v>
      </c>
      <c r="E3166" s="9"/>
      <c r="F3166" s="9">
        <f ca="1">IFERROR(__xludf.DUMMYFUNCTION("""COMPUTED_VALUE"""),42141)</f>
        <v>42141</v>
      </c>
      <c r="G3166" s="9" t="str">
        <f ca="1">IFERROR(__xludf.DUMMYFUNCTION("""COMPUTED_VALUE"""),"1 USD = 102.013 PKR")</f>
        <v>1 USD = 102.013 PKR</v>
      </c>
      <c r="H3166" s="9" t="str">
        <f ca="1">IFERROR(__xludf.DUMMYFUNCTION("""COMPUTED_VALUE"""),"USD PKR rate for 17/05/2015")</f>
        <v>USD PKR rate for 17/05/2015</v>
      </c>
      <c r="I3166" s="9"/>
    </row>
    <row r="3167" spans="1:9" ht="14.25" customHeight="1" x14ac:dyDescent="0.3">
      <c r="A3167" s="6">
        <v>42884</v>
      </c>
      <c r="B3167" s="7">
        <v>104.99840000000002</v>
      </c>
      <c r="C3167" s="8">
        <f t="shared" si="25"/>
        <v>139.12344559674821</v>
      </c>
      <c r="D3167" s="9">
        <f t="shared" si="24"/>
        <v>70.406108214484007</v>
      </c>
      <c r="E3167" s="9"/>
      <c r="F3167" s="9">
        <f ca="1">IFERROR(__xludf.DUMMYFUNCTION("""COMPUTED_VALUE"""),42140)</f>
        <v>42140</v>
      </c>
      <c r="G3167" s="9" t="str">
        <f ca="1">IFERROR(__xludf.DUMMYFUNCTION("""COMPUTED_VALUE"""),"1 USD = 102.0531 PKR")</f>
        <v>1 USD = 102.0531 PKR</v>
      </c>
      <c r="H3167" s="9" t="str">
        <f ca="1">IFERROR(__xludf.DUMMYFUNCTION("""COMPUTED_VALUE"""),"USD PKR rate for 16/05/2015")</f>
        <v>USD PKR rate for 16/05/2015</v>
      </c>
      <c r="I3167" s="9"/>
    </row>
    <row r="3168" spans="1:9" ht="14.25" customHeight="1" x14ac:dyDescent="0.3">
      <c r="A3168" s="6">
        <v>42885</v>
      </c>
      <c r="B3168" s="7">
        <v>104.8533</v>
      </c>
      <c r="C3168" s="8">
        <f t="shared" si="25"/>
        <v>139.14832779276637</v>
      </c>
      <c r="D3168" s="9">
        <f t="shared" si="24"/>
        <v>70.408846047281273</v>
      </c>
      <c r="E3168" s="9"/>
      <c r="F3168" s="9">
        <f ca="1">IFERROR(__xludf.DUMMYFUNCTION("""COMPUTED_VALUE"""),42139)</f>
        <v>42139</v>
      </c>
      <c r="G3168" s="9" t="str">
        <f ca="1">IFERROR(__xludf.DUMMYFUNCTION("""COMPUTED_VALUE"""),"1 USD = 101.9139 PKR")</f>
        <v>1 USD = 101.9139 PKR</v>
      </c>
      <c r="H3168" s="9" t="str">
        <f ca="1">IFERROR(__xludf.DUMMYFUNCTION("""COMPUTED_VALUE"""),"USD PKR rate for 15/05/2015")</f>
        <v>USD PKR rate for 15/05/2015</v>
      </c>
      <c r="I3168" s="9"/>
    </row>
    <row r="3169" spans="1:9" ht="14.25" customHeight="1" x14ac:dyDescent="0.3">
      <c r="A3169" s="6">
        <v>42886</v>
      </c>
      <c r="B3169" s="7">
        <v>104.5091</v>
      </c>
      <c r="C3169" s="8">
        <f t="shared" si="25"/>
        <v>139.17321443895955</v>
      </c>
      <c r="D3169" s="9">
        <f t="shared" si="24"/>
        <v>70.411583880078538</v>
      </c>
      <c r="E3169" s="9"/>
      <c r="F3169" s="9">
        <f ca="1">IFERROR(__xludf.DUMMYFUNCTION("""COMPUTED_VALUE"""),42138)</f>
        <v>42138</v>
      </c>
      <c r="G3169" s="9" t="str">
        <f ca="1">IFERROR(__xludf.DUMMYFUNCTION("""COMPUTED_VALUE"""),"1 USD = 101.8616 PKR")</f>
        <v>1 USD = 101.8616 PKR</v>
      </c>
      <c r="H3169" s="9" t="str">
        <f ca="1">IFERROR(__xludf.DUMMYFUNCTION("""COMPUTED_VALUE"""),"USD PKR rate for 14/05/2015")</f>
        <v>USD PKR rate for 14/05/2015</v>
      </c>
      <c r="I3169" s="9"/>
    </row>
    <row r="3170" spans="1:9" ht="14.25" customHeight="1" x14ac:dyDescent="0.3">
      <c r="A3170" s="6">
        <v>42887</v>
      </c>
      <c r="B3170" s="7">
        <v>104.94840000000001</v>
      </c>
      <c r="C3170" s="8">
        <f t="shared" si="25"/>
        <v>139.19810553612362</v>
      </c>
      <c r="D3170" s="9">
        <f t="shared" si="24"/>
        <v>70.414321712875804</v>
      </c>
      <c r="E3170" s="9"/>
      <c r="F3170" s="9">
        <f ca="1">IFERROR(__xludf.DUMMYFUNCTION("""COMPUTED_VALUE"""),42137)</f>
        <v>42137</v>
      </c>
      <c r="G3170" s="9" t="str">
        <f ca="1">IFERROR(__xludf.DUMMYFUNCTION("""COMPUTED_VALUE"""),"1 USD = 101.8012 PKR")</f>
        <v>1 USD = 101.8012 PKR</v>
      </c>
      <c r="H3170" s="9" t="str">
        <f ca="1">IFERROR(__xludf.DUMMYFUNCTION("""COMPUTED_VALUE"""),"USD PKR rate for 13/05/2015")</f>
        <v>USD PKR rate for 13/05/2015</v>
      </c>
      <c r="I3170" s="9"/>
    </row>
    <row r="3171" spans="1:9" ht="14.25" customHeight="1" x14ac:dyDescent="0.3">
      <c r="A3171" s="6">
        <v>42888</v>
      </c>
      <c r="B3171" s="7">
        <v>104.2081</v>
      </c>
      <c r="C3171" s="8">
        <f t="shared" si="25"/>
        <v>139.22300108505465</v>
      </c>
      <c r="D3171" s="9">
        <f t="shared" si="24"/>
        <v>70.417059545673069</v>
      </c>
      <c r="E3171" s="9"/>
      <c r="F3171" s="9">
        <f ca="1">IFERROR(__xludf.DUMMYFUNCTION("""COMPUTED_VALUE"""),42136)</f>
        <v>42136</v>
      </c>
      <c r="G3171" s="9" t="str">
        <f ca="1">IFERROR(__xludf.DUMMYFUNCTION("""COMPUTED_VALUE"""),"1 USD = 101.8085 PKR")</f>
        <v>1 USD = 101.8085 PKR</v>
      </c>
      <c r="H3171" s="9" t="str">
        <f ca="1">IFERROR(__xludf.DUMMYFUNCTION("""COMPUTED_VALUE"""),"USD PKR rate for 12/05/2015")</f>
        <v>USD PKR rate for 12/05/2015</v>
      </c>
      <c r="I3171" s="9"/>
    </row>
    <row r="3172" spans="1:9" ht="14.25" customHeight="1" x14ac:dyDescent="0.3">
      <c r="A3172" s="6">
        <v>42889</v>
      </c>
      <c r="B3172" s="7">
        <v>104.2273</v>
      </c>
      <c r="C3172" s="8">
        <f t="shared" si="25"/>
        <v>139.24790108654884</v>
      </c>
      <c r="D3172" s="9">
        <f t="shared" si="24"/>
        <v>70.419797378470335</v>
      </c>
      <c r="E3172" s="9"/>
      <c r="F3172" s="9">
        <f ca="1">IFERROR(__xludf.DUMMYFUNCTION("""COMPUTED_VALUE"""),42135)</f>
        <v>42135</v>
      </c>
      <c r="G3172" s="9" t="str">
        <f ca="1">IFERROR(__xludf.DUMMYFUNCTION("""COMPUTED_VALUE"""),"1 USD = 101.8366 PKR")</f>
        <v>1 USD = 101.8366 PKR</v>
      </c>
      <c r="H3172" s="9" t="str">
        <f ca="1">IFERROR(__xludf.DUMMYFUNCTION("""COMPUTED_VALUE"""),"USD PKR rate for 11/05/2015")</f>
        <v>USD PKR rate for 11/05/2015</v>
      </c>
      <c r="I3172" s="9"/>
    </row>
    <row r="3173" spans="1:9" ht="14.25" customHeight="1" x14ac:dyDescent="0.3">
      <c r="A3173" s="6">
        <v>42890</v>
      </c>
      <c r="B3173" s="7">
        <v>104.30629999999999</v>
      </c>
      <c r="C3173" s="8">
        <f t="shared" si="25"/>
        <v>139.27280554140253</v>
      </c>
      <c r="D3173" s="9">
        <f t="shared" si="24"/>
        <v>70.422535211267601</v>
      </c>
      <c r="E3173" s="9"/>
      <c r="F3173" s="9">
        <f ca="1">IFERROR(__xludf.DUMMYFUNCTION("""COMPUTED_VALUE"""),42134)</f>
        <v>42134</v>
      </c>
      <c r="G3173" s="9" t="str">
        <f ca="1">IFERROR(__xludf.DUMMYFUNCTION("""COMPUTED_VALUE"""),"1 USD = 101.7932 PKR")</f>
        <v>1 USD = 101.7932 PKR</v>
      </c>
      <c r="H3173" s="9" t="str">
        <f ca="1">IFERROR(__xludf.DUMMYFUNCTION("""COMPUTED_VALUE"""),"USD PKR rate for 10/05/2015")</f>
        <v>USD PKR rate for 10/05/2015</v>
      </c>
      <c r="I3173" s="9"/>
    </row>
    <row r="3174" spans="1:9" ht="14.25" customHeight="1" x14ac:dyDescent="0.3">
      <c r="A3174" s="6">
        <v>42891</v>
      </c>
      <c r="B3174" s="7">
        <v>104.61069999999999</v>
      </c>
      <c r="C3174" s="8">
        <f t="shared" si="25"/>
        <v>139.2977144504122</v>
      </c>
      <c r="D3174" s="9">
        <f t="shared" si="24"/>
        <v>70.425273044064866</v>
      </c>
      <c r="E3174" s="9"/>
      <c r="F3174" s="9">
        <f ca="1">IFERROR(__xludf.DUMMYFUNCTION("""COMPUTED_VALUE"""),42133)</f>
        <v>42133</v>
      </c>
      <c r="G3174" s="9" t="str">
        <f ca="1">IFERROR(__xludf.DUMMYFUNCTION("""COMPUTED_VALUE"""),"1 USD = 101.8735 PKR")</f>
        <v>1 USD = 101.8735 PKR</v>
      </c>
      <c r="H3174" s="9" t="str">
        <f ca="1">IFERROR(__xludf.DUMMYFUNCTION("""COMPUTED_VALUE"""),"USD PKR rate for 09/05/2015")</f>
        <v>USD PKR rate for 09/05/2015</v>
      </c>
      <c r="I3174" s="9"/>
    </row>
    <row r="3175" spans="1:9" ht="14.25" customHeight="1" x14ac:dyDescent="0.3">
      <c r="A3175" s="6">
        <v>42892</v>
      </c>
      <c r="B3175" s="7">
        <v>104.61069999999999</v>
      </c>
      <c r="C3175" s="8">
        <f t="shared" si="25"/>
        <v>139.32262781437436</v>
      </c>
      <c r="D3175" s="9">
        <f t="shared" si="24"/>
        <v>70.428010876862132</v>
      </c>
      <c r="E3175" s="9"/>
      <c r="F3175" s="9">
        <f ca="1">IFERROR(__xludf.DUMMYFUNCTION("""COMPUTED_VALUE"""),42132)</f>
        <v>42132</v>
      </c>
      <c r="G3175" s="9" t="str">
        <f ca="1">IFERROR(__xludf.DUMMYFUNCTION("""COMPUTED_VALUE"""),"1 USD = 101.6808 PKR")</f>
        <v>1 USD = 101.6808 PKR</v>
      </c>
      <c r="H3175" s="9" t="str">
        <f ca="1">IFERROR(__xludf.DUMMYFUNCTION("""COMPUTED_VALUE"""),"USD PKR rate for 08/05/2015")</f>
        <v>USD PKR rate for 08/05/2015</v>
      </c>
      <c r="I3175" s="9"/>
    </row>
    <row r="3176" spans="1:9" ht="14.25" customHeight="1" x14ac:dyDescent="0.3">
      <c r="A3176" s="6">
        <v>42893</v>
      </c>
      <c r="B3176" s="7">
        <v>104.4328</v>
      </c>
      <c r="C3176" s="8">
        <f t="shared" si="25"/>
        <v>139.34754563408603</v>
      </c>
      <c r="D3176" s="9">
        <f t="shared" si="24"/>
        <v>70.430748709659397</v>
      </c>
      <c r="E3176" s="9"/>
      <c r="F3176" s="9">
        <f ca="1">IFERROR(__xludf.DUMMYFUNCTION("""COMPUTED_VALUE"""),42131)</f>
        <v>42131</v>
      </c>
      <c r="G3176" s="9" t="str">
        <f ca="1">IFERROR(__xludf.DUMMYFUNCTION("""COMPUTED_VALUE"""),"1 USD = 101.9184 PKR")</f>
        <v>1 USD = 101.9184 PKR</v>
      </c>
      <c r="H3176" s="9" t="str">
        <f ca="1">IFERROR(__xludf.DUMMYFUNCTION("""COMPUTED_VALUE"""),"USD PKR rate for 07/05/2015")</f>
        <v>USD PKR rate for 07/05/2015</v>
      </c>
      <c r="I3176" s="9"/>
    </row>
    <row r="3177" spans="1:9" ht="14.25" customHeight="1" x14ac:dyDescent="0.3">
      <c r="A3177" s="6">
        <v>42894</v>
      </c>
      <c r="B3177" s="7">
        <v>105.2137</v>
      </c>
      <c r="C3177" s="8">
        <f t="shared" si="25"/>
        <v>139.37246791034394</v>
      </c>
      <c r="D3177" s="9">
        <f t="shared" si="24"/>
        <v>70.433486542456663</v>
      </c>
      <c r="E3177" s="9"/>
      <c r="F3177" s="9">
        <f ca="1">IFERROR(__xludf.DUMMYFUNCTION("""COMPUTED_VALUE"""),42130)</f>
        <v>42130</v>
      </c>
      <c r="G3177" s="9" t="str">
        <f ca="1">IFERROR(__xludf.DUMMYFUNCTION("""COMPUTED_VALUE"""),"1 USD = 101.768 PKR")</f>
        <v>1 USD = 101.768 PKR</v>
      </c>
      <c r="H3177" s="9" t="str">
        <f ca="1">IFERROR(__xludf.DUMMYFUNCTION("""COMPUTED_VALUE"""),"USD PKR rate for 06/05/2015")</f>
        <v>USD PKR rate for 06/05/2015</v>
      </c>
      <c r="I3177" s="9"/>
    </row>
    <row r="3178" spans="1:9" ht="14.25" customHeight="1" x14ac:dyDescent="0.3">
      <c r="A3178" s="6">
        <v>42895</v>
      </c>
      <c r="B3178" s="7">
        <v>104.7645</v>
      </c>
      <c r="C3178" s="8">
        <f t="shared" si="25"/>
        <v>139.39739464394523</v>
      </c>
      <c r="D3178" s="9">
        <f t="shared" si="24"/>
        <v>70.436224375253929</v>
      </c>
      <c r="E3178" s="9"/>
      <c r="F3178" s="9">
        <f ca="1">IFERROR(__xludf.DUMMYFUNCTION("""COMPUTED_VALUE"""),42129)</f>
        <v>42129</v>
      </c>
      <c r="G3178" s="9" t="str">
        <f ca="1">IFERROR(__xludf.DUMMYFUNCTION("""COMPUTED_VALUE"""),"1 USD = 101.8374 PKR")</f>
        <v>1 USD = 101.8374 PKR</v>
      </c>
      <c r="H3178" s="9" t="str">
        <f ca="1">IFERROR(__xludf.DUMMYFUNCTION("""COMPUTED_VALUE"""),"USD PKR rate for 05/05/2015")</f>
        <v>USD PKR rate for 05/05/2015</v>
      </c>
      <c r="I3178" s="9"/>
    </row>
    <row r="3179" spans="1:9" ht="14.25" customHeight="1" x14ac:dyDescent="0.3">
      <c r="A3179" s="6">
        <v>42896</v>
      </c>
      <c r="B3179" s="7">
        <v>104.7573</v>
      </c>
      <c r="C3179" s="8">
        <f t="shared" si="25"/>
        <v>139.42232583568702</v>
      </c>
      <c r="D3179" s="9">
        <f t="shared" si="24"/>
        <v>70.438962208051194</v>
      </c>
      <c r="E3179" s="9"/>
      <c r="F3179" s="9">
        <f ca="1">IFERROR(__xludf.DUMMYFUNCTION("""COMPUTED_VALUE"""),42128)</f>
        <v>42128</v>
      </c>
      <c r="G3179" s="9" t="str">
        <f ca="1">IFERROR(__xludf.DUMMYFUNCTION("""COMPUTED_VALUE"""),"1 USD = 101.8125 PKR")</f>
        <v>1 USD = 101.8125 PKR</v>
      </c>
      <c r="H3179" s="9" t="str">
        <f ca="1">IFERROR(__xludf.DUMMYFUNCTION("""COMPUTED_VALUE"""),"USD PKR rate for 04/05/2015")</f>
        <v>USD PKR rate for 04/05/2015</v>
      </c>
      <c r="I3179" s="9"/>
    </row>
    <row r="3180" spans="1:9" ht="14.25" customHeight="1" x14ac:dyDescent="0.3">
      <c r="A3180" s="6">
        <v>42897</v>
      </c>
      <c r="B3180" s="7">
        <v>104.7251</v>
      </c>
      <c r="C3180" s="8">
        <f t="shared" si="25"/>
        <v>139.4472614863667</v>
      </c>
      <c r="D3180" s="9">
        <f t="shared" si="24"/>
        <v>70.44170004084846</v>
      </c>
      <c r="E3180" s="9"/>
      <c r="F3180" s="9">
        <f ca="1">IFERROR(__xludf.DUMMYFUNCTION("""COMPUTED_VALUE"""),42127)</f>
        <v>42127</v>
      </c>
      <c r="G3180" s="9" t="str">
        <f ca="1">IFERROR(__xludf.DUMMYFUNCTION("""COMPUTED_VALUE"""),"1 USD = 101.7685 PKR")</f>
        <v>1 USD = 101.7685 PKR</v>
      </c>
      <c r="H3180" s="9" t="str">
        <f ca="1">IFERROR(__xludf.DUMMYFUNCTION("""COMPUTED_VALUE"""),"USD PKR rate for 03/05/2015")</f>
        <v>USD PKR rate for 03/05/2015</v>
      </c>
      <c r="I3180" s="9"/>
    </row>
    <row r="3181" spans="1:9" ht="14.25" customHeight="1" x14ac:dyDescent="0.3">
      <c r="A3181" s="6">
        <v>42898</v>
      </c>
      <c r="B3181" s="7">
        <v>104.77130000000001</v>
      </c>
      <c r="C3181" s="8">
        <f t="shared" si="25"/>
        <v>139.4722015967817</v>
      </c>
      <c r="D3181" s="9">
        <f t="shared" si="24"/>
        <v>70.444437873645725</v>
      </c>
      <c r="E3181" s="9"/>
      <c r="F3181" s="9">
        <f ca="1">IFERROR(__xludf.DUMMYFUNCTION("""COMPUTED_VALUE"""),42126)</f>
        <v>42126</v>
      </c>
      <c r="G3181" s="9" t="str">
        <f ca="1">IFERROR(__xludf.DUMMYFUNCTION("""COMPUTED_VALUE"""),"1 USD = 101.7128 PKR")</f>
        <v>1 USD = 101.7128 PKR</v>
      </c>
      <c r="H3181" s="9" t="str">
        <f ca="1">IFERROR(__xludf.DUMMYFUNCTION("""COMPUTED_VALUE"""),"USD PKR rate for 02/05/2015")</f>
        <v>USD PKR rate for 02/05/2015</v>
      </c>
      <c r="I3181" s="9"/>
    </row>
    <row r="3182" spans="1:9" ht="14.25" customHeight="1" x14ac:dyDescent="0.3">
      <c r="A3182" s="6">
        <v>42899</v>
      </c>
      <c r="B3182" s="7">
        <v>104.8473</v>
      </c>
      <c r="C3182" s="8">
        <f t="shared" si="25"/>
        <v>139.49714616772971</v>
      </c>
      <c r="D3182" s="9">
        <f t="shared" si="24"/>
        <v>70.447175706442991</v>
      </c>
      <c r="E3182" s="9"/>
      <c r="F3182" s="9">
        <f ca="1">IFERROR(__xludf.DUMMYFUNCTION("""COMPUTED_VALUE"""),42125)</f>
        <v>42125</v>
      </c>
      <c r="G3182" s="9" t="str">
        <f ca="1">IFERROR(__xludf.DUMMYFUNCTION("""COMPUTED_VALUE"""),"1 USD = 101.6317 PKR")</f>
        <v>1 USD = 101.6317 PKR</v>
      </c>
      <c r="H3182" s="9" t="str">
        <f ca="1">IFERROR(__xludf.DUMMYFUNCTION("""COMPUTED_VALUE"""),"USD PKR rate for 01/05/2015")</f>
        <v>USD PKR rate for 01/05/2015</v>
      </c>
      <c r="I3182" s="9"/>
    </row>
    <row r="3183" spans="1:9" ht="14.25" customHeight="1" x14ac:dyDescent="0.3">
      <c r="A3183" s="6">
        <v>42900</v>
      </c>
      <c r="B3183" s="7">
        <v>104.809</v>
      </c>
      <c r="C3183" s="8">
        <f t="shared" si="25"/>
        <v>139.52209520000844</v>
      </c>
      <c r="D3183" s="9">
        <f t="shared" si="24"/>
        <v>70.449913539240256</v>
      </c>
      <c r="E3183" s="9"/>
      <c r="F3183" s="9">
        <f ca="1">IFERROR(__xludf.DUMMYFUNCTION("""COMPUTED_VALUE"""),42124)</f>
        <v>42124</v>
      </c>
      <c r="G3183" s="9" t="str">
        <f ca="1">IFERROR(__xludf.DUMMYFUNCTION("""COMPUTED_VALUE"""),"1 USD = 101.8041 PKR")</f>
        <v>1 USD = 101.8041 PKR</v>
      </c>
      <c r="H3183" s="9" t="str">
        <f ca="1">IFERROR(__xludf.DUMMYFUNCTION("""COMPUTED_VALUE"""),"USD PKR rate for 30/04/2015")</f>
        <v>USD PKR rate for 30/04/2015</v>
      </c>
      <c r="I3183" s="9"/>
    </row>
    <row r="3184" spans="1:9" ht="14.25" customHeight="1" x14ac:dyDescent="0.3">
      <c r="A3184" s="6">
        <v>42901</v>
      </c>
      <c r="B3184" s="7">
        <v>104.8425</v>
      </c>
      <c r="C3184" s="8">
        <f t="shared" si="25"/>
        <v>139.54704869441568</v>
      </c>
      <c r="D3184" s="9">
        <f t="shared" si="24"/>
        <v>70.452651372037522</v>
      </c>
      <c r="E3184" s="9"/>
      <c r="F3184" s="9">
        <f ca="1">IFERROR(__xludf.DUMMYFUNCTION("""COMPUTED_VALUE"""),42123)</f>
        <v>42123</v>
      </c>
      <c r="G3184" s="9" t="str">
        <f ca="1">IFERROR(__xludf.DUMMYFUNCTION("""COMPUTED_VALUE"""),"1 USD = 101.8182 PKR")</f>
        <v>1 USD = 101.8182 PKR</v>
      </c>
      <c r="H3184" s="9" t="str">
        <f ca="1">IFERROR(__xludf.DUMMYFUNCTION("""COMPUTED_VALUE"""),"USD PKR rate for 29/04/2015")</f>
        <v>USD PKR rate for 29/04/2015</v>
      </c>
      <c r="I3184" s="9"/>
    </row>
    <row r="3185" spans="1:9" ht="14.25" customHeight="1" x14ac:dyDescent="0.3">
      <c r="A3185" s="6">
        <v>42902</v>
      </c>
      <c r="B3185" s="7">
        <v>104.7415</v>
      </c>
      <c r="C3185" s="8">
        <f t="shared" si="25"/>
        <v>139.57200665174975</v>
      </c>
      <c r="D3185" s="9">
        <f t="shared" si="24"/>
        <v>70.455389204834788</v>
      </c>
      <c r="E3185" s="9"/>
      <c r="F3185" s="9">
        <f ca="1">IFERROR(__xludf.DUMMYFUNCTION("""COMPUTED_VALUE"""),42122)</f>
        <v>42122</v>
      </c>
      <c r="G3185" s="9" t="str">
        <f ca="1">IFERROR(__xludf.DUMMYFUNCTION("""COMPUTED_VALUE"""),"1 USD = 101.7378 PKR")</f>
        <v>1 USD = 101.7378 PKR</v>
      </c>
      <c r="H3185" s="9" t="str">
        <f ca="1">IFERROR(__xludf.DUMMYFUNCTION("""COMPUTED_VALUE"""),"USD PKR rate for 28/04/2015")</f>
        <v>USD PKR rate for 28/04/2015</v>
      </c>
      <c r="I3185" s="9"/>
    </row>
    <row r="3186" spans="1:9" ht="14.25" customHeight="1" x14ac:dyDescent="0.3">
      <c r="A3186" s="6">
        <v>42903</v>
      </c>
      <c r="B3186" s="7">
        <v>104.7093</v>
      </c>
      <c r="C3186" s="8">
        <f t="shared" si="25"/>
        <v>139.59696907280869</v>
      </c>
      <c r="D3186" s="9">
        <f t="shared" si="24"/>
        <v>70.458127037632053</v>
      </c>
      <c r="E3186" s="9"/>
      <c r="F3186" s="9">
        <f ca="1">IFERROR(__xludf.DUMMYFUNCTION("""COMPUTED_VALUE"""),42121)</f>
        <v>42121</v>
      </c>
      <c r="G3186" s="9" t="str">
        <f ca="1">IFERROR(__xludf.DUMMYFUNCTION("""COMPUTED_VALUE"""),"1 USD = 101.6975 PKR")</f>
        <v>1 USD = 101.6975 PKR</v>
      </c>
      <c r="H3186" s="9" t="str">
        <f ca="1">IFERROR(__xludf.DUMMYFUNCTION("""COMPUTED_VALUE"""),"USD PKR rate for 27/04/2015")</f>
        <v>USD PKR rate for 27/04/2015</v>
      </c>
      <c r="I3186" s="9"/>
    </row>
    <row r="3187" spans="1:9" ht="14.25" customHeight="1" x14ac:dyDescent="0.3">
      <c r="A3187" s="6">
        <v>42904</v>
      </c>
      <c r="B3187" s="7">
        <v>104.77889999999999</v>
      </c>
      <c r="C3187" s="8">
        <f t="shared" si="25"/>
        <v>139.62193595839088</v>
      </c>
      <c r="D3187" s="9">
        <f t="shared" si="24"/>
        <v>70.460864870429319</v>
      </c>
      <c r="E3187" s="9"/>
      <c r="F3187" s="9">
        <f ca="1">IFERROR(__xludf.DUMMYFUNCTION("""COMPUTED_VALUE"""),42120)</f>
        <v>42120</v>
      </c>
      <c r="G3187" s="9" t="str">
        <f ca="1">IFERROR(__xludf.DUMMYFUNCTION("""COMPUTED_VALUE"""),"1 USD = 101.6556 PKR")</f>
        <v>1 USD = 101.6556 PKR</v>
      </c>
      <c r="H3187" s="9" t="str">
        <f ca="1">IFERROR(__xludf.DUMMYFUNCTION("""COMPUTED_VALUE"""),"USD PKR rate for 26/04/2015")</f>
        <v>USD PKR rate for 26/04/2015</v>
      </c>
      <c r="I3187" s="9"/>
    </row>
    <row r="3188" spans="1:9" ht="14.25" customHeight="1" x14ac:dyDescent="0.3">
      <c r="A3188" s="6">
        <v>42905</v>
      </c>
      <c r="B3188" s="7">
        <v>105.37950000000001</v>
      </c>
      <c r="C3188" s="8">
        <f t="shared" si="25"/>
        <v>139.64690730929476</v>
      </c>
      <c r="D3188" s="9">
        <f t="shared" si="24"/>
        <v>70.463602703226584</v>
      </c>
      <c r="E3188" s="9"/>
      <c r="F3188" s="9">
        <f ca="1">IFERROR(__xludf.DUMMYFUNCTION("""COMPUTED_VALUE"""),42119)</f>
        <v>42119</v>
      </c>
      <c r="G3188" s="9" t="str">
        <f ca="1">IFERROR(__xludf.DUMMYFUNCTION("""COMPUTED_VALUE"""),"1 USD = 101.6495 PKR")</f>
        <v>1 USD = 101.6495 PKR</v>
      </c>
      <c r="H3188" s="9" t="str">
        <f ca="1">IFERROR(__xludf.DUMMYFUNCTION("""COMPUTED_VALUE"""),"USD PKR rate for 25/04/2015")</f>
        <v>USD PKR rate for 25/04/2015</v>
      </c>
      <c r="I3188" s="9"/>
    </row>
    <row r="3189" spans="1:9" ht="14.25" customHeight="1" x14ac:dyDescent="0.3">
      <c r="A3189" s="6">
        <v>42906</v>
      </c>
      <c r="B3189" s="7">
        <v>105.0218</v>
      </c>
      <c r="C3189" s="8">
        <f t="shared" si="25"/>
        <v>139.67188312631896</v>
      </c>
      <c r="D3189" s="9">
        <f t="shared" si="24"/>
        <v>70.46634053602385</v>
      </c>
      <c r="E3189" s="9"/>
      <c r="F3189" s="9">
        <f ca="1">IFERROR(__xludf.DUMMYFUNCTION("""COMPUTED_VALUE"""),42118)</f>
        <v>42118</v>
      </c>
      <c r="G3189" s="9" t="str">
        <f ca="1">IFERROR(__xludf.DUMMYFUNCTION("""COMPUTED_VALUE"""),"1 USD = 101.6531 PKR")</f>
        <v>1 USD = 101.6531 PKR</v>
      </c>
      <c r="H3189" s="9" t="str">
        <f ca="1">IFERROR(__xludf.DUMMYFUNCTION("""COMPUTED_VALUE"""),"USD PKR rate for 24/04/2015")</f>
        <v>USD PKR rate for 24/04/2015</v>
      </c>
      <c r="I3189" s="9"/>
    </row>
    <row r="3190" spans="1:9" ht="14.25" customHeight="1" x14ac:dyDescent="0.3">
      <c r="A3190" s="6">
        <v>42907</v>
      </c>
      <c r="B3190" s="7">
        <v>104.83260000000001</v>
      </c>
      <c r="C3190" s="8">
        <f t="shared" si="25"/>
        <v>139.69686341026224</v>
      </c>
      <c r="D3190" s="9">
        <f t="shared" si="24"/>
        <v>70.469078368821116</v>
      </c>
      <c r="E3190" s="9"/>
      <c r="F3190" s="9">
        <f ca="1">IFERROR(__xludf.DUMMYFUNCTION("""COMPUTED_VALUE"""),42117)</f>
        <v>42117</v>
      </c>
      <c r="G3190" s="9" t="str">
        <f ca="1">IFERROR(__xludf.DUMMYFUNCTION("""COMPUTED_VALUE"""),"1 USD = 101.59 PKR")</f>
        <v>1 USD = 101.59 PKR</v>
      </c>
      <c r="H3190" s="9" t="str">
        <f ca="1">IFERROR(__xludf.DUMMYFUNCTION("""COMPUTED_VALUE"""),"USD PKR rate for 23/04/2015")</f>
        <v>USD PKR rate for 23/04/2015</v>
      </c>
      <c r="I3190" s="9"/>
    </row>
    <row r="3191" spans="1:9" ht="14.25" customHeight="1" x14ac:dyDescent="0.3">
      <c r="A3191" s="6">
        <v>42908</v>
      </c>
      <c r="B3191" s="7">
        <v>104.9301</v>
      </c>
      <c r="C3191" s="8">
        <f t="shared" si="25"/>
        <v>139.72184816192353</v>
      </c>
      <c r="D3191" s="9">
        <f t="shared" si="24"/>
        <v>70.471816201618381</v>
      </c>
      <c r="E3191" s="9"/>
      <c r="F3191" s="9">
        <f ca="1">IFERROR(__xludf.DUMMYFUNCTION("""COMPUTED_VALUE"""),42116)</f>
        <v>42116</v>
      </c>
      <c r="G3191" s="9" t="str">
        <f ca="1">IFERROR(__xludf.DUMMYFUNCTION("""COMPUTED_VALUE"""),"1 USD = 101.5792 PKR")</f>
        <v>1 USD = 101.5792 PKR</v>
      </c>
      <c r="H3191" s="9" t="str">
        <f ca="1">IFERROR(__xludf.DUMMYFUNCTION("""COMPUTED_VALUE"""),"USD PKR rate for 22/04/2015")</f>
        <v>USD PKR rate for 22/04/2015</v>
      </c>
      <c r="I3191" s="9"/>
    </row>
    <row r="3192" spans="1:9" ht="14.25" customHeight="1" x14ac:dyDescent="0.3">
      <c r="A3192" s="6">
        <v>42909</v>
      </c>
      <c r="B3192" s="7">
        <v>104.5107</v>
      </c>
      <c r="C3192" s="8">
        <f t="shared" si="25"/>
        <v>139.74683738210189</v>
      </c>
      <c r="D3192" s="9">
        <f t="shared" si="24"/>
        <v>70.474554034415647</v>
      </c>
      <c r="E3192" s="9"/>
      <c r="F3192" s="9">
        <f ca="1">IFERROR(__xludf.DUMMYFUNCTION("""COMPUTED_VALUE"""),42115)</f>
        <v>42115</v>
      </c>
      <c r="G3192" s="9" t="str">
        <f ca="1">IFERROR(__xludf.DUMMYFUNCTION("""COMPUTED_VALUE"""),"1 USD = 101.6178 PKR")</f>
        <v>1 USD = 101.6178 PKR</v>
      </c>
      <c r="H3192" s="9" t="str">
        <f ca="1">IFERROR(__xludf.DUMMYFUNCTION("""COMPUTED_VALUE"""),"USD PKR rate for 21/04/2015")</f>
        <v>USD PKR rate for 21/04/2015</v>
      </c>
      <c r="I3192" s="9"/>
    </row>
    <row r="3193" spans="1:9" ht="14.25" customHeight="1" x14ac:dyDescent="0.3">
      <c r="A3193" s="6">
        <v>42910</v>
      </c>
      <c r="B3193" s="7">
        <v>104.54290000000002</v>
      </c>
      <c r="C3193" s="8">
        <f t="shared" si="25"/>
        <v>139.77183107159632</v>
      </c>
      <c r="D3193" s="9">
        <f t="shared" si="24"/>
        <v>70.477291867212912</v>
      </c>
      <c r="E3193" s="9"/>
      <c r="F3193" s="9">
        <f ca="1">IFERROR(__xludf.DUMMYFUNCTION("""COMPUTED_VALUE"""),42114)</f>
        <v>42114</v>
      </c>
      <c r="G3193" s="9" t="str">
        <f ca="1">IFERROR(__xludf.DUMMYFUNCTION("""COMPUTED_VALUE"""),"1 USD = 101.6865 PKR")</f>
        <v>1 USD = 101.6865 PKR</v>
      </c>
      <c r="H3193" s="9" t="str">
        <f ca="1">IFERROR(__xludf.DUMMYFUNCTION("""COMPUTED_VALUE"""),"USD PKR rate for 20/04/2015")</f>
        <v>USD PKR rate for 20/04/2015</v>
      </c>
      <c r="I3193" s="9"/>
    </row>
    <row r="3194" spans="1:9" ht="14.25" customHeight="1" x14ac:dyDescent="0.3">
      <c r="A3194" s="6">
        <v>42911</v>
      </c>
      <c r="B3194" s="7">
        <v>104.5326</v>
      </c>
      <c r="C3194" s="8">
        <f t="shared" si="25"/>
        <v>139.79682923120649</v>
      </c>
      <c r="D3194" s="9">
        <f t="shared" si="24"/>
        <v>70.480029700010178</v>
      </c>
      <c r="E3194" s="9"/>
      <c r="F3194" s="9">
        <f ca="1">IFERROR(__xludf.DUMMYFUNCTION("""COMPUTED_VALUE"""),42113)</f>
        <v>42113</v>
      </c>
      <c r="G3194" s="9" t="str">
        <f ca="1">IFERROR(__xludf.DUMMYFUNCTION("""COMPUTED_VALUE"""),"1 USD = 101.6683 PKR")</f>
        <v>1 USD = 101.6683 PKR</v>
      </c>
      <c r="H3194" s="9" t="str">
        <f ca="1">IFERROR(__xludf.DUMMYFUNCTION("""COMPUTED_VALUE"""),"USD PKR rate for 19/04/2015")</f>
        <v>USD PKR rate for 19/04/2015</v>
      </c>
      <c r="I3194" s="9"/>
    </row>
    <row r="3195" spans="1:9" ht="14.25" customHeight="1" x14ac:dyDescent="0.3">
      <c r="A3195" s="6">
        <v>42912</v>
      </c>
      <c r="B3195" s="7">
        <v>104.8276</v>
      </c>
      <c r="C3195" s="8">
        <f t="shared" si="25"/>
        <v>139.82183186173168</v>
      </c>
      <c r="D3195" s="9">
        <f t="shared" si="24"/>
        <v>70.482767532807443</v>
      </c>
      <c r="E3195" s="9"/>
      <c r="F3195" s="9">
        <f ca="1">IFERROR(__xludf.DUMMYFUNCTION("""COMPUTED_VALUE"""),42112)</f>
        <v>42112</v>
      </c>
      <c r="G3195" s="9" t="str">
        <f ca="1">IFERROR(__xludf.DUMMYFUNCTION("""COMPUTED_VALUE"""),"1 USD = 101.5378 PKR")</f>
        <v>1 USD = 101.5378 PKR</v>
      </c>
      <c r="H3195" s="9" t="str">
        <f ca="1">IFERROR(__xludf.DUMMYFUNCTION("""COMPUTED_VALUE"""),"USD PKR rate for 18/04/2015")</f>
        <v>USD PKR rate for 18/04/2015</v>
      </c>
      <c r="I3195" s="9"/>
    </row>
    <row r="3196" spans="1:9" ht="14.25" customHeight="1" x14ac:dyDescent="0.3">
      <c r="A3196" s="6">
        <v>42913</v>
      </c>
      <c r="B3196" s="7">
        <v>104.17189999999999</v>
      </c>
      <c r="C3196" s="8">
        <f t="shared" si="25"/>
        <v>139.84683896397155</v>
      </c>
      <c r="D3196" s="9">
        <f t="shared" si="24"/>
        <v>70.485505365604709</v>
      </c>
      <c r="E3196" s="9"/>
      <c r="F3196" s="9">
        <f ca="1">IFERROR(__xludf.DUMMYFUNCTION("""COMPUTED_VALUE"""),42111)</f>
        <v>42111</v>
      </c>
      <c r="G3196" s="9" t="str">
        <f ca="1">IFERROR(__xludf.DUMMYFUNCTION("""COMPUTED_VALUE"""),"1 USD = 101.5237 PKR")</f>
        <v>1 USD = 101.5237 PKR</v>
      </c>
      <c r="H3196" s="9" t="str">
        <f ca="1">IFERROR(__xludf.DUMMYFUNCTION("""COMPUTED_VALUE"""),"USD PKR rate for 17/04/2015")</f>
        <v>USD PKR rate for 17/04/2015</v>
      </c>
      <c r="I3196" s="9"/>
    </row>
    <row r="3197" spans="1:9" ht="14.25" customHeight="1" x14ac:dyDescent="0.3">
      <c r="A3197" s="6">
        <v>42914</v>
      </c>
      <c r="B3197" s="7">
        <v>104.6229</v>
      </c>
      <c r="C3197" s="8">
        <f t="shared" si="25"/>
        <v>139.87185053872591</v>
      </c>
      <c r="D3197" s="9">
        <f t="shared" si="24"/>
        <v>70.488243198401975</v>
      </c>
      <c r="E3197" s="9"/>
      <c r="F3197" s="9">
        <f ca="1">IFERROR(__xludf.DUMMYFUNCTION("""COMPUTED_VALUE"""),42110)</f>
        <v>42110</v>
      </c>
      <c r="G3197" s="9" t="str">
        <f ca="1">IFERROR(__xludf.DUMMYFUNCTION("""COMPUTED_VALUE"""),"1 USD = 101.5706 PKR")</f>
        <v>1 USD = 101.5706 PKR</v>
      </c>
      <c r="H3197" s="9" t="str">
        <f ca="1">IFERROR(__xludf.DUMMYFUNCTION("""COMPUTED_VALUE"""),"USD PKR rate for 16/04/2015")</f>
        <v>USD PKR rate for 16/04/2015</v>
      </c>
      <c r="I3197" s="9"/>
    </row>
    <row r="3198" spans="1:9" ht="14.25" customHeight="1" x14ac:dyDescent="0.3">
      <c r="A3198" s="6">
        <v>42915</v>
      </c>
      <c r="B3198" s="7">
        <v>104.53489999999999</v>
      </c>
      <c r="C3198" s="8">
        <f t="shared" si="25"/>
        <v>139.89686658679457</v>
      </c>
      <c r="D3198" s="9">
        <f t="shared" si="24"/>
        <v>70.49098103119924</v>
      </c>
      <c r="E3198" s="9"/>
      <c r="F3198" s="9">
        <f ca="1">IFERROR(__xludf.DUMMYFUNCTION("""COMPUTED_VALUE"""),42109)</f>
        <v>42109</v>
      </c>
      <c r="G3198" s="9" t="str">
        <f ca="1">IFERROR(__xludf.DUMMYFUNCTION("""COMPUTED_VALUE"""),"1 USD = 101.6684 PKR")</f>
        <v>1 USD = 101.6684 PKR</v>
      </c>
      <c r="H3198" s="9" t="str">
        <f ca="1">IFERROR(__xludf.DUMMYFUNCTION("""COMPUTED_VALUE"""),"USD PKR rate for 15/04/2015")</f>
        <v>USD PKR rate for 15/04/2015</v>
      </c>
      <c r="I3198" s="9"/>
    </row>
    <row r="3199" spans="1:9" ht="14.25" customHeight="1" x14ac:dyDescent="0.3">
      <c r="A3199" s="6">
        <v>42916</v>
      </c>
      <c r="B3199" s="7">
        <v>104.6485</v>
      </c>
      <c r="C3199" s="8">
        <f t="shared" si="25"/>
        <v>139.92188710897764</v>
      </c>
      <c r="D3199" s="9">
        <f t="shared" si="24"/>
        <v>70.493718863996506</v>
      </c>
      <c r="E3199" s="9"/>
      <c r="F3199" s="9">
        <f ca="1">IFERROR(__xludf.DUMMYFUNCTION("""COMPUTED_VALUE"""),42108)</f>
        <v>42108</v>
      </c>
      <c r="G3199" s="9" t="str">
        <f ca="1">IFERROR(__xludf.DUMMYFUNCTION("""COMPUTED_VALUE"""),"1 USD = 101.6945 PKR")</f>
        <v>1 USD = 101.6945 PKR</v>
      </c>
      <c r="H3199" s="9" t="str">
        <f ca="1">IFERROR(__xludf.DUMMYFUNCTION("""COMPUTED_VALUE"""),"USD PKR rate for 14/04/2015")</f>
        <v>USD PKR rate for 14/04/2015</v>
      </c>
      <c r="I3199" s="9"/>
    </row>
    <row r="3200" spans="1:9" ht="14.25" customHeight="1" x14ac:dyDescent="0.3">
      <c r="A3200" s="6">
        <v>42917</v>
      </c>
      <c r="B3200" s="7">
        <v>104.65009999999999</v>
      </c>
      <c r="C3200" s="8">
        <f t="shared" si="25"/>
        <v>139.94691210607536</v>
      </c>
      <c r="D3200" s="9">
        <f t="shared" si="24"/>
        <v>70.496456696793771</v>
      </c>
      <c r="E3200" s="9"/>
      <c r="F3200" s="9">
        <f ca="1">IFERROR(__xludf.DUMMYFUNCTION("""COMPUTED_VALUE"""),42107)</f>
        <v>42107</v>
      </c>
      <c r="G3200" s="9" t="str">
        <f ca="1">IFERROR(__xludf.DUMMYFUNCTION("""COMPUTED_VALUE"""),"1 USD = 101.858 PKR")</f>
        <v>1 USD = 101.858 PKR</v>
      </c>
      <c r="H3200" s="9" t="str">
        <f ca="1">IFERROR(__xludf.DUMMYFUNCTION("""COMPUTED_VALUE"""),"USD PKR rate for 13/04/2015")</f>
        <v>USD PKR rate for 13/04/2015</v>
      </c>
      <c r="I3200" s="9"/>
    </row>
    <row r="3201" spans="1:9" ht="14.25" customHeight="1" x14ac:dyDescent="0.3">
      <c r="A3201" s="6">
        <v>42918</v>
      </c>
      <c r="B3201" s="7">
        <v>104.6332</v>
      </c>
      <c r="C3201" s="8">
        <f t="shared" si="25"/>
        <v>139.97194157888794</v>
      </c>
      <c r="D3201" s="9">
        <f t="shared" si="24"/>
        <v>70.499194529591037</v>
      </c>
      <c r="E3201" s="9"/>
      <c r="F3201" s="9">
        <f ca="1">IFERROR(__xludf.DUMMYFUNCTION("""COMPUTED_VALUE"""),42106)</f>
        <v>42106</v>
      </c>
      <c r="G3201" s="9" t="str">
        <f ca="1">IFERROR(__xludf.DUMMYFUNCTION("""COMPUTED_VALUE"""),"1 USD = 101.8056 PKR")</f>
        <v>1 USD = 101.8056 PKR</v>
      </c>
      <c r="H3201" s="9" t="str">
        <f ca="1">IFERROR(__xludf.DUMMYFUNCTION("""COMPUTED_VALUE"""),"USD PKR rate for 12/04/2015")</f>
        <v>USD PKR rate for 12/04/2015</v>
      </c>
      <c r="I3201" s="9"/>
    </row>
    <row r="3202" spans="1:9" ht="14.25" customHeight="1" x14ac:dyDescent="0.3">
      <c r="A3202" s="6">
        <v>42919</v>
      </c>
      <c r="B3202" s="7">
        <v>104.971</v>
      </c>
      <c r="C3202" s="8">
        <f t="shared" si="25"/>
        <v>139.99697552821587</v>
      </c>
      <c r="D3202" s="9">
        <f t="shared" si="24"/>
        <v>70.501932362388303</v>
      </c>
      <c r="E3202" s="9"/>
      <c r="F3202" s="9">
        <f ca="1">IFERROR(__xludf.DUMMYFUNCTION("""COMPUTED_VALUE"""),42105)</f>
        <v>42105</v>
      </c>
      <c r="G3202" s="9" t="str">
        <f ca="1">IFERROR(__xludf.DUMMYFUNCTION("""COMPUTED_VALUE"""),"1 USD = 101.9942 PKR")</f>
        <v>1 USD = 101.9942 PKR</v>
      </c>
      <c r="H3202" s="9" t="str">
        <f ca="1">IFERROR(__xludf.DUMMYFUNCTION("""COMPUTED_VALUE"""),"USD PKR rate for 11/04/2015")</f>
        <v>USD PKR rate for 11/04/2015</v>
      </c>
      <c r="I3202" s="9"/>
    </row>
    <row r="3203" spans="1:9" ht="14.25" customHeight="1" x14ac:dyDescent="0.3">
      <c r="A3203" s="6">
        <v>42920</v>
      </c>
      <c r="B3203" s="7">
        <v>104.84529999999999</v>
      </c>
      <c r="C3203" s="8">
        <f t="shared" si="25"/>
        <v>140.02201395485994</v>
      </c>
      <c r="D3203" s="9">
        <f t="shared" si="24"/>
        <v>70.504670195185568</v>
      </c>
      <c r="E3203" s="9"/>
      <c r="F3203" s="9">
        <f ca="1">IFERROR(__xludf.DUMMYFUNCTION("""COMPUTED_VALUE"""),42104)</f>
        <v>42104</v>
      </c>
      <c r="G3203" s="9" t="str">
        <f ca="1">IFERROR(__xludf.DUMMYFUNCTION("""COMPUTED_VALUE"""),"1 USD = 101.9837 PKR")</f>
        <v>1 USD = 101.9837 PKR</v>
      </c>
      <c r="H3203" s="9" t="str">
        <f ca="1">IFERROR(__xludf.DUMMYFUNCTION("""COMPUTED_VALUE"""),"USD PKR rate for 10/04/2015")</f>
        <v>USD PKR rate for 10/04/2015</v>
      </c>
      <c r="I3203" s="9"/>
    </row>
    <row r="3204" spans="1:9" ht="14.25" customHeight="1" x14ac:dyDescent="0.3">
      <c r="A3204" s="6">
        <v>42921</v>
      </c>
      <c r="B3204" s="7">
        <v>104.73779999999999</v>
      </c>
      <c r="C3204" s="8">
        <f t="shared" si="25"/>
        <v>140.0470568596208</v>
      </c>
      <c r="D3204" s="9">
        <f t="shared" si="24"/>
        <v>70.507408027982834</v>
      </c>
      <c r="E3204" s="9"/>
      <c r="F3204" s="9">
        <f ca="1">IFERROR(__xludf.DUMMYFUNCTION("""COMPUTED_VALUE"""),42103)</f>
        <v>42103</v>
      </c>
      <c r="G3204" s="9" t="str">
        <f ca="1">IFERROR(__xludf.DUMMYFUNCTION("""COMPUTED_VALUE"""),"1 USD = 101.9657 PKR")</f>
        <v>1 USD = 101.9657 PKR</v>
      </c>
      <c r="H3204" s="9" t="str">
        <f ca="1">IFERROR(__xludf.DUMMYFUNCTION("""COMPUTED_VALUE"""),"USD PKR rate for 09/04/2015")</f>
        <v>USD PKR rate for 09/04/2015</v>
      </c>
      <c r="I3204" s="9"/>
    </row>
    <row r="3205" spans="1:9" ht="14.25" customHeight="1" x14ac:dyDescent="0.3">
      <c r="A3205" s="6">
        <v>42922</v>
      </c>
      <c r="B3205" s="7">
        <v>106.08459999999999</v>
      </c>
      <c r="C3205" s="8">
        <f t="shared" si="25"/>
        <v>140.07210424329941</v>
      </c>
      <c r="D3205" s="9">
        <f t="shared" si="24"/>
        <v>70.510145860780099</v>
      </c>
      <c r="E3205" s="9"/>
      <c r="F3205" s="9">
        <f ca="1">IFERROR(__xludf.DUMMYFUNCTION("""COMPUTED_VALUE"""),42102)</f>
        <v>42102</v>
      </c>
      <c r="G3205" s="9" t="str">
        <f ca="1">IFERROR(__xludf.DUMMYFUNCTION("""COMPUTED_VALUE"""),"1 USD = 101.7759 PKR")</f>
        <v>1 USD = 101.7759 PKR</v>
      </c>
      <c r="H3205" s="9" t="str">
        <f ca="1">IFERROR(__xludf.DUMMYFUNCTION("""COMPUTED_VALUE"""),"USD PKR rate for 08/04/2015")</f>
        <v>USD PKR rate for 08/04/2015</v>
      </c>
      <c r="I3205" s="9"/>
    </row>
    <row r="3206" spans="1:9" ht="14.25" customHeight="1" x14ac:dyDescent="0.3">
      <c r="A3206" s="6">
        <v>42923</v>
      </c>
      <c r="B3206" s="7">
        <v>105.79890000000002</v>
      </c>
      <c r="C3206" s="8">
        <f t="shared" si="25"/>
        <v>140.09715610669676</v>
      </c>
      <c r="D3206" s="9">
        <f t="shared" si="24"/>
        <v>70.512883693577365</v>
      </c>
      <c r="E3206" s="9"/>
      <c r="F3206" s="9">
        <f ca="1">IFERROR(__xludf.DUMMYFUNCTION("""COMPUTED_VALUE"""),42101)</f>
        <v>42101</v>
      </c>
      <c r="G3206" s="9" t="str">
        <f ca="1">IFERROR(__xludf.DUMMYFUNCTION("""COMPUTED_VALUE"""),"1 USD = 101.6824 PKR")</f>
        <v>1 USD = 101.6824 PKR</v>
      </c>
      <c r="H3206" s="9" t="str">
        <f ca="1">IFERROR(__xludf.DUMMYFUNCTION("""COMPUTED_VALUE"""),"USD PKR rate for 07/04/2015")</f>
        <v>USD PKR rate for 07/04/2015</v>
      </c>
      <c r="I3206" s="9"/>
    </row>
    <row r="3207" spans="1:9" ht="14.25" customHeight="1" x14ac:dyDescent="0.3">
      <c r="A3207" s="6">
        <v>42924</v>
      </c>
      <c r="B3207" s="7">
        <v>105.9134</v>
      </c>
      <c r="C3207" s="8">
        <f t="shared" si="25"/>
        <v>140.12221245061406</v>
      </c>
      <c r="D3207" s="9">
        <f t="shared" si="24"/>
        <v>70.51562152637463</v>
      </c>
      <c r="E3207" s="9"/>
      <c r="F3207" s="9">
        <f ca="1">IFERROR(__xludf.DUMMYFUNCTION("""COMPUTED_VALUE"""),42100)</f>
        <v>42100</v>
      </c>
      <c r="G3207" s="9" t="str">
        <f ca="1">IFERROR(__xludf.DUMMYFUNCTION("""COMPUTED_VALUE"""),"1 USD = 101.9416 PKR")</f>
        <v>1 USD = 101.9416 PKR</v>
      </c>
      <c r="H3207" s="9" t="str">
        <f ca="1">IFERROR(__xludf.DUMMYFUNCTION("""COMPUTED_VALUE"""),"USD PKR rate for 06/04/2015")</f>
        <v>USD PKR rate for 06/04/2015</v>
      </c>
      <c r="I3207" s="9"/>
    </row>
    <row r="3208" spans="1:9" ht="14.25" customHeight="1" x14ac:dyDescent="0.3">
      <c r="A3208" s="6">
        <v>42925</v>
      </c>
      <c r="B3208" s="7">
        <v>105.95880000000001</v>
      </c>
      <c r="C3208" s="8">
        <f t="shared" si="25"/>
        <v>140.14727327585268</v>
      </c>
      <c r="D3208" s="9">
        <f t="shared" si="24"/>
        <v>70.518359359171896</v>
      </c>
      <c r="E3208" s="9"/>
      <c r="F3208" s="9">
        <f ca="1">IFERROR(__xludf.DUMMYFUNCTION("""COMPUTED_VALUE"""),42099)</f>
        <v>42099</v>
      </c>
      <c r="G3208" s="9" t="str">
        <f ca="1">IFERROR(__xludf.DUMMYFUNCTION("""COMPUTED_VALUE"""),"1 USD = 101.8172 PKR")</f>
        <v>1 USD = 101.8172 PKR</v>
      </c>
      <c r="H3208" s="9" t="str">
        <f ca="1">IFERROR(__xludf.DUMMYFUNCTION("""COMPUTED_VALUE"""),"USD PKR rate for 05/04/2015")</f>
        <v>USD PKR rate for 05/04/2015</v>
      </c>
      <c r="I3208" s="9"/>
    </row>
    <row r="3209" spans="1:9" ht="14.25" customHeight="1" x14ac:dyDescent="0.3">
      <c r="A3209" s="6">
        <v>42926</v>
      </c>
      <c r="B3209" s="7">
        <v>105.22669999999999</v>
      </c>
      <c r="C3209" s="8">
        <f t="shared" si="25"/>
        <v>140.1723385832141</v>
      </c>
      <c r="D3209" s="9">
        <f t="shared" si="24"/>
        <v>70.521097191969162</v>
      </c>
      <c r="E3209" s="9"/>
      <c r="F3209" s="9">
        <f ca="1">IFERROR(__xludf.DUMMYFUNCTION("""COMPUTED_VALUE"""),42098)</f>
        <v>42098</v>
      </c>
      <c r="G3209" s="9" t="str">
        <f ca="1">IFERROR(__xludf.DUMMYFUNCTION("""COMPUTED_VALUE"""),"1 USD = 101.7911 PKR")</f>
        <v>1 USD = 101.7911 PKR</v>
      </c>
      <c r="H3209" s="9" t="str">
        <f ca="1">IFERROR(__xludf.DUMMYFUNCTION("""COMPUTED_VALUE"""),"USD PKR rate for 04/04/2015")</f>
        <v>USD PKR rate for 04/04/2015</v>
      </c>
      <c r="I3209" s="9"/>
    </row>
    <row r="3210" spans="1:9" ht="14.25" customHeight="1" x14ac:dyDescent="0.3">
      <c r="A3210" s="6">
        <v>42927</v>
      </c>
      <c r="B3210" s="7">
        <v>105.2589</v>
      </c>
      <c r="C3210" s="8">
        <f t="shared" si="25"/>
        <v>140.19740837349994</v>
      </c>
      <c r="D3210" s="9">
        <f t="shared" si="24"/>
        <v>70.523835024766427</v>
      </c>
      <c r="E3210" s="9"/>
      <c r="F3210" s="9">
        <f ca="1">IFERROR(__xludf.DUMMYFUNCTION("""COMPUTED_VALUE"""),42097)</f>
        <v>42097</v>
      </c>
      <c r="G3210" s="9" t="str">
        <f ca="1">IFERROR(__xludf.DUMMYFUNCTION("""COMPUTED_VALUE"""),"1 USD = 101.8779 PKR")</f>
        <v>1 USD = 101.8779 PKR</v>
      </c>
      <c r="H3210" s="9" t="str">
        <f ca="1">IFERROR(__xludf.DUMMYFUNCTION("""COMPUTED_VALUE"""),"USD PKR rate for 03/04/2015")</f>
        <v>USD PKR rate for 03/04/2015</v>
      </c>
      <c r="I3210" s="9"/>
    </row>
    <row r="3211" spans="1:9" ht="14.25" customHeight="1" x14ac:dyDescent="0.3">
      <c r="A3211" s="6">
        <v>42928</v>
      </c>
      <c r="B3211" s="7">
        <v>105.54770000000002</v>
      </c>
      <c r="C3211" s="8">
        <f t="shared" si="25"/>
        <v>140.22248264751195</v>
      </c>
      <c r="D3211" s="9">
        <f t="shared" si="24"/>
        <v>70.526572857563693</v>
      </c>
      <c r="E3211" s="9"/>
      <c r="F3211" s="9">
        <f ca="1">IFERROR(__xludf.DUMMYFUNCTION("""COMPUTED_VALUE"""),42096)</f>
        <v>42096</v>
      </c>
      <c r="G3211" s="9" t="str">
        <f ca="1">IFERROR(__xludf.DUMMYFUNCTION("""COMPUTED_VALUE"""),"1 USD = 101.8993 PKR")</f>
        <v>1 USD = 101.8993 PKR</v>
      </c>
      <c r="H3211" s="9" t="str">
        <f ca="1">IFERROR(__xludf.DUMMYFUNCTION("""COMPUTED_VALUE"""),"USD PKR rate for 02/04/2015")</f>
        <v>USD PKR rate for 02/04/2015</v>
      </c>
      <c r="I3211" s="9"/>
    </row>
    <row r="3212" spans="1:9" ht="14.25" customHeight="1" x14ac:dyDescent="0.3">
      <c r="A3212" s="6">
        <v>42929</v>
      </c>
      <c r="B3212" s="7">
        <v>105.14810000000001</v>
      </c>
      <c r="C3212" s="8">
        <f t="shared" si="25"/>
        <v>140.24756140605194</v>
      </c>
      <c r="D3212" s="9">
        <f t="shared" si="24"/>
        <v>70.529310690360958</v>
      </c>
      <c r="E3212" s="9"/>
      <c r="F3212" s="9">
        <f ca="1">IFERROR(__xludf.DUMMYFUNCTION("""COMPUTED_VALUE"""),42095)</f>
        <v>42095</v>
      </c>
      <c r="G3212" s="9" t="str">
        <f ca="1">IFERROR(__xludf.DUMMYFUNCTION("""COMPUTED_VALUE"""),"1 USD = 101.9045 PKR")</f>
        <v>1 USD = 101.9045 PKR</v>
      </c>
      <c r="H3212" s="9" t="str">
        <f ca="1">IFERROR(__xludf.DUMMYFUNCTION("""COMPUTED_VALUE"""),"USD PKR rate for 01/04/2015")</f>
        <v>USD PKR rate for 01/04/2015</v>
      </c>
      <c r="I3212" s="9"/>
    </row>
    <row r="3213" spans="1:9" ht="14.25" customHeight="1" x14ac:dyDescent="0.3">
      <c r="A3213" s="6">
        <v>42930</v>
      </c>
      <c r="B3213" s="7">
        <v>104.6977</v>
      </c>
      <c r="C3213" s="8">
        <f t="shared" si="25"/>
        <v>140.27264464992223</v>
      </c>
      <c r="D3213" s="9">
        <f t="shared" si="24"/>
        <v>70.532048523158224</v>
      </c>
      <c r="E3213" s="9"/>
      <c r="F3213" s="9">
        <f ca="1">IFERROR(__xludf.DUMMYFUNCTION("""COMPUTED_VALUE"""),42094)</f>
        <v>42094</v>
      </c>
      <c r="G3213" s="9" t="str">
        <f ca="1">IFERROR(__xludf.DUMMYFUNCTION("""COMPUTED_VALUE"""),"1 USD = 101.9202 PKR")</f>
        <v>1 USD = 101.9202 PKR</v>
      </c>
      <c r="H3213" s="9" t="str">
        <f ca="1">IFERROR(__xludf.DUMMYFUNCTION("""COMPUTED_VALUE"""),"USD PKR rate for 31/03/2015")</f>
        <v>USD PKR rate for 31/03/2015</v>
      </c>
      <c r="I3213" s="9"/>
    </row>
    <row r="3214" spans="1:9" ht="14.25" customHeight="1" x14ac:dyDescent="0.3">
      <c r="A3214" s="6">
        <v>42931</v>
      </c>
      <c r="B3214" s="7">
        <v>104.6977</v>
      </c>
      <c r="C3214" s="8">
        <f t="shared" si="25"/>
        <v>140.29773237992487</v>
      </c>
      <c r="D3214" s="9">
        <f t="shared" si="24"/>
        <v>70.53478635595549</v>
      </c>
      <c r="E3214" s="9"/>
      <c r="F3214" s="9">
        <f ca="1">IFERROR(__xludf.DUMMYFUNCTION("""COMPUTED_VALUE"""),42093)</f>
        <v>42093</v>
      </c>
      <c r="G3214" s="9" t="str">
        <f ca="1">IFERROR(__xludf.DUMMYFUNCTION("""COMPUTED_VALUE"""),"1 USD = 101.8438 PKR")</f>
        <v>1 USD = 101.8438 PKR</v>
      </c>
      <c r="H3214" s="9" t="str">
        <f ca="1">IFERROR(__xludf.DUMMYFUNCTION("""COMPUTED_VALUE"""),"USD PKR rate for 30/03/2015")</f>
        <v>USD PKR rate for 30/03/2015</v>
      </c>
      <c r="I3214" s="9"/>
    </row>
    <row r="3215" spans="1:9" ht="14.25" customHeight="1" x14ac:dyDescent="0.3">
      <c r="A3215" s="6">
        <v>42932</v>
      </c>
      <c r="B3215" s="7">
        <v>104.82480000000001</v>
      </c>
      <c r="C3215" s="8">
        <f t="shared" si="25"/>
        <v>140.32282459686218</v>
      </c>
      <c r="D3215" s="9">
        <f t="shared" si="24"/>
        <v>70.537524188752755</v>
      </c>
      <c r="E3215" s="9"/>
      <c r="F3215" s="9">
        <f ca="1">IFERROR(__xludf.DUMMYFUNCTION("""COMPUTED_VALUE"""),42092)</f>
        <v>42092</v>
      </c>
      <c r="G3215" s="9" t="str">
        <f ca="1">IFERROR(__xludf.DUMMYFUNCTION("""COMPUTED_VALUE"""),"1 USD = 101.8162 PKR")</f>
        <v>1 USD = 101.8162 PKR</v>
      </c>
      <c r="H3215" s="9" t="str">
        <f ca="1">IFERROR(__xludf.DUMMYFUNCTION("""COMPUTED_VALUE"""),"USD PKR rate for 29/03/2015")</f>
        <v>USD PKR rate for 29/03/2015</v>
      </c>
      <c r="I3215" s="9"/>
    </row>
    <row r="3216" spans="1:9" ht="14.25" customHeight="1" x14ac:dyDescent="0.3">
      <c r="A3216" s="6">
        <v>42933</v>
      </c>
      <c r="B3216" s="7">
        <v>105.16550000000001</v>
      </c>
      <c r="C3216" s="8">
        <f t="shared" si="25"/>
        <v>140.3479213015367</v>
      </c>
      <c r="D3216" s="9">
        <f t="shared" si="24"/>
        <v>70.540262021550021</v>
      </c>
      <c r="E3216" s="9"/>
      <c r="F3216" s="9">
        <f ca="1">IFERROR(__xludf.DUMMYFUNCTION("""COMPUTED_VALUE"""),42091)</f>
        <v>42091</v>
      </c>
      <c r="G3216" s="9" t="str">
        <f ca="1">IFERROR(__xludf.DUMMYFUNCTION("""COMPUTED_VALUE"""),"1 USD = 101.9224 PKR")</f>
        <v>1 USD = 101.9224 PKR</v>
      </c>
      <c r="H3216" s="9" t="str">
        <f ca="1">IFERROR(__xludf.DUMMYFUNCTION("""COMPUTED_VALUE"""),"USD PKR rate for 28/03/2015")</f>
        <v>USD PKR rate for 28/03/2015</v>
      </c>
      <c r="I3216" s="9"/>
    </row>
    <row r="3217" spans="1:9" ht="14.25" customHeight="1" x14ac:dyDescent="0.3">
      <c r="A3217" s="6">
        <v>42934</v>
      </c>
      <c r="B3217" s="7">
        <v>105.2826</v>
      </c>
      <c r="C3217" s="8">
        <f t="shared" si="25"/>
        <v>140.37302249475104</v>
      </c>
      <c r="D3217" s="9">
        <f t="shared" si="24"/>
        <v>70.542999854347286</v>
      </c>
      <c r="E3217" s="9"/>
      <c r="F3217" s="9">
        <f ca="1">IFERROR(__xludf.DUMMYFUNCTION("""COMPUTED_VALUE"""),42090)</f>
        <v>42090</v>
      </c>
      <c r="G3217" s="9" t="str">
        <f ca="1">IFERROR(__xludf.DUMMYFUNCTION("""COMPUTED_VALUE"""),"1 USD = 101.8411 PKR")</f>
        <v>1 USD = 101.8411 PKR</v>
      </c>
      <c r="H3217" s="9" t="str">
        <f ca="1">IFERROR(__xludf.DUMMYFUNCTION("""COMPUTED_VALUE"""),"USD PKR rate for 27/03/2015")</f>
        <v>USD PKR rate for 27/03/2015</v>
      </c>
      <c r="I3217" s="9"/>
    </row>
    <row r="3218" spans="1:9" ht="14.25" customHeight="1" x14ac:dyDescent="0.3">
      <c r="A3218" s="6">
        <v>42935</v>
      </c>
      <c r="B3218" s="7">
        <v>105.26050000000001</v>
      </c>
      <c r="C3218" s="8">
        <f t="shared" si="25"/>
        <v>140.39812817730794</v>
      </c>
      <c r="D3218" s="9">
        <f t="shared" si="24"/>
        <v>70.545737687144552</v>
      </c>
      <c r="E3218" s="9"/>
      <c r="F3218" s="9">
        <f ca="1">IFERROR(__xludf.DUMMYFUNCTION("""COMPUTED_VALUE"""),42089)</f>
        <v>42089</v>
      </c>
      <c r="G3218" s="9" t="str">
        <f ca="1">IFERROR(__xludf.DUMMYFUNCTION("""COMPUTED_VALUE"""),"1 USD = 101.9589 PKR")</f>
        <v>1 USD = 101.9589 PKR</v>
      </c>
      <c r="H3218" s="9" t="str">
        <f ca="1">IFERROR(__xludf.DUMMYFUNCTION("""COMPUTED_VALUE"""),"USD PKR rate for 26/03/2015")</f>
        <v>USD PKR rate for 26/03/2015</v>
      </c>
      <c r="I3218" s="9"/>
    </row>
    <row r="3219" spans="1:9" ht="14.25" customHeight="1" x14ac:dyDescent="0.3">
      <c r="A3219" s="6">
        <v>42936</v>
      </c>
      <c r="B3219" s="7">
        <v>104.1476</v>
      </c>
      <c r="C3219" s="8">
        <f t="shared" si="25"/>
        <v>140.42323835001039</v>
      </c>
      <c r="D3219" s="9">
        <f t="shared" si="24"/>
        <v>70.548475519941817</v>
      </c>
      <c r="E3219" s="9"/>
      <c r="F3219" s="9">
        <f ca="1">IFERROR(__xludf.DUMMYFUNCTION("""COMPUTED_VALUE"""),42088)</f>
        <v>42088</v>
      </c>
      <c r="G3219" s="9" t="str">
        <f ca="1">IFERROR(__xludf.DUMMYFUNCTION("""COMPUTED_VALUE"""),"1 USD = 101.9851 PKR")</f>
        <v>1 USD = 101.9851 PKR</v>
      </c>
      <c r="H3219" s="9" t="str">
        <f ca="1">IFERROR(__xludf.DUMMYFUNCTION("""COMPUTED_VALUE"""),"USD PKR rate for 25/03/2015")</f>
        <v>USD PKR rate for 25/03/2015</v>
      </c>
      <c r="I3219" s="9"/>
    </row>
    <row r="3220" spans="1:9" ht="14.25" customHeight="1" x14ac:dyDescent="0.3">
      <c r="A3220" s="6">
        <v>42937</v>
      </c>
      <c r="B3220" s="7">
        <v>105.1849</v>
      </c>
      <c r="C3220" s="8">
        <f t="shared" si="25"/>
        <v>140.44835301366138</v>
      </c>
      <c r="D3220" s="9">
        <f t="shared" si="24"/>
        <v>70.551213352739083</v>
      </c>
      <c r="E3220" s="9"/>
      <c r="F3220" s="9">
        <f ca="1">IFERROR(__xludf.DUMMYFUNCTION("""COMPUTED_VALUE"""),42087)</f>
        <v>42087</v>
      </c>
      <c r="G3220" s="9" t="str">
        <f ca="1">IFERROR(__xludf.DUMMYFUNCTION("""COMPUTED_VALUE"""),"1 USD = 101.9217 PKR")</f>
        <v>1 USD = 101.9217 PKR</v>
      </c>
      <c r="H3220" s="9" t="str">
        <f ca="1">IFERROR(__xludf.DUMMYFUNCTION("""COMPUTED_VALUE"""),"USD PKR rate for 24/03/2015")</f>
        <v>USD PKR rate for 24/03/2015</v>
      </c>
      <c r="I3220" s="9"/>
    </row>
    <row r="3221" spans="1:9" ht="14.25" customHeight="1" x14ac:dyDescent="0.3">
      <c r="A3221" s="6">
        <v>42938</v>
      </c>
      <c r="B3221" s="7">
        <v>105.14530000000001</v>
      </c>
      <c r="C3221" s="8">
        <f t="shared" si="25"/>
        <v>140.47347216906405</v>
      </c>
      <c r="D3221" s="9">
        <f t="shared" si="24"/>
        <v>70.553951185536349</v>
      </c>
      <c r="E3221" s="9"/>
      <c r="F3221" s="9">
        <f ca="1">IFERROR(__xludf.DUMMYFUNCTION("""COMPUTED_VALUE"""),42086)</f>
        <v>42086</v>
      </c>
      <c r="G3221" s="9" t="str">
        <f ca="1">IFERROR(__xludf.DUMMYFUNCTION("""COMPUTED_VALUE"""),"1 USD = 101.9724 PKR")</f>
        <v>1 USD = 101.9724 PKR</v>
      </c>
      <c r="H3221" s="9" t="str">
        <f ca="1">IFERROR(__xludf.DUMMYFUNCTION("""COMPUTED_VALUE"""),"USD PKR rate for 23/03/2015")</f>
        <v>USD PKR rate for 23/03/2015</v>
      </c>
      <c r="I3221" s="9"/>
    </row>
    <row r="3222" spans="1:9" ht="14.25" customHeight="1" x14ac:dyDescent="0.3">
      <c r="A3222" s="6">
        <v>42939</v>
      </c>
      <c r="B3222" s="7">
        <v>105.1472</v>
      </c>
      <c r="C3222" s="8">
        <f t="shared" si="25"/>
        <v>140.49859581702196</v>
      </c>
      <c r="D3222" s="9">
        <f t="shared" si="24"/>
        <v>70.556689018333614</v>
      </c>
      <c r="E3222" s="9"/>
      <c r="F3222" s="9">
        <f ca="1">IFERROR(__xludf.DUMMYFUNCTION("""COMPUTED_VALUE"""),42085)</f>
        <v>42085</v>
      </c>
      <c r="G3222" s="9" t="str">
        <f ca="1">IFERROR(__xludf.DUMMYFUNCTION("""COMPUTED_VALUE"""),"1 USD = 102.0023 PKR")</f>
        <v>1 USD = 102.0023 PKR</v>
      </c>
      <c r="H3222" s="9" t="str">
        <f ca="1">IFERROR(__xludf.DUMMYFUNCTION("""COMPUTED_VALUE"""),"USD PKR rate for 22/03/2015")</f>
        <v>USD PKR rate for 22/03/2015</v>
      </c>
      <c r="I3222" s="9"/>
    </row>
    <row r="3223" spans="1:9" ht="14.25" customHeight="1" x14ac:dyDescent="0.3">
      <c r="A3223" s="6">
        <v>42940</v>
      </c>
      <c r="B3223" s="7">
        <v>105.3232</v>
      </c>
      <c r="C3223" s="8">
        <f t="shared" si="25"/>
        <v>140.52372395833848</v>
      </c>
      <c r="D3223" s="9">
        <f t="shared" si="24"/>
        <v>70.55942685113088</v>
      </c>
      <c r="E3223" s="9"/>
      <c r="F3223" s="9">
        <f ca="1">IFERROR(__xludf.DUMMYFUNCTION("""COMPUTED_VALUE"""),42084)</f>
        <v>42084</v>
      </c>
      <c r="G3223" s="9" t="str">
        <f ca="1">IFERROR(__xludf.DUMMYFUNCTION("""COMPUTED_VALUE"""),"1 USD = 102.1021 PKR")</f>
        <v>1 USD = 102.1021 PKR</v>
      </c>
      <c r="H3223" s="9" t="str">
        <f ca="1">IFERROR(__xludf.DUMMYFUNCTION("""COMPUTED_VALUE"""),"USD PKR rate for 21/03/2015")</f>
        <v>USD PKR rate for 21/03/2015</v>
      </c>
      <c r="I3223" s="9"/>
    </row>
    <row r="3224" spans="1:9" ht="14.25" customHeight="1" x14ac:dyDescent="0.3">
      <c r="A3224" s="6">
        <v>42941</v>
      </c>
      <c r="B3224" s="7">
        <v>105.3336</v>
      </c>
      <c r="C3224" s="8">
        <f t="shared" si="25"/>
        <v>140.54885659381725</v>
      </c>
      <c r="D3224" s="9">
        <f t="shared" si="24"/>
        <v>70.562164683928145</v>
      </c>
      <c r="E3224" s="9"/>
      <c r="F3224" s="9">
        <f ca="1">IFERROR(__xludf.DUMMYFUNCTION("""COMPUTED_VALUE"""),42083)</f>
        <v>42083</v>
      </c>
      <c r="G3224" s="9" t="str">
        <f ca="1">IFERROR(__xludf.DUMMYFUNCTION("""COMPUTED_VALUE"""),"1 USD = 101.7457 PKR")</f>
        <v>1 USD = 101.7457 PKR</v>
      </c>
      <c r="H3224" s="9" t="str">
        <f ca="1">IFERROR(__xludf.DUMMYFUNCTION("""COMPUTED_VALUE"""),"USD PKR rate for 20/03/2015")</f>
        <v>USD PKR rate for 20/03/2015</v>
      </c>
      <c r="I3224" s="9"/>
    </row>
    <row r="3225" spans="1:9" ht="14.25" customHeight="1" x14ac:dyDescent="0.3">
      <c r="A3225" s="6">
        <v>42942</v>
      </c>
      <c r="B3225" s="7">
        <v>104.4405</v>
      </c>
      <c r="C3225" s="8">
        <f t="shared" si="25"/>
        <v>140.57399372426207</v>
      </c>
      <c r="D3225" s="9">
        <f t="shared" si="24"/>
        <v>70.564902516725411</v>
      </c>
      <c r="E3225" s="9"/>
      <c r="F3225" s="9">
        <f ca="1">IFERROR(__xludf.DUMMYFUNCTION("""COMPUTED_VALUE"""),42082)</f>
        <v>42082</v>
      </c>
      <c r="G3225" s="9" t="str">
        <f ca="1">IFERROR(__xludf.DUMMYFUNCTION("""COMPUTED_VALUE"""),"1 USD = 101.8902 PKR")</f>
        <v>1 USD = 101.8902 PKR</v>
      </c>
      <c r="H3225" s="9" t="str">
        <f ca="1">IFERROR(__xludf.DUMMYFUNCTION("""COMPUTED_VALUE"""),"USD PKR rate for 19/03/2015")</f>
        <v>USD PKR rate for 19/03/2015</v>
      </c>
      <c r="I3225" s="9"/>
    </row>
    <row r="3226" spans="1:9" ht="14.25" customHeight="1" x14ac:dyDescent="0.3">
      <c r="A3226" s="6">
        <v>42943</v>
      </c>
      <c r="B3226" s="7">
        <v>105.5699</v>
      </c>
      <c r="C3226" s="8">
        <f t="shared" si="25"/>
        <v>140.59913535047681</v>
      </c>
      <c r="D3226" s="9">
        <f t="shared" si="24"/>
        <v>70.567640349522677</v>
      </c>
      <c r="E3226" s="9"/>
      <c r="F3226" s="9">
        <f ca="1">IFERROR(__xludf.DUMMYFUNCTION("""COMPUTED_VALUE"""),42081)</f>
        <v>42081</v>
      </c>
      <c r="G3226" s="9" t="str">
        <f ca="1">IFERROR(__xludf.DUMMYFUNCTION("""COMPUTED_VALUE"""),"1 USD = 101.5231 PKR")</f>
        <v>1 USD = 101.5231 PKR</v>
      </c>
      <c r="H3226" s="9" t="str">
        <f ca="1">IFERROR(__xludf.DUMMYFUNCTION("""COMPUTED_VALUE"""),"USD PKR rate for 18/03/2015")</f>
        <v>USD PKR rate for 18/03/2015</v>
      </c>
      <c r="I3226" s="9"/>
    </row>
    <row r="3227" spans="1:9" ht="14.25" customHeight="1" x14ac:dyDescent="0.3">
      <c r="A3227" s="6">
        <v>42944</v>
      </c>
      <c r="B3227" s="7">
        <v>104.973</v>
      </c>
      <c r="C3227" s="8">
        <f t="shared" si="25"/>
        <v>140.62428147326563</v>
      </c>
      <c r="D3227" s="9">
        <f t="shared" si="24"/>
        <v>70.570378182319942</v>
      </c>
      <c r="E3227" s="9"/>
      <c r="F3227" s="9">
        <f ca="1">IFERROR(__xludf.DUMMYFUNCTION("""COMPUTED_VALUE"""),42080)</f>
        <v>42080</v>
      </c>
      <c r="G3227" s="9" t="str">
        <f ca="1">IFERROR(__xludf.DUMMYFUNCTION("""COMPUTED_VALUE"""),"1 USD = 101.8542 PKR")</f>
        <v>1 USD = 101.8542 PKR</v>
      </c>
      <c r="H3227" s="9" t="str">
        <f ca="1">IFERROR(__xludf.DUMMYFUNCTION("""COMPUTED_VALUE"""),"USD PKR rate for 17/03/2015")</f>
        <v>USD PKR rate for 17/03/2015</v>
      </c>
      <c r="I3227" s="9"/>
    </row>
    <row r="3228" spans="1:9" ht="14.25" customHeight="1" x14ac:dyDescent="0.3">
      <c r="A3228" s="6">
        <v>42945</v>
      </c>
      <c r="B3228" s="7">
        <v>104.968</v>
      </c>
      <c r="C3228" s="8">
        <f t="shared" si="25"/>
        <v>140.64943209343267</v>
      </c>
      <c r="D3228" s="9">
        <f t="shared" si="24"/>
        <v>70.573116015117208</v>
      </c>
      <c r="E3228" s="9"/>
      <c r="F3228" s="9">
        <f ca="1">IFERROR(__xludf.DUMMYFUNCTION("""COMPUTED_VALUE"""),42079)</f>
        <v>42079</v>
      </c>
      <c r="G3228" s="9" t="str">
        <f ca="1">IFERROR(__xludf.DUMMYFUNCTION("""COMPUTED_VALUE"""),"1 USD = 101.8181 PKR")</f>
        <v>1 USD = 101.8181 PKR</v>
      </c>
      <c r="H3228" s="9" t="str">
        <f ca="1">IFERROR(__xludf.DUMMYFUNCTION("""COMPUTED_VALUE"""),"USD PKR rate for 16/03/2015")</f>
        <v>USD PKR rate for 16/03/2015</v>
      </c>
      <c r="I3228" s="9"/>
    </row>
    <row r="3229" spans="1:9" ht="14.25" customHeight="1" x14ac:dyDescent="0.3">
      <c r="A3229" s="6">
        <v>42946</v>
      </c>
      <c r="B3229" s="7">
        <v>104.9284</v>
      </c>
      <c r="C3229" s="8">
        <f t="shared" si="25"/>
        <v>140.67458721178227</v>
      </c>
      <c r="D3229" s="9">
        <f t="shared" si="24"/>
        <v>70.575853847914473</v>
      </c>
      <c r="E3229" s="9"/>
      <c r="F3229" s="9">
        <f ca="1">IFERROR(__xludf.DUMMYFUNCTION("""COMPUTED_VALUE"""),42078)</f>
        <v>42078</v>
      </c>
      <c r="G3229" s="9" t="str">
        <f ca="1">IFERROR(__xludf.DUMMYFUNCTION("""COMPUTED_VALUE"""),"1 USD = 101.7599 PKR")</f>
        <v>1 USD = 101.7599 PKR</v>
      </c>
      <c r="H3229" s="9" t="str">
        <f ca="1">IFERROR(__xludf.DUMMYFUNCTION("""COMPUTED_VALUE"""),"USD PKR rate for 15/03/2015")</f>
        <v>USD PKR rate for 15/03/2015</v>
      </c>
      <c r="I3229" s="9"/>
    </row>
    <row r="3230" spans="1:9" ht="14.25" customHeight="1" x14ac:dyDescent="0.3">
      <c r="A3230" s="6">
        <v>42947</v>
      </c>
      <c r="B3230" s="7">
        <v>104.4659</v>
      </c>
      <c r="C3230" s="8">
        <f t="shared" si="25"/>
        <v>140.69974682911885</v>
      </c>
      <c r="D3230" s="9">
        <f t="shared" si="24"/>
        <v>70.578591680711739</v>
      </c>
      <c r="E3230" s="9"/>
      <c r="F3230" s="9">
        <f ca="1">IFERROR(__xludf.DUMMYFUNCTION("""COMPUTED_VALUE"""),42077)</f>
        <v>42077</v>
      </c>
      <c r="G3230" s="9" t="str">
        <f ca="1">IFERROR(__xludf.DUMMYFUNCTION("""COMPUTED_VALUE"""),"1 USD = 101.7659 PKR")</f>
        <v>1 USD = 101.7659 PKR</v>
      </c>
      <c r="H3230" s="9" t="str">
        <f ca="1">IFERROR(__xludf.DUMMYFUNCTION("""COMPUTED_VALUE"""),"USD PKR rate for 14/03/2015")</f>
        <v>USD PKR rate for 14/03/2015</v>
      </c>
      <c r="I3230" s="9"/>
    </row>
    <row r="3231" spans="1:9" ht="14.25" customHeight="1" x14ac:dyDescent="0.3">
      <c r="A3231" s="6">
        <v>42948</v>
      </c>
      <c r="B3231" s="7">
        <v>105.4824</v>
      </c>
      <c r="C3231" s="8">
        <f t="shared" si="25"/>
        <v>140.72491094624729</v>
      </c>
      <c r="D3231" s="9">
        <f t="shared" si="24"/>
        <v>70.581329513509004</v>
      </c>
      <c r="E3231" s="9"/>
      <c r="F3231" s="9">
        <f ca="1">IFERROR(__xludf.DUMMYFUNCTION("""COMPUTED_VALUE"""),42076)</f>
        <v>42076</v>
      </c>
      <c r="G3231" s="9" t="str">
        <f ca="1">IFERROR(__xludf.DUMMYFUNCTION("""COMPUTED_VALUE"""),"1 USD = 101.7879 PKR")</f>
        <v>1 USD = 101.7879 PKR</v>
      </c>
      <c r="H3231" s="9" t="str">
        <f ca="1">IFERROR(__xludf.DUMMYFUNCTION("""COMPUTED_VALUE"""),"USD PKR rate for 13/03/2015")</f>
        <v>USD PKR rate for 13/03/2015</v>
      </c>
      <c r="I3231" s="9"/>
    </row>
    <row r="3232" spans="1:9" ht="14.25" customHeight="1" x14ac:dyDescent="0.3">
      <c r="A3232" s="6">
        <v>42949</v>
      </c>
      <c r="B3232" s="7">
        <v>105.352</v>
      </c>
      <c r="C3232" s="8">
        <f t="shared" si="25"/>
        <v>140.75007956397226</v>
      </c>
      <c r="D3232" s="9">
        <f t="shared" si="24"/>
        <v>70.58406734630627</v>
      </c>
      <c r="E3232" s="9"/>
      <c r="F3232" s="9">
        <f ca="1">IFERROR(__xludf.DUMMYFUNCTION("""COMPUTED_VALUE"""),42075)</f>
        <v>42075</v>
      </c>
      <c r="G3232" s="9" t="str">
        <f ca="1">IFERROR(__xludf.DUMMYFUNCTION("""COMPUTED_VALUE"""),"1 USD = 101.8171 PKR")</f>
        <v>1 USD = 101.8171 PKR</v>
      </c>
      <c r="H3232" s="9" t="str">
        <f ca="1">IFERROR(__xludf.DUMMYFUNCTION("""COMPUTED_VALUE"""),"USD PKR rate for 12/03/2015")</f>
        <v>USD PKR rate for 12/03/2015</v>
      </c>
      <c r="I3232" s="9"/>
    </row>
    <row r="3233" spans="1:9" ht="14.25" customHeight="1" x14ac:dyDescent="0.3">
      <c r="A3233" s="6">
        <v>42950</v>
      </c>
      <c r="B3233" s="7">
        <v>105.0436</v>
      </c>
      <c r="C3233" s="8">
        <f t="shared" si="25"/>
        <v>140.77525268309867</v>
      </c>
      <c r="D3233" s="9">
        <f t="shared" si="24"/>
        <v>70.586805179103536</v>
      </c>
      <c r="E3233" s="9"/>
      <c r="F3233" s="9">
        <f ca="1">IFERROR(__xludf.DUMMYFUNCTION("""COMPUTED_VALUE"""),42074)</f>
        <v>42074</v>
      </c>
      <c r="G3233" s="9" t="str">
        <f ca="1">IFERROR(__xludf.DUMMYFUNCTION("""COMPUTED_VALUE"""),"1 USD = 101.8424 PKR")</f>
        <v>1 USD = 101.8424 PKR</v>
      </c>
      <c r="H3233" s="9" t="str">
        <f ca="1">IFERROR(__xludf.DUMMYFUNCTION("""COMPUTED_VALUE"""),"USD PKR rate for 11/03/2015")</f>
        <v>USD PKR rate for 11/03/2015</v>
      </c>
      <c r="I3233" s="9"/>
    </row>
    <row r="3234" spans="1:9" ht="14.25" customHeight="1" x14ac:dyDescent="0.3">
      <c r="A3234" s="6">
        <v>42951</v>
      </c>
      <c r="B3234" s="7">
        <v>105.3459</v>
      </c>
      <c r="C3234" s="8">
        <f t="shared" si="25"/>
        <v>140.80043030443161</v>
      </c>
      <c r="D3234" s="9">
        <f t="shared" si="24"/>
        <v>70.589543011900801</v>
      </c>
      <c r="E3234" s="9"/>
      <c r="F3234" s="9">
        <f ca="1">IFERROR(__xludf.DUMMYFUNCTION("""COMPUTED_VALUE"""),42073)</f>
        <v>42073</v>
      </c>
      <c r="G3234" s="9" t="str">
        <f ca="1">IFERROR(__xludf.DUMMYFUNCTION("""COMPUTED_VALUE"""),"1 USD = 101.8946 PKR")</f>
        <v>1 USD = 101.8946 PKR</v>
      </c>
      <c r="H3234" s="9" t="str">
        <f ca="1">IFERROR(__xludf.DUMMYFUNCTION("""COMPUTED_VALUE"""),"USD PKR rate for 10/03/2015")</f>
        <v>USD PKR rate for 10/03/2015</v>
      </c>
      <c r="I3234" s="9"/>
    </row>
    <row r="3235" spans="1:9" ht="14.25" customHeight="1" x14ac:dyDescent="0.3">
      <c r="A3235" s="6">
        <v>42952</v>
      </c>
      <c r="B3235" s="7">
        <v>105.3459</v>
      </c>
      <c r="C3235" s="8">
        <f t="shared" si="25"/>
        <v>140.82561242877628</v>
      </c>
      <c r="D3235" s="9">
        <f t="shared" si="24"/>
        <v>70.592280844698067</v>
      </c>
      <c r="E3235" s="9"/>
      <c r="F3235" s="9">
        <f ca="1">IFERROR(__xludf.DUMMYFUNCTION("""COMPUTED_VALUE"""),42072)</f>
        <v>42072</v>
      </c>
      <c r="G3235" s="9" t="str">
        <f ca="1">IFERROR(__xludf.DUMMYFUNCTION("""COMPUTED_VALUE"""),"1 USD = 101.9624 PKR")</f>
        <v>1 USD = 101.9624 PKR</v>
      </c>
      <c r="H3235" s="9" t="str">
        <f ca="1">IFERROR(__xludf.DUMMYFUNCTION("""COMPUTED_VALUE"""),"USD PKR rate for 09/03/2015")</f>
        <v>USD PKR rate for 09/03/2015</v>
      </c>
      <c r="I3235" s="9"/>
    </row>
    <row r="3236" spans="1:9" ht="14.25" customHeight="1" x14ac:dyDescent="0.3">
      <c r="A3236" s="6">
        <v>42953</v>
      </c>
      <c r="B3236" s="7">
        <v>106.245</v>
      </c>
      <c r="C3236" s="8">
        <f t="shared" si="25"/>
        <v>140.85079905693806</v>
      </c>
      <c r="D3236" s="9">
        <f t="shared" si="24"/>
        <v>70.595018677495332</v>
      </c>
      <c r="E3236" s="9"/>
      <c r="F3236" s="9">
        <f ca="1">IFERROR(__xludf.DUMMYFUNCTION("""COMPUTED_VALUE"""),42071)</f>
        <v>42071</v>
      </c>
      <c r="G3236" s="9" t="str">
        <f ca="1">IFERROR(__xludf.DUMMYFUNCTION("""COMPUTED_VALUE"""),"1 USD = 101.8603 PKR")</f>
        <v>1 USD = 101.8603 PKR</v>
      </c>
      <c r="H3236" s="9" t="str">
        <f ca="1">IFERROR(__xludf.DUMMYFUNCTION("""COMPUTED_VALUE"""),"USD PKR rate for 08/03/2015")</f>
        <v>USD PKR rate for 08/03/2015</v>
      </c>
      <c r="I3236" s="9"/>
    </row>
    <row r="3237" spans="1:9" ht="14.25" customHeight="1" x14ac:dyDescent="0.3">
      <c r="A3237" s="6">
        <v>42954</v>
      </c>
      <c r="B3237" s="7">
        <v>105.3976</v>
      </c>
      <c r="C3237" s="8">
        <f t="shared" si="25"/>
        <v>140.87599018972247</v>
      </c>
      <c r="D3237" s="9">
        <f t="shared" si="24"/>
        <v>70.597756510292598</v>
      </c>
      <c r="E3237" s="9"/>
      <c r="F3237" s="9">
        <f ca="1">IFERROR(__xludf.DUMMYFUNCTION("""COMPUTED_VALUE"""),42070)</f>
        <v>42070</v>
      </c>
      <c r="G3237" s="9" t="str">
        <f ca="1">IFERROR(__xludf.DUMMYFUNCTION("""COMPUTED_VALUE"""),"1 USD = 101.8417 PKR")</f>
        <v>1 USD = 101.8417 PKR</v>
      </c>
      <c r="H3237" s="9" t="str">
        <f ca="1">IFERROR(__xludf.DUMMYFUNCTION("""COMPUTED_VALUE"""),"USD PKR rate for 07/03/2015")</f>
        <v>USD PKR rate for 07/03/2015</v>
      </c>
      <c r="I3237" s="9"/>
    </row>
    <row r="3238" spans="1:9" ht="14.25" customHeight="1" x14ac:dyDescent="0.3">
      <c r="A3238" s="6">
        <v>42955</v>
      </c>
      <c r="B3238" s="7">
        <v>105.8976</v>
      </c>
      <c r="C3238" s="8">
        <f t="shared" si="25"/>
        <v>140.90118582793511</v>
      </c>
      <c r="D3238" s="9">
        <f t="shared" si="24"/>
        <v>70.600494343089863</v>
      </c>
      <c r="E3238" s="9"/>
      <c r="F3238" s="9">
        <f ca="1">IFERROR(__xludf.DUMMYFUNCTION("""COMPUTED_VALUE"""),42069)</f>
        <v>42069</v>
      </c>
      <c r="G3238" s="9" t="str">
        <f ca="1">IFERROR(__xludf.DUMMYFUNCTION("""COMPUTED_VALUE"""),"1 USD = 101.8695 PKR")</f>
        <v>1 USD = 101.8695 PKR</v>
      </c>
      <c r="H3238" s="9" t="str">
        <f ca="1">IFERROR(__xludf.DUMMYFUNCTION("""COMPUTED_VALUE"""),"USD PKR rate for 06/03/2015")</f>
        <v>USD PKR rate for 06/03/2015</v>
      </c>
      <c r="I3238" s="9"/>
    </row>
    <row r="3239" spans="1:9" ht="14.25" customHeight="1" x14ac:dyDescent="0.3">
      <c r="A3239" s="6">
        <v>42956</v>
      </c>
      <c r="B3239" s="7">
        <v>105.172</v>
      </c>
      <c r="C3239" s="8">
        <f t="shared" si="25"/>
        <v>140.92638597238172</v>
      </c>
      <c r="D3239" s="9">
        <f t="shared" si="24"/>
        <v>70.603232175887129</v>
      </c>
      <c r="E3239" s="9"/>
      <c r="F3239" s="9">
        <f ca="1">IFERROR(__xludf.DUMMYFUNCTION("""COMPUTED_VALUE"""),42068)</f>
        <v>42068</v>
      </c>
      <c r="G3239" s="9" t="str">
        <f ca="1">IFERROR(__xludf.DUMMYFUNCTION("""COMPUTED_VALUE"""),"1 USD = 101.8347 PKR")</f>
        <v>1 USD = 101.8347 PKR</v>
      </c>
      <c r="H3239" s="9" t="str">
        <f ca="1">IFERROR(__xludf.DUMMYFUNCTION("""COMPUTED_VALUE"""),"USD PKR rate for 05/03/2015")</f>
        <v>USD PKR rate for 05/03/2015</v>
      </c>
      <c r="I3239" s="9"/>
    </row>
    <row r="3240" spans="1:9" ht="14.25" customHeight="1" x14ac:dyDescent="0.3">
      <c r="A3240" s="6">
        <v>42957</v>
      </c>
      <c r="B3240" s="7">
        <v>104.9547</v>
      </c>
      <c r="C3240" s="8">
        <f t="shared" si="25"/>
        <v>140.95159062386844</v>
      </c>
      <c r="D3240" s="9">
        <f t="shared" si="24"/>
        <v>70.605970008684395</v>
      </c>
      <c r="E3240" s="9"/>
      <c r="F3240" s="9">
        <f ca="1">IFERROR(__xludf.DUMMYFUNCTION("""COMPUTED_VALUE"""),42067)</f>
        <v>42067</v>
      </c>
      <c r="G3240" s="9" t="str">
        <f ca="1">IFERROR(__xludf.DUMMYFUNCTION("""COMPUTED_VALUE"""),"1 USD = 101.9535 PKR")</f>
        <v>1 USD = 101.9535 PKR</v>
      </c>
      <c r="H3240" s="9" t="str">
        <f ca="1">IFERROR(__xludf.DUMMYFUNCTION("""COMPUTED_VALUE"""),"USD PKR rate for 04/03/2015")</f>
        <v>USD PKR rate for 04/03/2015</v>
      </c>
      <c r="I3240" s="9"/>
    </row>
    <row r="3241" spans="1:9" ht="14.25" customHeight="1" x14ac:dyDescent="0.3">
      <c r="A3241" s="6">
        <v>42958</v>
      </c>
      <c r="B3241" s="7">
        <v>104.6474</v>
      </c>
      <c r="C3241" s="8">
        <f t="shared" si="25"/>
        <v>140.97679978320124</v>
      </c>
      <c r="D3241" s="9">
        <f t="shared" si="24"/>
        <v>70.60870784148166</v>
      </c>
      <c r="E3241" s="9"/>
      <c r="F3241" s="9">
        <f ca="1">IFERROR(__xludf.DUMMYFUNCTION("""COMPUTED_VALUE"""),42066)</f>
        <v>42066</v>
      </c>
      <c r="G3241" s="9" t="str">
        <f ca="1">IFERROR(__xludf.DUMMYFUNCTION("""COMPUTED_VALUE"""),"1 USD = 101.9351 PKR")</f>
        <v>1 USD = 101.9351 PKR</v>
      </c>
      <c r="H3241" s="9" t="str">
        <f ca="1">IFERROR(__xludf.DUMMYFUNCTION("""COMPUTED_VALUE"""),"USD PKR rate for 03/03/2015")</f>
        <v>USD PKR rate for 03/03/2015</v>
      </c>
      <c r="I3241" s="9"/>
    </row>
    <row r="3242" spans="1:9" ht="14.25" customHeight="1" x14ac:dyDescent="0.3">
      <c r="A3242" s="6">
        <v>42959</v>
      </c>
      <c r="B3242" s="7">
        <v>104.64919999999999</v>
      </c>
      <c r="C3242" s="8">
        <f t="shared" si="25"/>
        <v>141.00201345118634</v>
      </c>
      <c r="D3242" s="9">
        <f t="shared" si="24"/>
        <v>70.611445674278926</v>
      </c>
      <c r="E3242" s="9"/>
      <c r="F3242" s="9">
        <f ca="1">IFERROR(__xludf.DUMMYFUNCTION("""COMPUTED_VALUE"""),42065)</f>
        <v>42065</v>
      </c>
      <c r="G3242" s="9" t="str">
        <f ca="1">IFERROR(__xludf.DUMMYFUNCTION("""COMPUTED_VALUE"""),"1 USD = 101.8992 PKR")</f>
        <v>1 USD = 101.8992 PKR</v>
      </c>
      <c r="H3242" s="9" t="str">
        <f ca="1">IFERROR(__xludf.DUMMYFUNCTION("""COMPUTED_VALUE"""),"USD PKR rate for 02/03/2015")</f>
        <v>USD PKR rate for 02/03/2015</v>
      </c>
      <c r="I3242" s="9"/>
    </row>
    <row r="3243" spans="1:9" ht="14.25" customHeight="1" x14ac:dyDescent="0.3">
      <c r="A3243" s="6">
        <v>42960</v>
      </c>
      <c r="B3243" s="7">
        <v>104.66970000000002</v>
      </c>
      <c r="C3243" s="8">
        <f t="shared" si="25"/>
        <v>141.02723162863012</v>
      </c>
      <c r="D3243" s="9">
        <f t="shared" si="24"/>
        <v>70.614183507076191</v>
      </c>
      <c r="E3243" s="9"/>
      <c r="F3243" s="9">
        <f ca="1">IFERROR(__xludf.DUMMYFUNCTION("""COMPUTED_VALUE"""),42064)</f>
        <v>42064</v>
      </c>
      <c r="G3243" s="9" t="str">
        <f ca="1">IFERROR(__xludf.DUMMYFUNCTION("""COMPUTED_VALUE"""),"1 USD = 101.957 PKR")</f>
        <v>1 USD = 101.957 PKR</v>
      </c>
      <c r="H3243" s="9" t="str">
        <f ca="1">IFERROR(__xludf.DUMMYFUNCTION("""COMPUTED_VALUE"""),"USD PKR rate for 01/03/2015")</f>
        <v>USD PKR rate for 01/03/2015</v>
      </c>
      <c r="I3243" s="9"/>
    </row>
    <row r="3244" spans="1:9" ht="14.25" customHeight="1" x14ac:dyDescent="0.3">
      <c r="A3244" s="6">
        <v>42961</v>
      </c>
      <c r="B3244" s="7">
        <v>105.3998</v>
      </c>
      <c r="C3244" s="8">
        <f t="shared" si="25"/>
        <v>141.05245431633909</v>
      </c>
      <c r="D3244" s="9">
        <f t="shared" si="24"/>
        <v>70.616921339873457</v>
      </c>
      <c r="E3244" s="9"/>
      <c r="F3244" s="9">
        <f ca="1">IFERROR(__xludf.DUMMYFUNCTION("""COMPUTED_VALUE"""),42063)</f>
        <v>42063</v>
      </c>
      <c r="G3244" s="9" t="str">
        <f ca="1">IFERROR(__xludf.DUMMYFUNCTION("""COMPUTED_VALUE"""),"1 USD = 101.967 PKR")</f>
        <v>1 USD = 101.967 PKR</v>
      </c>
      <c r="H3244" s="9" t="str">
        <f ca="1">IFERROR(__xludf.DUMMYFUNCTION("""COMPUTED_VALUE"""),"USD PKR rate for 28/02/2015")</f>
        <v>USD PKR rate for 28/02/2015</v>
      </c>
      <c r="I3244" s="9"/>
    </row>
    <row r="3245" spans="1:9" ht="14.25" customHeight="1" x14ac:dyDescent="0.3">
      <c r="A3245" s="6">
        <v>42962</v>
      </c>
      <c r="B3245" s="7">
        <v>105.4941</v>
      </c>
      <c r="C3245" s="8">
        <f t="shared" si="25"/>
        <v>141.07768151511993</v>
      </c>
      <c r="D3245" s="9">
        <f t="shared" si="24"/>
        <v>70.619659172670723</v>
      </c>
      <c r="E3245" s="9"/>
      <c r="F3245" s="9">
        <f ca="1">IFERROR(__xludf.DUMMYFUNCTION("""COMPUTED_VALUE"""),42062)</f>
        <v>42062</v>
      </c>
      <c r="G3245" s="9" t="str">
        <f ca="1">IFERROR(__xludf.DUMMYFUNCTION("""COMPUTED_VALUE"""),"1 USD = 101.8232 PKR")</f>
        <v>1 USD = 101.8232 PKR</v>
      </c>
      <c r="H3245" s="9" t="str">
        <f ca="1">IFERROR(__xludf.DUMMYFUNCTION("""COMPUTED_VALUE"""),"USD PKR rate for 27/02/2015")</f>
        <v>USD PKR rate for 27/02/2015</v>
      </c>
      <c r="I3245" s="9"/>
    </row>
    <row r="3246" spans="1:9" ht="14.25" customHeight="1" x14ac:dyDescent="0.3">
      <c r="A3246" s="6">
        <v>42963</v>
      </c>
      <c r="B3246" s="7">
        <v>104.75920000000001</v>
      </c>
      <c r="C3246" s="8">
        <f t="shared" si="25"/>
        <v>141.10291322577942</v>
      </c>
      <c r="D3246" s="9">
        <f t="shared" si="24"/>
        <v>70.622397005467988</v>
      </c>
      <c r="E3246" s="9"/>
      <c r="F3246" s="9">
        <f ca="1">IFERROR(__xludf.DUMMYFUNCTION("""COMPUTED_VALUE"""),42061)</f>
        <v>42061</v>
      </c>
      <c r="G3246" s="9" t="str">
        <f ca="1">IFERROR(__xludf.DUMMYFUNCTION("""COMPUTED_VALUE"""),"1 USD = 101.8653 PKR")</f>
        <v>1 USD = 101.8653 PKR</v>
      </c>
      <c r="H3246" s="9" t="str">
        <f ca="1">IFERROR(__xludf.DUMMYFUNCTION("""COMPUTED_VALUE"""),"USD PKR rate for 26/02/2015")</f>
        <v>USD PKR rate for 26/02/2015</v>
      </c>
      <c r="I3246" s="9"/>
    </row>
    <row r="3247" spans="1:9" ht="14.25" customHeight="1" x14ac:dyDescent="0.3">
      <c r="A3247" s="6">
        <v>42964</v>
      </c>
      <c r="B3247" s="7">
        <v>105.11860000000001</v>
      </c>
      <c r="C3247" s="8">
        <f t="shared" si="25"/>
        <v>141.12814944912463</v>
      </c>
      <c r="D3247" s="9">
        <f t="shared" si="24"/>
        <v>70.625134838265268</v>
      </c>
      <c r="E3247" s="9"/>
      <c r="F3247" s="9">
        <f ca="1">IFERROR(__xludf.DUMMYFUNCTION("""COMPUTED_VALUE"""),42060)</f>
        <v>42060</v>
      </c>
      <c r="G3247" s="9" t="str">
        <f ca="1">IFERROR(__xludf.DUMMYFUNCTION("""COMPUTED_VALUE"""),"1 USD = 101.7868 PKR")</f>
        <v>1 USD = 101.7868 PKR</v>
      </c>
      <c r="H3247" s="9" t="str">
        <f ca="1">IFERROR(__xludf.DUMMYFUNCTION("""COMPUTED_VALUE"""),"USD PKR rate for 25/02/2015")</f>
        <v>USD PKR rate for 25/02/2015</v>
      </c>
      <c r="I3247" s="9"/>
    </row>
    <row r="3248" spans="1:9" ht="14.25" customHeight="1" x14ac:dyDescent="0.3">
      <c r="A3248" s="6">
        <v>42965</v>
      </c>
      <c r="B3248" s="7">
        <v>105.3104</v>
      </c>
      <c r="C3248" s="8">
        <f t="shared" si="25"/>
        <v>141.15339018596228</v>
      </c>
      <c r="D3248" s="9">
        <f t="shared" si="24"/>
        <v>70.627872671062534</v>
      </c>
      <c r="E3248" s="9"/>
      <c r="F3248" s="9">
        <f ca="1">IFERROR(__xludf.DUMMYFUNCTION("""COMPUTED_VALUE"""),42059)</f>
        <v>42059</v>
      </c>
      <c r="G3248" s="9" t="str">
        <f ca="1">IFERROR(__xludf.DUMMYFUNCTION("""COMPUTED_VALUE"""),"1 USD = 101.6936 PKR")</f>
        <v>1 USD = 101.6936 PKR</v>
      </c>
      <c r="H3248" s="9" t="str">
        <f ca="1">IFERROR(__xludf.DUMMYFUNCTION("""COMPUTED_VALUE"""),"USD PKR rate for 24/02/2015")</f>
        <v>USD PKR rate for 24/02/2015</v>
      </c>
      <c r="I3248" s="9"/>
    </row>
    <row r="3249" spans="1:9" ht="14.25" customHeight="1" x14ac:dyDescent="0.3">
      <c r="A3249" s="6">
        <v>42966</v>
      </c>
      <c r="B3249" s="7">
        <v>105.32900000000001</v>
      </c>
      <c r="C3249" s="8">
        <f t="shared" si="25"/>
        <v>141.17863543710004</v>
      </c>
      <c r="D3249" s="9">
        <f t="shared" si="24"/>
        <v>70.630610503859799</v>
      </c>
      <c r="E3249" s="9"/>
      <c r="F3249" s="9">
        <f ca="1">IFERROR(__xludf.DUMMYFUNCTION("""COMPUTED_VALUE"""),42058)</f>
        <v>42058</v>
      </c>
      <c r="G3249" s="9" t="str">
        <f ca="1">IFERROR(__xludf.DUMMYFUNCTION("""COMPUTED_VALUE"""),"1 USD = 101.7274 PKR")</f>
        <v>1 USD = 101.7274 PKR</v>
      </c>
      <c r="H3249" s="9" t="str">
        <f ca="1">IFERROR(__xludf.DUMMYFUNCTION("""COMPUTED_VALUE"""),"USD PKR rate for 23/02/2015")</f>
        <v>USD PKR rate for 23/02/2015</v>
      </c>
      <c r="I3249" s="9"/>
    </row>
    <row r="3250" spans="1:9" ht="14.25" customHeight="1" x14ac:dyDescent="0.3">
      <c r="A3250" s="6">
        <v>42967</v>
      </c>
      <c r="B3250" s="7">
        <v>105.25620000000001</v>
      </c>
      <c r="C3250" s="8">
        <f t="shared" si="25"/>
        <v>141.20388520334507</v>
      </c>
      <c r="D3250" s="9">
        <f t="shared" si="24"/>
        <v>70.633348336657065</v>
      </c>
      <c r="E3250" s="9"/>
      <c r="F3250" s="9">
        <f ca="1">IFERROR(__xludf.DUMMYFUNCTION("""COMPUTED_VALUE"""),42057)</f>
        <v>42057</v>
      </c>
      <c r="G3250" s="9" t="str">
        <f ca="1">IFERROR(__xludf.DUMMYFUNCTION("""COMPUTED_VALUE"""),"1 USD = 101.7592 PKR")</f>
        <v>1 USD = 101.7592 PKR</v>
      </c>
      <c r="H3250" s="9" t="str">
        <f ca="1">IFERROR(__xludf.DUMMYFUNCTION("""COMPUTED_VALUE"""),"USD PKR rate for 22/02/2015")</f>
        <v>USD PKR rate for 22/02/2015</v>
      </c>
      <c r="I3250" s="9"/>
    </row>
    <row r="3251" spans="1:9" ht="14.25" customHeight="1" x14ac:dyDescent="0.3">
      <c r="A3251" s="6">
        <v>42968</v>
      </c>
      <c r="B3251" s="7">
        <v>104.89810000000001</v>
      </c>
      <c r="C3251" s="8">
        <f t="shared" si="25"/>
        <v>141.22913948550496</v>
      </c>
      <c r="D3251" s="9">
        <f t="shared" si="24"/>
        <v>70.63608616945433</v>
      </c>
      <c r="E3251" s="9"/>
      <c r="F3251" s="9">
        <f ca="1">IFERROR(__xludf.DUMMYFUNCTION("""COMPUTED_VALUE"""),42056)</f>
        <v>42056</v>
      </c>
      <c r="G3251" s="9" t="str">
        <f ca="1">IFERROR(__xludf.DUMMYFUNCTION("""COMPUTED_VALUE"""),"1 USD = 101.7466 PKR")</f>
        <v>1 USD = 101.7466 PKR</v>
      </c>
      <c r="H3251" s="9" t="str">
        <f ca="1">IFERROR(__xludf.DUMMYFUNCTION("""COMPUTED_VALUE"""),"USD PKR rate for 21/02/2015")</f>
        <v>USD PKR rate for 21/02/2015</v>
      </c>
      <c r="I3251" s="9"/>
    </row>
    <row r="3252" spans="1:9" ht="14.25" customHeight="1" x14ac:dyDescent="0.3">
      <c r="A3252" s="6">
        <v>42969</v>
      </c>
      <c r="B3252" s="7">
        <v>105.2886</v>
      </c>
      <c r="C3252" s="8">
        <f t="shared" si="25"/>
        <v>141.25439828438738</v>
      </c>
      <c r="D3252" s="9">
        <f t="shared" si="24"/>
        <v>70.638824002251596</v>
      </c>
      <c r="E3252" s="9"/>
      <c r="F3252" s="9">
        <f ca="1">IFERROR(__xludf.DUMMYFUNCTION("""COMPUTED_VALUE"""),42055)</f>
        <v>42055</v>
      </c>
      <c r="G3252" s="9" t="str">
        <f ca="1">IFERROR(__xludf.DUMMYFUNCTION("""COMPUTED_VALUE"""),"1 USD = 101.6743 PKR")</f>
        <v>1 USD = 101.6743 PKR</v>
      </c>
      <c r="H3252" s="9" t="str">
        <f ca="1">IFERROR(__xludf.DUMMYFUNCTION("""COMPUTED_VALUE"""),"USD PKR rate for 20/02/2015")</f>
        <v>USD PKR rate for 20/02/2015</v>
      </c>
      <c r="I3252" s="9"/>
    </row>
    <row r="3253" spans="1:9" ht="14.25" customHeight="1" x14ac:dyDescent="0.3">
      <c r="A3253" s="6">
        <v>42970</v>
      </c>
      <c r="B3253" s="7">
        <v>104.84780000000001</v>
      </c>
      <c r="C3253" s="8">
        <f t="shared" si="25"/>
        <v>141.27966160080013</v>
      </c>
      <c r="D3253" s="9">
        <f t="shared" si="24"/>
        <v>70.641561835048861</v>
      </c>
      <c r="E3253" s="9"/>
      <c r="F3253" s="9">
        <f ca="1">IFERROR(__xludf.DUMMYFUNCTION("""COMPUTED_VALUE"""),42054)</f>
        <v>42054</v>
      </c>
      <c r="G3253" s="9" t="str">
        <f ca="1">IFERROR(__xludf.DUMMYFUNCTION("""COMPUTED_VALUE"""),"1 USD = 101.6303 PKR")</f>
        <v>1 USD = 101.6303 PKR</v>
      </c>
      <c r="H3253" s="9" t="str">
        <f ca="1">IFERROR(__xludf.DUMMYFUNCTION("""COMPUTED_VALUE"""),"USD PKR rate for 19/02/2015")</f>
        <v>USD PKR rate for 19/02/2015</v>
      </c>
      <c r="I3253" s="9"/>
    </row>
    <row r="3254" spans="1:9" ht="14.25" customHeight="1" x14ac:dyDescent="0.3">
      <c r="A3254" s="6">
        <v>42971</v>
      </c>
      <c r="B3254" s="7">
        <v>105.2831</v>
      </c>
      <c r="C3254" s="8">
        <f t="shared" si="25"/>
        <v>141.30492943555114</v>
      </c>
      <c r="D3254" s="9">
        <f t="shared" si="24"/>
        <v>70.644299667846127</v>
      </c>
      <c r="E3254" s="9"/>
      <c r="F3254" s="9">
        <f ca="1">IFERROR(__xludf.DUMMYFUNCTION("""COMPUTED_VALUE"""),42053)</f>
        <v>42053</v>
      </c>
      <c r="G3254" s="9" t="str">
        <f ca="1">IFERROR(__xludf.DUMMYFUNCTION("""COMPUTED_VALUE"""),"1 USD = 101.5753 PKR")</f>
        <v>1 USD = 101.5753 PKR</v>
      </c>
      <c r="H3254" s="9" t="str">
        <f ca="1">IFERROR(__xludf.DUMMYFUNCTION("""COMPUTED_VALUE"""),"USD PKR rate for 18/02/2015")</f>
        <v>USD PKR rate for 18/02/2015</v>
      </c>
      <c r="I3254" s="9"/>
    </row>
    <row r="3255" spans="1:9" ht="14.25" customHeight="1" x14ac:dyDescent="0.3">
      <c r="A3255" s="6">
        <v>42972</v>
      </c>
      <c r="B3255" s="7">
        <v>104.43290000000002</v>
      </c>
      <c r="C3255" s="8">
        <f t="shared" si="25"/>
        <v>141.33020178944855</v>
      </c>
      <c r="D3255" s="9">
        <f t="shared" si="24"/>
        <v>70.647037500643393</v>
      </c>
      <c r="E3255" s="9"/>
      <c r="F3255" s="9">
        <f ca="1">IFERROR(__xludf.DUMMYFUNCTION("""COMPUTED_VALUE"""),42052)</f>
        <v>42052</v>
      </c>
      <c r="G3255" s="9" t="str">
        <f ca="1">IFERROR(__xludf.DUMMYFUNCTION("""COMPUTED_VALUE"""),"1 USD = 101.5347 PKR")</f>
        <v>1 USD = 101.5347 PKR</v>
      </c>
      <c r="H3255" s="9" t="str">
        <f ca="1">IFERROR(__xludf.DUMMYFUNCTION("""COMPUTED_VALUE"""),"USD PKR rate for 17/02/2015")</f>
        <v>USD PKR rate for 17/02/2015</v>
      </c>
      <c r="I3255" s="9"/>
    </row>
    <row r="3256" spans="1:9" ht="14.25" customHeight="1" x14ac:dyDescent="0.3">
      <c r="A3256" s="6">
        <v>42973</v>
      </c>
      <c r="B3256" s="7">
        <v>104.4332</v>
      </c>
      <c r="C3256" s="8">
        <f t="shared" si="25"/>
        <v>141.3554786633006</v>
      </c>
      <c r="D3256" s="9">
        <f t="shared" si="24"/>
        <v>70.649775333440658</v>
      </c>
      <c r="E3256" s="9"/>
      <c r="F3256" s="9">
        <f ca="1">IFERROR(__xludf.DUMMYFUNCTION("""COMPUTED_VALUE"""),42051)</f>
        <v>42051</v>
      </c>
      <c r="G3256" s="9" t="str">
        <f ca="1">IFERROR(__xludf.DUMMYFUNCTION("""COMPUTED_VALUE"""),"1 USD = 101.594 PKR")</f>
        <v>1 USD = 101.594 PKR</v>
      </c>
      <c r="H3256" s="9" t="str">
        <f ca="1">IFERROR(__xludf.DUMMYFUNCTION("""COMPUTED_VALUE"""),"USD PKR rate for 16/02/2015")</f>
        <v>USD PKR rate for 16/02/2015</v>
      </c>
      <c r="I3256" s="9"/>
    </row>
    <row r="3257" spans="1:9" ht="14.25" customHeight="1" x14ac:dyDescent="0.3">
      <c r="A3257" s="6">
        <v>42974</v>
      </c>
      <c r="B3257" s="7">
        <v>105.01260000000001</v>
      </c>
      <c r="C3257" s="8">
        <f t="shared" si="25"/>
        <v>141.38076005791558</v>
      </c>
      <c r="D3257" s="9">
        <f t="shared" si="24"/>
        <v>70.652513166237924</v>
      </c>
      <c r="E3257" s="9"/>
      <c r="F3257" s="9">
        <f ca="1">IFERROR(__xludf.DUMMYFUNCTION("""COMPUTED_VALUE"""),42050)</f>
        <v>42050</v>
      </c>
      <c r="G3257" s="9" t="str">
        <f ca="1">IFERROR(__xludf.DUMMYFUNCTION("""COMPUTED_VALUE"""),"1 USD = 101.3839 PKR")</f>
        <v>1 USD = 101.3839 PKR</v>
      </c>
      <c r="H3257" s="9" t="str">
        <f ca="1">IFERROR(__xludf.DUMMYFUNCTION("""COMPUTED_VALUE"""),"USD PKR rate for 15/02/2015")</f>
        <v>USD PKR rate for 15/02/2015</v>
      </c>
      <c r="I3257" s="9"/>
    </row>
    <row r="3258" spans="1:9" ht="14.25" customHeight="1" x14ac:dyDescent="0.3">
      <c r="A3258" s="6">
        <v>42975</v>
      </c>
      <c r="B3258" s="7">
        <v>105.02889999999999</v>
      </c>
      <c r="C3258" s="8">
        <f t="shared" si="25"/>
        <v>141.40604597410223</v>
      </c>
      <c r="D3258" s="9">
        <f t="shared" si="24"/>
        <v>70.655250999035189</v>
      </c>
      <c r="E3258" s="9"/>
      <c r="F3258" s="9">
        <f ca="1">IFERROR(__xludf.DUMMYFUNCTION("""COMPUTED_VALUE"""),42049)</f>
        <v>42049</v>
      </c>
      <c r="G3258" s="9" t="str">
        <f ca="1">IFERROR(__xludf.DUMMYFUNCTION("""COMPUTED_VALUE"""),"1 USD = 101.4202 PKR")</f>
        <v>1 USD = 101.4202 PKR</v>
      </c>
      <c r="H3258" s="9" t="str">
        <f ca="1">IFERROR(__xludf.DUMMYFUNCTION("""COMPUTED_VALUE"""),"USD PKR rate for 14/02/2015")</f>
        <v>USD PKR rate for 14/02/2015</v>
      </c>
      <c r="I3258" s="9"/>
    </row>
    <row r="3259" spans="1:9" ht="14.25" customHeight="1" x14ac:dyDescent="0.3">
      <c r="A3259" s="6">
        <v>42976</v>
      </c>
      <c r="B3259" s="7">
        <v>105.8267</v>
      </c>
      <c r="C3259" s="8">
        <f t="shared" si="25"/>
        <v>141.43133641266917</v>
      </c>
      <c r="D3259" s="9">
        <f t="shared" si="24"/>
        <v>70.657988831832455</v>
      </c>
      <c r="E3259" s="9"/>
      <c r="F3259" s="9">
        <f ca="1">IFERROR(__xludf.DUMMYFUNCTION("""COMPUTED_VALUE"""),42048)</f>
        <v>42048</v>
      </c>
      <c r="G3259" s="9" t="str">
        <f ca="1">IFERROR(__xludf.DUMMYFUNCTION("""COMPUTED_VALUE"""),"1 USD = 101.4086 PKR")</f>
        <v>1 USD = 101.4086 PKR</v>
      </c>
      <c r="H3259" s="9" t="str">
        <f ca="1">IFERROR(__xludf.DUMMYFUNCTION("""COMPUTED_VALUE"""),"USD PKR rate for 13/02/2015")</f>
        <v>USD PKR rate for 13/02/2015</v>
      </c>
      <c r="I3259" s="9"/>
    </row>
    <row r="3260" spans="1:9" ht="14.25" customHeight="1" x14ac:dyDescent="0.3">
      <c r="A3260" s="6">
        <v>42977</v>
      </c>
      <c r="B3260" s="7">
        <v>105.72500000000001</v>
      </c>
      <c r="C3260" s="8">
        <f t="shared" si="25"/>
        <v>141.45663137442514</v>
      </c>
      <c r="D3260" s="9">
        <f t="shared" si="24"/>
        <v>70.660726664629721</v>
      </c>
      <c r="E3260" s="9"/>
      <c r="F3260" s="9">
        <f ca="1">IFERROR(__xludf.DUMMYFUNCTION("""COMPUTED_VALUE"""),42047)</f>
        <v>42047</v>
      </c>
      <c r="G3260" s="9" t="str">
        <f ca="1">IFERROR(__xludf.DUMMYFUNCTION("""COMPUTED_VALUE"""),"1 USD = 101.2585 PKR")</f>
        <v>1 USD = 101.2585 PKR</v>
      </c>
      <c r="H3260" s="9" t="str">
        <f ca="1">IFERROR(__xludf.DUMMYFUNCTION("""COMPUTED_VALUE"""),"USD PKR rate for 12/02/2015")</f>
        <v>USD PKR rate for 12/02/2015</v>
      </c>
      <c r="I3260" s="9"/>
    </row>
    <row r="3261" spans="1:9" ht="14.25" customHeight="1" x14ac:dyDescent="0.3">
      <c r="A3261" s="6">
        <v>42978</v>
      </c>
      <c r="B3261" s="7">
        <v>104.7183</v>
      </c>
      <c r="C3261" s="8">
        <f t="shared" si="25"/>
        <v>141.4819308601792</v>
      </c>
      <c r="D3261" s="9">
        <f t="shared" si="24"/>
        <v>70.663464497426986</v>
      </c>
      <c r="E3261" s="9"/>
      <c r="F3261" s="9">
        <f ca="1">IFERROR(__xludf.DUMMYFUNCTION("""COMPUTED_VALUE"""),42046)</f>
        <v>42046</v>
      </c>
      <c r="G3261" s="9" t="str">
        <f ca="1">IFERROR(__xludf.DUMMYFUNCTION("""COMPUTED_VALUE"""),"1 USD = 101.2935 PKR")</f>
        <v>1 USD = 101.2935 PKR</v>
      </c>
      <c r="H3261" s="9" t="str">
        <f ca="1">IFERROR(__xludf.DUMMYFUNCTION("""COMPUTED_VALUE"""),"USD PKR rate for 11/02/2015")</f>
        <v>USD PKR rate for 11/02/2015</v>
      </c>
      <c r="I3261" s="9"/>
    </row>
    <row r="3262" spans="1:9" ht="14.25" customHeight="1" x14ac:dyDescent="0.3">
      <c r="A3262" s="6">
        <v>42979</v>
      </c>
      <c r="B3262" s="7">
        <v>105.693</v>
      </c>
      <c r="C3262" s="8">
        <f t="shared" si="25"/>
        <v>141.5072348707404</v>
      </c>
      <c r="D3262" s="9">
        <f t="shared" si="24"/>
        <v>70.666202330224252</v>
      </c>
      <c r="E3262" s="9"/>
      <c r="F3262" s="9">
        <f ca="1">IFERROR(__xludf.DUMMYFUNCTION("""COMPUTED_VALUE"""),42045)</f>
        <v>42045</v>
      </c>
      <c r="G3262" s="9" t="str">
        <f ca="1">IFERROR(__xludf.DUMMYFUNCTION("""COMPUTED_VALUE"""),"1 USD = 101.3273 PKR")</f>
        <v>1 USD = 101.3273 PKR</v>
      </c>
      <c r="H3262" s="9" t="str">
        <f ca="1">IFERROR(__xludf.DUMMYFUNCTION("""COMPUTED_VALUE"""),"USD PKR rate for 10/02/2015")</f>
        <v>USD PKR rate for 10/02/2015</v>
      </c>
      <c r="I3262" s="9"/>
    </row>
    <row r="3263" spans="1:9" ht="14.25" customHeight="1" x14ac:dyDescent="0.3">
      <c r="A3263" s="6">
        <v>42980</v>
      </c>
      <c r="B3263" s="7">
        <v>105.693</v>
      </c>
      <c r="C3263" s="8">
        <f t="shared" si="25"/>
        <v>141.53254340691805</v>
      </c>
      <c r="D3263" s="9">
        <f t="shared" si="24"/>
        <v>70.668940163021517</v>
      </c>
      <c r="E3263" s="9"/>
      <c r="F3263" s="9">
        <f ca="1">IFERROR(__xludf.DUMMYFUNCTION("""COMPUTED_VALUE"""),42044)</f>
        <v>42044</v>
      </c>
      <c r="G3263" s="9" t="str">
        <f ca="1">IFERROR(__xludf.DUMMYFUNCTION("""COMPUTED_VALUE"""),"1 USD = 101.1568 PKR")</f>
        <v>1 USD = 101.1568 PKR</v>
      </c>
      <c r="H3263" s="9" t="str">
        <f ca="1">IFERROR(__xludf.DUMMYFUNCTION("""COMPUTED_VALUE"""),"USD PKR rate for 09/02/2015")</f>
        <v>USD PKR rate for 09/02/2015</v>
      </c>
      <c r="I3263" s="9"/>
    </row>
    <row r="3264" spans="1:9" ht="14.25" customHeight="1" x14ac:dyDescent="0.3">
      <c r="A3264" s="6">
        <v>42981</v>
      </c>
      <c r="B3264" s="7">
        <v>105.25810000000001</v>
      </c>
      <c r="C3264" s="8">
        <f t="shared" si="25"/>
        <v>141.55785646952151</v>
      </c>
      <c r="D3264" s="9">
        <f t="shared" si="24"/>
        <v>70.671677995818783</v>
      </c>
      <c r="E3264" s="9"/>
      <c r="F3264" s="9">
        <f ca="1">IFERROR(__xludf.DUMMYFUNCTION("""COMPUTED_VALUE"""),42043)</f>
        <v>42043</v>
      </c>
      <c r="G3264" s="9" t="str">
        <f ca="1">IFERROR(__xludf.DUMMYFUNCTION("""COMPUTED_VALUE"""),"1 USD = 101.2239 PKR")</f>
        <v>1 USD = 101.2239 PKR</v>
      </c>
      <c r="H3264" s="9" t="str">
        <f ca="1">IFERROR(__xludf.DUMMYFUNCTION("""COMPUTED_VALUE"""),"USD PKR rate for 08/02/2015")</f>
        <v>USD PKR rate for 08/02/2015</v>
      </c>
      <c r="I3264" s="9"/>
    </row>
    <row r="3265" spans="1:9" ht="14.25" customHeight="1" x14ac:dyDescent="0.3">
      <c r="A3265" s="6">
        <v>42982</v>
      </c>
      <c r="B3265" s="7">
        <v>105.19880000000001</v>
      </c>
      <c r="C3265" s="8">
        <f t="shared" si="25"/>
        <v>141.58317405936037</v>
      </c>
      <c r="D3265" s="9">
        <f t="shared" si="24"/>
        <v>70.674415828616048</v>
      </c>
      <c r="E3265" s="9"/>
      <c r="F3265" s="9">
        <f ca="1">IFERROR(__xludf.DUMMYFUNCTION("""COMPUTED_VALUE"""),42042)</f>
        <v>42042</v>
      </c>
      <c r="G3265" s="9" t="str">
        <f ca="1">IFERROR(__xludf.DUMMYFUNCTION("""COMPUTED_VALUE"""),"1 USD = 101.1019 PKR")</f>
        <v>1 USD = 101.1019 PKR</v>
      </c>
      <c r="H3265" s="9" t="str">
        <f ca="1">IFERROR(__xludf.DUMMYFUNCTION("""COMPUTED_VALUE"""),"USD PKR rate for 07/02/2015")</f>
        <v>USD PKR rate for 07/02/2015</v>
      </c>
      <c r="I3265" s="9"/>
    </row>
    <row r="3266" spans="1:9" ht="14.25" customHeight="1" x14ac:dyDescent="0.3">
      <c r="A3266" s="6">
        <v>42983</v>
      </c>
      <c r="B3266" s="7">
        <v>105.3105</v>
      </c>
      <c r="C3266" s="8">
        <f t="shared" si="25"/>
        <v>141.60849617724418</v>
      </c>
      <c r="D3266" s="9">
        <f t="shared" si="24"/>
        <v>70.677153661413314</v>
      </c>
      <c r="E3266" s="9"/>
      <c r="F3266" s="9">
        <f ca="1">IFERROR(__xludf.DUMMYFUNCTION("""COMPUTED_VALUE"""),42041)</f>
        <v>42041</v>
      </c>
      <c r="G3266" s="9" t="str">
        <f ca="1">IFERROR(__xludf.DUMMYFUNCTION("""COMPUTED_VALUE"""),"1 USD = 101.2645 PKR")</f>
        <v>1 USD = 101.2645 PKR</v>
      </c>
      <c r="H3266" s="9" t="str">
        <f ca="1">IFERROR(__xludf.DUMMYFUNCTION("""COMPUTED_VALUE"""),"USD PKR rate for 06/02/2015")</f>
        <v>USD PKR rate for 06/02/2015</v>
      </c>
      <c r="I3266" s="9"/>
    </row>
    <row r="3267" spans="1:9" ht="14.25" customHeight="1" x14ac:dyDescent="0.3">
      <c r="A3267" s="6">
        <v>42984</v>
      </c>
      <c r="B3267" s="7">
        <v>105.27800000000001</v>
      </c>
      <c r="C3267" s="8">
        <f t="shared" si="25"/>
        <v>141.63382282398302</v>
      </c>
      <c r="D3267" s="9">
        <f t="shared" si="24"/>
        <v>70.67989149421058</v>
      </c>
      <c r="E3267" s="9"/>
      <c r="F3267" s="9">
        <f ca="1">IFERROR(__xludf.DUMMYFUNCTION("""COMPUTED_VALUE"""),42040)</f>
        <v>42040</v>
      </c>
      <c r="G3267" s="9" t="str">
        <f ca="1">IFERROR(__xludf.DUMMYFUNCTION("""COMPUTED_VALUE"""),"1 USD = 101.0392 PKR")</f>
        <v>1 USD = 101.0392 PKR</v>
      </c>
      <c r="H3267" s="9" t="str">
        <f ca="1">IFERROR(__xludf.DUMMYFUNCTION("""COMPUTED_VALUE"""),"USD PKR rate for 05/02/2015")</f>
        <v>USD PKR rate for 05/02/2015</v>
      </c>
      <c r="I3267" s="9"/>
    </row>
    <row r="3268" spans="1:9" ht="14.25" customHeight="1" x14ac:dyDescent="0.3">
      <c r="A3268" s="6">
        <v>42985</v>
      </c>
      <c r="B3268" s="7">
        <v>105.04430000000001</v>
      </c>
      <c r="C3268" s="8">
        <f t="shared" si="25"/>
        <v>141.65915400038676</v>
      </c>
      <c r="D3268" s="9">
        <f t="shared" si="24"/>
        <v>70.682629327007845</v>
      </c>
      <c r="E3268" s="9"/>
      <c r="F3268" s="9">
        <f ca="1">IFERROR(__xludf.DUMMYFUNCTION("""COMPUTED_VALUE"""),42039)</f>
        <v>42039</v>
      </c>
      <c r="G3268" s="9" t="str">
        <f ca="1">IFERROR(__xludf.DUMMYFUNCTION("""COMPUTED_VALUE"""),"1 USD = 101.3022 PKR")</f>
        <v>1 USD = 101.3022 PKR</v>
      </c>
      <c r="H3268" s="9" t="str">
        <f ca="1">IFERROR(__xludf.DUMMYFUNCTION("""COMPUTED_VALUE"""),"USD PKR rate for 04/02/2015")</f>
        <v>USD PKR rate for 04/02/2015</v>
      </c>
      <c r="I3268" s="9"/>
    </row>
    <row r="3269" spans="1:9" ht="14.25" customHeight="1" x14ac:dyDescent="0.3">
      <c r="A3269" s="6">
        <v>42986</v>
      </c>
      <c r="B3269" s="7">
        <v>105.63339999999999</v>
      </c>
      <c r="C3269" s="8">
        <f t="shared" si="25"/>
        <v>141.68448970726556</v>
      </c>
      <c r="D3269" s="9">
        <f t="shared" si="24"/>
        <v>70.685367159805111</v>
      </c>
      <c r="E3269" s="9"/>
      <c r="F3269" s="9">
        <f ca="1">IFERROR(__xludf.DUMMYFUNCTION("""COMPUTED_VALUE"""),42038)</f>
        <v>42038</v>
      </c>
      <c r="G3269" s="9" t="str">
        <f ca="1">IFERROR(__xludf.DUMMYFUNCTION("""COMPUTED_VALUE"""),"1 USD = 101.2465 PKR")</f>
        <v>1 USD = 101.2465 PKR</v>
      </c>
      <c r="H3269" s="9" t="str">
        <f ca="1">IFERROR(__xludf.DUMMYFUNCTION("""COMPUTED_VALUE"""),"USD PKR rate for 03/02/2015")</f>
        <v>USD PKR rate for 03/02/2015</v>
      </c>
      <c r="I3269" s="9"/>
    </row>
    <row r="3270" spans="1:9" ht="14.25" customHeight="1" x14ac:dyDescent="0.3">
      <c r="A3270" s="6">
        <v>42987</v>
      </c>
      <c r="B3270" s="7">
        <v>105.6238</v>
      </c>
      <c r="C3270" s="8">
        <f t="shared" si="25"/>
        <v>141.70982994542965</v>
      </c>
      <c r="D3270" s="9">
        <f t="shared" si="24"/>
        <v>70.688104992602376</v>
      </c>
      <c r="E3270" s="9"/>
      <c r="F3270" s="9">
        <f ca="1">IFERROR(__xludf.DUMMYFUNCTION("""COMPUTED_VALUE"""),42037)</f>
        <v>42037</v>
      </c>
      <c r="G3270" s="9" t="str">
        <f ca="1">IFERROR(__xludf.DUMMYFUNCTION("""COMPUTED_VALUE"""),"1 USD = 101.3971 PKR")</f>
        <v>1 USD = 101.3971 PKR</v>
      </c>
      <c r="H3270" s="9" t="str">
        <f ca="1">IFERROR(__xludf.DUMMYFUNCTION("""COMPUTED_VALUE"""),"USD PKR rate for 02/02/2015")</f>
        <v>USD PKR rate for 02/02/2015</v>
      </c>
      <c r="I3270" s="9"/>
    </row>
    <row r="3271" spans="1:9" ht="14.25" customHeight="1" x14ac:dyDescent="0.3">
      <c r="A3271" s="6">
        <v>42988</v>
      </c>
      <c r="B3271" s="7">
        <v>105.63730000000001</v>
      </c>
      <c r="C3271" s="8">
        <f t="shared" si="25"/>
        <v>141.73517471568948</v>
      </c>
      <c r="D3271" s="9">
        <f t="shared" si="24"/>
        <v>70.690842825399642</v>
      </c>
      <c r="E3271" s="9"/>
      <c r="F3271" s="9">
        <f ca="1">IFERROR(__xludf.DUMMYFUNCTION("""COMPUTED_VALUE"""),42036)</f>
        <v>42036</v>
      </c>
      <c r="G3271" s="9" t="str">
        <f ca="1">IFERROR(__xludf.DUMMYFUNCTION("""COMPUTED_VALUE"""),"1 USD = 101.0229 PKR")</f>
        <v>1 USD = 101.0229 PKR</v>
      </c>
      <c r="H3271" s="9" t="str">
        <f ca="1">IFERROR(__xludf.DUMMYFUNCTION("""COMPUTED_VALUE"""),"USD PKR rate for 01/02/2015")</f>
        <v>USD PKR rate for 01/02/2015</v>
      </c>
      <c r="I3271" s="9"/>
    </row>
    <row r="3272" spans="1:9" ht="14.25" customHeight="1" x14ac:dyDescent="0.3">
      <c r="A3272" s="6">
        <v>42989</v>
      </c>
      <c r="B3272" s="7">
        <v>105.8301</v>
      </c>
      <c r="C3272" s="8">
        <f t="shared" si="25"/>
        <v>141.76052401885559</v>
      </c>
      <c r="D3272" s="9">
        <f t="shared" si="24"/>
        <v>70.693580658196908</v>
      </c>
      <c r="E3272" s="9"/>
      <c r="F3272" s="9">
        <f ca="1">IFERROR(__xludf.DUMMYFUNCTION("""COMPUTED_VALUE"""),42035)</f>
        <v>42035</v>
      </c>
      <c r="G3272" s="9" t="str">
        <f ca="1">IFERROR(__xludf.DUMMYFUNCTION("""COMPUTED_VALUE"""),"1 USD = 101.0265 PKR")</f>
        <v>1 USD = 101.0265 PKR</v>
      </c>
      <c r="H3272" s="9" t="str">
        <f ca="1">IFERROR(__xludf.DUMMYFUNCTION("""COMPUTED_VALUE"""),"USD PKR rate for 31/01/2015")</f>
        <v>USD PKR rate for 31/01/2015</v>
      </c>
      <c r="I3272" s="9"/>
    </row>
    <row r="3273" spans="1:9" ht="14.25" customHeight="1" x14ac:dyDescent="0.3">
      <c r="A3273" s="6">
        <v>42990</v>
      </c>
      <c r="B3273" s="7">
        <v>105.0968</v>
      </c>
      <c r="C3273" s="8">
        <f t="shared" si="25"/>
        <v>141.78587785573868</v>
      </c>
      <c r="D3273" s="9">
        <f t="shared" si="24"/>
        <v>70.696318490994173</v>
      </c>
      <c r="E3273" s="9"/>
      <c r="F3273" s="9">
        <f ca="1">IFERROR(__xludf.DUMMYFUNCTION("""COMPUTED_VALUE"""),42034)</f>
        <v>42034</v>
      </c>
      <c r="G3273" s="9" t="str">
        <f ca="1">IFERROR(__xludf.DUMMYFUNCTION("""COMPUTED_VALUE"""),"1 USD = 101.0749 PKR")</f>
        <v>1 USD = 101.0749 PKR</v>
      </c>
      <c r="H3273" s="9" t="str">
        <f ca="1">IFERROR(__xludf.DUMMYFUNCTION("""COMPUTED_VALUE"""),"USD PKR rate for 30/01/2015")</f>
        <v>USD PKR rate for 30/01/2015</v>
      </c>
      <c r="I3273" s="9"/>
    </row>
    <row r="3274" spans="1:9" ht="14.25" customHeight="1" x14ac:dyDescent="0.3">
      <c r="A3274" s="6">
        <v>42991</v>
      </c>
      <c r="B3274" s="7">
        <v>106.2488</v>
      </c>
      <c r="C3274" s="8">
        <f t="shared" si="25"/>
        <v>141.81123622714964</v>
      </c>
      <c r="D3274" s="9">
        <f t="shared" si="24"/>
        <v>70.699056323791439</v>
      </c>
      <c r="E3274" s="9"/>
      <c r="F3274" s="9">
        <f ca="1">IFERROR(__xludf.DUMMYFUNCTION("""COMPUTED_VALUE"""),42033)</f>
        <v>42033</v>
      </c>
      <c r="G3274" s="9" t="str">
        <f ca="1">IFERROR(__xludf.DUMMYFUNCTION("""COMPUTED_VALUE"""),"1 USD = 100.9102 PKR")</f>
        <v>1 USD = 100.9102 PKR</v>
      </c>
      <c r="H3274" s="9" t="str">
        <f ca="1">IFERROR(__xludf.DUMMYFUNCTION("""COMPUTED_VALUE"""),"USD PKR rate for 29/01/2015")</f>
        <v>USD PKR rate for 29/01/2015</v>
      </c>
      <c r="I3274" s="9"/>
    </row>
    <row r="3275" spans="1:9" ht="14.25" customHeight="1" x14ac:dyDescent="0.3">
      <c r="A3275" s="6">
        <v>42992</v>
      </c>
      <c r="B3275" s="7">
        <v>105.25530000000001</v>
      </c>
      <c r="C3275" s="8">
        <f t="shared" si="25"/>
        <v>141.83659913389931</v>
      </c>
      <c r="D3275" s="9">
        <f t="shared" si="24"/>
        <v>70.701794156588704</v>
      </c>
      <c r="E3275" s="9"/>
      <c r="F3275" s="9">
        <f ca="1">IFERROR(__xludf.DUMMYFUNCTION("""COMPUTED_VALUE"""),42032)</f>
        <v>42032</v>
      </c>
      <c r="G3275" s="9" t="str">
        <f ca="1">IFERROR(__xludf.DUMMYFUNCTION("""COMPUTED_VALUE"""),"1 USD = 100.9029 PKR")</f>
        <v>1 USD = 100.9029 PKR</v>
      </c>
      <c r="H3275" s="9" t="str">
        <f ca="1">IFERROR(__xludf.DUMMYFUNCTION("""COMPUTED_VALUE"""),"USD PKR rate for 28/01/2015")</f>
        <v>USD PKR rate for 28/01/2015</v>
      </c>
      <c r="I3275" s="9"/>
    </row>
    <row r="3276" spans="1:9" ht="14.25" customHeight="1" x14ac:dyDescent="0.3">
      <c r="A3276" s="6">
        <v>42993</v>
      </c>
      <c r="B3276" s="7">
        <v>105.3616</v>
      </c>
      <c r="C3276" s="8">
        <f t="shared" si="25"/>
        <v>141.86196657679915</v>
      </c>
      <c r="D3276" s="9">
        <f t="shared" si="24"/>
        <v>70.70453198938597</v>
      </c>
      <c r="E3276" s="9"/>
      <c r="F3276" s="9">
        <f ca="1">IFERROR(__xludf.DUMMYFUNCTION("""COMPUTED_VALUE"""),42031)</f>
        <v>42031</v>
      </c>
      <c r="G3276" s="9" t="str">
        <f ca="1">IFERROR(__xludf.DUMMYFUNCTION("""COMPUTED_VALUE"""),"1 USD = 100.8179 PKR")</f>
        <v>1 USD = 100.8179 PKR</v>
      </c>
      <c r="H3276" s="9" t="str">
        <f ca="1">IFERROR(__xludf.DUMMYFUNCTION("""COMPUTED_VALUE"""),"USD PKR rate for 27/01/2015")</f>
        <v>USD PKR rate for 27/01/2015</v>
      </c>
      <c r="I3276" s="9"/>
    </row>
    <row r="3277" spans="1:9" ht="14.25" customHeight="1" x14ac:dyDescent="0.3">
      <c r="A3277" s="6">
        <v>42994</v>
      </c>
      <c r="B3277" s="7">
        <v>105.38079999999999</v>
      </c>
      <c r="C3277" s="8">
        <f t="shared" si="25"/>
        <v>141.88733855666024</v>
      </c>
      <c r="D3277" s="9">
        <f t="shared" si="24"/>
        <v>70.707269822183235</v>
      </c>
      <c r="E3277" s="9"/>
      <c r="F3277" s="9">
        <f ca="1">IFERROR(__xludf.DUMMYFUNCTION("""COMPUTED_VALUE"""),42030)</f>
        <v>42030</v>
      </c>
      <c r="G3277" s="9" t="str">
        <f ca="1">IFERROR(__xludf.DUMMYFUNCTION("""COMPUTED_VALUE"""),"1 USD = 100.88 PKR")</f>
        <v>1 USD = 100.88 PKR</v>
      </c>
      <c r="H3277" s="9" t="str">
        <f ca="1">IFERROR(__xludf.DUMMYFUNCTION("""COMPUTED_VALUE"""),"USD PKR rate for 26/01/2015")</f>
        <v>USD PKR rate for 26/01/2015</v>
      </c>
      <c r="I3277" s="9"/>
    </row>
    <row r="3278" spans="1:9" ht="14.25" customHeight="1" x14ac:dyDescent="0.3">
      <c r="A3278" s="6">
        <v>42995</v>
      </c>
      <c r="B3278" s="7">
        <v>105.4242</v>
      </c>
      <c r="C3278" s="8">
        <f t="shared" si="25"/>
        <v>141.91271507429406</v>
      </c>
      <c r="D3278" s="9">
        <f t="shared" si="24"/>
        <v>70.710007654980501</v>
      </c>
      <c r="E3278" s="9"/>
      <c r="F3278" s="9">
        <f ca="1">IFERROR(__xludf.DUMMYFUNCTION("""COMPUTED_VALUE"""),42029)</f>
        <v>42029</v>
      </c>
      <c r="G3278" s="9" t="str">
        <f ca="1">IFERROR(__xludf.DUMMYFUNCTION("""COMPUTED_VALUE"""),"1 USD = 100.7307 PKR")</f>
        <v>1 USD = 100.7307 PKR</v>
      </c>
      <c r="H3278" s="9" t="str">
        <f ca="1">IFERROR(__xludf.DUMMYFUNCTION("""COMPUTED_VALUE"""),"USD PKR rate for 25/01/2015")</f>
        <v>USD PKR rate for 25/01/2015</v>
      </c>
      <c r="I3278" s="9"/>
    </row>
    <row r="3279" spans="1:9" ht="14.25" customHeight="1" x14ac:dyDescent="0.3">
      <c r="A3279" s="6">
        <v>42996</v>
      </c>
      <c r="B3279" s="7">
        <v>105.4268</v>
      </c>
      <c r="C3279" s="8">
        <f t="shared" si="25"/>
        <v>141.93809613051218</v>
      </c>
      <c r="D3279" s="9">
        <f t="shared" si="24"/>
        <v>70.712745487777767</v>
      </c>
      <c r="E3279" s="9"/>
      <c r="F3279" s="9">
        <f ca="1">IFERROR(__xludf.DUMMYFUNCTION("""COMPUTED_VALUE"""),42028)</f>
        <v>42028</v>
      </c>
      <c r="G3279" s="9" t="str">
        <f ca="1">IFERROR(__xludf.DUMMYFUNCTION("""COMPUTED_VALUE"""),"1 USD = 101.1034 PKR")</f>
        <v>1 USD = 101.1034 PKR</v>
      </c>
      <c r="H3279" s="9" t="str">
        <f ca="1">IFERROR(__xludf.DUMMYFUNCTION("""COMPUTED_VALUE"""),"USD PKR rate for 24/01/2015")</f>
        <v>USD PKR rate for 24/01/2015</v>
      </c>
      <c r="I3279" s="9"/>
    </row>
    <row r="3280" spans="1:9" ht="14.25" customHeight="1" x14ac:dyDescent="0.3">
      <c r="A3280" s="6">
        <v>42997</v>
      </c>
      <c r="B3280" s="7">
        <v>105.3629</v>
      </c>
      <c r="C3280" s="8">
        <f t="shared" si="25"/>
        <v>141.9634817261263</v>
      </c>
      <c r="D3280" s="9">
        <f t="shared" si="24"/>
        <v>70.715483320575032</v>
      </c>
      <c r="E3280" s="9"/>
      <c r="F3280" s="9">
        <f ca="1">IFERROR(__xludf.DUMMYFUNCTION("""COMPUTED_VALUE"""),42027)</f>
        <v>42027</v>
      </c>
      <c r="G3280" s="9" t="str">
        <f ca="1">IFERROR(__xludf.DUMMYFUNCTION("""COMPUTED_VALUE"""),"1 USD = 100.8145 PKR")</f>
        <v>1 USD = 100.8145 PKR</v>
      </c>
      <c r="H3280" s="9" t="str">
        <f ca="1">IFERROR(__xludf.DUMMYFUNCTION("""COMPUTED_VALUE"""),"USD PKR rate for 23/01/2015")</f>
        <v>USD PKR rate for 23/01/2015</v>
      </c>
      <c r="I3280" s="9"/>
    </row>
    <row r="3281" spans="1:9" ht="14.25" customHeight="1" x14ac:dyDescent="0.3">
      <c r="A3281" s="6">
        <v>42998</v>
      </c>
      <c r="B3281" s="7">
        <v>105.36409999999999</v>
      </c>
      <c r="C3281" s="8">
        <f t="shared" si="25"/>
        <v>141.98887186194833</v>
      </c>
      <c r="D3281" s="9">
        <f t="shared" si="24"/>
        <v>70.718221153372298</v>
      </c>
      <c r="E3281" s="9"/>
      <c r="F3281" s="9">
        <f ca="1">IFERROR(__xludf.DUMMYFUNCTION("""COMPUTED_VALUE"""),42026)</f>
        <v>42026</v>
      </c>
      <c r="G3281" s="9" t="str">
        <f ca="1">IFERROR(__xludf.DUMMYFUNCTION("""COMPUTED_VALUE"""),"1 USD = 100.865 PKR")</f>
        <v>1 USD = 100.865 PKR</v>
      </c>
      <c r="H3281" s="9" t="str">
        <f ca="1">IFERROR(__xludf.DUMMYFUNCTION("""COMPUTED_VALUE"""),"USD PKR rate for 22/01/2015")</f>
        <v>USD PKR rate for 22/01/2015</v>
      </c>
      <c r="I3281" s="9"/>
    </row>
    <row r="3282" spans="1:9" ht="14.25" customHeight="1" x14ac:dyDescent="0.3">
      <c r="A3282" s="6">
        <v>42999</v>
      </c>
      <c r="B3282" s="7">
        <v>105.0575</v>
      </c>
      <c r="C3282" s="8">
        <f t="shared" si="25"/>
        <v>142.01426653879031</v>
      </c>
      <c r="D3282" s="9">
        <f t="shared" si="24"/>
        <v>70.720958986169563</v>
      </c>
      <c r="E3282" s="9"/>
      <c r="F3282" s="9">
        <f ca="1">IFERROR(__xludf.DUMMYFUNCTION("""COMPUTED_VALUE"""),42025)</f>
        <v>42025</v>
      </c>
      <c r="G3282" s="9" t="str">
        <f ca="1">IFERROR(__xludf.DUMMYFUNCTION("""COMPUTED_VALUE"""),"1 USD = 100.69 PKR")</f>
        <v>1 USD = 100.69 PKR</v>
      </c>
      <c r="H3282" s="9" t="str">
        <f ca="1">IFERROR(__xludf.DUMMYFUNCTION("""COMPUTED_VALUE"""),"USD PKR rate for 21/01/2015")</f>
        <v>USD PKR rate for 21/01/2015</v>
      </c>
      <c r="I3282" s="9"/>
    </row>
    <row r="3283" spans="1:9" ht="14.25" customHeight="1" x14ac:dyDescent="0.3">
      <c r="A3283" s="6">
        <v>43000</v>
      </c>
      <c r="B3283" s="7">
        <v>105.2758</v>
      </c>
      <c r="C3283" s="8">
        <f t="shared" si="25"/>
        <v>142.03966575746432</v>
      </c>
      <c r="D3283" s="9">
        <f t="shared" si="24"/>
        <v>70.723696818966829</v>
      </c>
      <c r="E3283" s="9"/>
      <c r="F3283" s="9">
        <f ca="1">IFERROR(__xludf.DUMMYFUNCTION("""COMPUTED_VALUE"""),42024)</f>
        <v>42024</v>
      </c>
      <c r="G3283" s="9" t="str">
        <f ca="1">IFERROR(__xludf.DUMMYFUNCTION("""COMPUTED_VALUE"""),"1 USD = 100.7294 PKR")</f>
        <v>1 USD = 100.7294 PKR</v>
      </c>
      <c r="H3283" s="9" t="str">
        <f ca="1">IFERROR(__xludf.DUMMYFUNCTION("""COMPUTED_VALUE"""),"USD PKR rate for 20/01/2015")</f>
        <v>USD PKR rate for 20/01/2015</v>
      </c>
      <c r="I3283" s="9"/>
    </row>
    <row r="3284" spans="1:9" ht="14.25" customHeight="1" x14ac:dyDescent="0.3">
      <c r="A3284" s="6">
        <v>43001</v>
      </c>
      <c r="B3284" s="7">
        <v>105.2758</v>
      </c>
      <c r="C3284" s="8">
        <f t="shared" si="25"/>
        <v>142.06506951878259</v>
      </c>
      <c r="D3284" s="9">
        <f t="shared" si="24"/>
        <v>70.726434651764094</v>
      </c>
      <c r="E3284" s="9"/>
      <c r="F3284" s="9">
        <f ca="1">IFERROR(__xludf.DUMMYFUNCTION("""COMPUTED_VALUE"""),42023)</f>
        <v>42023</v>
      </c>
      <c r="G3284" s="9" t="str">
        <f ca="1">IFERROR(__xludf.DUMMYFUNCTION("""COMPUTED_VALUE"""),"1 USD = 100.7523 PKR")</f>
        <v>1 USD = 100.7523 PKR</v>
      </c>
      <c r="H3284" s="9" t="str">
        <f ca="1">IFERROR(__xludf.DUMMYFUNCTION("""COMPUTED_VALUE"""),"USD PKR rate for 19/01/2015")</f>
        <v>USD PKR rate for 19/01/2015</v>
      </c>
      <c r="I3284" s="9"/>
    </row>
    <row r="3285" spans="1:9" ht="14.25" customHeight="1" x14ac:dyDescent="0.3">
      <c r="A3285" s="6">
        <v>43002</v>
      </c>
      <c r="B3285" s="7">
        <v>105.5217</v>
      </c>
      <c r="C3285" s="8">
        <f t="shared" si="25"/>
        <v>142.09047782355779</v>
      </c>
      <c r="D3285" s="9">
        <f t="shared" si="24"/>
        <v>70.72917248456136</v>
      </c>
      <c r="E3285" s="9"/>
      <c r="F3285" s="9">
        <f ca="1">IFERROR(__xludf.DUMMYFUNCTION("""COMPUTED_VALUE"""),42022)</f>
        <v>42022</v>
      </c>
      <c r="G3285" s="9" t="str">
        <f ca="1">IFERROR(__xludf.DUMMYFUNCTION("""COMPUTED_VALUE"""),"1 USD = 100.7112 PKR")</f>
        <v>1 USD = 100.7112 PKR</v>
      </c>
      <c r="H3285" s="9" t="str">
        <f ca="1">IFERROR(__xludf.DUMMYFUNCTION("""COMPUTED_VALUE"""),"USD PKR rate for 18/01/2015")</f>
        <v>USD PKR rate for 18/01/2015</v>
      </c>
      <c r="I3285" s="9"/>
    </row>
    <row r="3286" spans="1:9" ht="14.25" customHeight="1" x14ac:dyDescent="0.3">
      <c r="A3286" s="6">
        <v>43003</v>
      </c>
      <c r="B3286" s="7">
        <v>105.3694</v>
      </c>
      <c r="C3286" s="8">
        <f t="shared" si="25"/>
        <v>142.11589067260243</v>
      </c>
      <c r="D3286" s="9">
        <f t="shared" si="24"/>
        <v>70.731910317358626</v>
      </c>
      <c r="E3286" s="9"/>
      <c r="F3286" s="9">
        <f ca="1">IFERROR(__xludf.DUMMYFUNCTION("""COMPUTED_VALUE"""),42021)</f>
        <v>42021</v>
      </c>
      <c r="G3286" s="9" t="str">
        <f ca="1">IFERROR(__xludf.DUMMYFUNCTION("""COMPUTED_VALUE"""),"1 USD = 100.8017 PKR")</f>
        <v>1 USD = 100.8017 PKR</v>
      </c>
      <c r="H3286" s="9" t="str">
        <f ca="1">IFERROR(__xludf.DUMMYFUNCTION("""COMPUTED_VALUE"""),"USD PKR rate for 17/01/2015")</f>
        <v>USD PKR rate for 17/01/2015</v>
      </c>
      <c r="I3286" s="9"/>
    </row>
    <row r="3287" spans="1:9" ht="14.25" customHeight="1" x14ac:dyDescent="0.3">
      <c r="A3287" s="6">
        <v>43004</v>
      </c>
      <c r="B3287" s="7">
        <v>105.375</v>
      </c>
      <c r="C3287" s="8">
        <f t="shared" si="25"/>
        <v>142.14130806672927</v>
      </c>
      <c r="D3287" s="9">
        <f t="shared" si="24"/>
        <v>70.734648150155891</v>
      </c>
      <c r="E3287" s="9"/>
      <c r="F3287" s="9">
        <f ca="1">IFERROR(__xludf.DUMMYFUNCTION("""COMPUTED_VALUE"""),42020)</f>
        <v>42020</v>
      </c>
      <c r="G3287" s="9" t="str">
        <f ca="1">IFERROR(__xludf.DUMMYFUNCTION("""COMPUTED_VALUE"""),"1 USD = 100.7248 PKR")</f>
        <v>1 USD = 100.7248 PKR</v>
      </c>
      <c r="H3287" s="9" t="str">
        <f ca="1">IFERROR(__xludf.DUMMYFUNCTION("""COMPUTED_VALUE"""),"USD PKR rate for 16/01/2015")</f>
        <v>USD PKR rate for 16/01/2015</v>
      </c>
      <c r="I3287" s="9"/>
    </row>
    <row r="3288" spans="1:9" ht="14.25" customHeight="1" x14ac:dyDescent="0.3">
      <c r="A3288" s="6">
        <v>43005</v>
      </c>
      <c r="B3288" s="7">
        <v>105.38509999999999</v>
      </c>
      <c r="C3288" s="8">
        <f t="shared" si="25"/>
        <v>142.16673000675112</v>
      </c>
      <c r="D3288" s="9">
        <f t="shared" si="24"/>
        <v>70.737385982953157</v>
      </c>
      <c r="E3288" s="9"/>
      <c r="F3288" s="9">
        <f ca="1">IFERROR(__xludf.DUMMYFUNCTION("""COMPUTED_VALUE"""),42019)</f>
        <v>42019</v>
      </c>
      <c r="G3288" s="9" t="str">
        <f ca="1">IFERROR(__xludf.DUMMYFUNCTION("""COMPUTED_VALUE"""),"1 USD = 100.6402 PKR")</f>
        <v>1 USD = 100.6402 PKR</v>
      </c>
      <c r="H3288" s="9" t="str">
        <f ca="1">IFERROR(__xludf.DUMMYFUNCTION("""COMPUTED_VALUE"""),"USD PKR rate for 15/01/2015")</f>
        <v>USD PKR rate for 15/01/2015</v>
      </c>
      <c r="I3288" s="9"/>
    </row>
    <row r="3289" spans="1:9" ht="14.25" customHeight="1" x14ac:dyDescent="0.3">
      <c r="A3289" s="6">
        <v>43006</v>
      </c>
      <c r="B3289" s="7">
        <v>105.4324</v>
      </c>
      <c r="C3289" s="8">
        <f t="shared" si="25"/>
        <v>142.19215649348106</v>
      </c>
      <c r="D3289" s="9">
        <f t="shared" si="24"/>
        <v>70.740123815750422</v>
      </c>
      <c r="E3289" s="9"/>
      <c r="F3289" s="9">
        <f ca="1">IFERROR(__xludf.DUMMYFUNCTION("""COMPUTED_VALUE"""),42018)</f>
        <v>42018</v>
      </c>
      <c r="G3289" s="9" t="str">
        <f ca="1">IFERROR(__xludf.DUMMYFUNCTION("""COMPUTED_VALUE"""),"1 USD = 100.5849 PKR")</f>
        <v>1 USD = 100.5849 PKR</v>
      </c>
      <c r="H3289" s="9" t="str">
        <f ca="1">IFERROR(__xludf.DUMMYFUNCTION("""COMPUTED_VALUE"""),"USD PKR rate for 14/01/2015")</f>
        <v>USD PKR rate for 14/01/2015</v>
      </c>
      <c r="I3289" s="9"/>
    </row>
    <row r="3290" spans="1:9" ht="14.25" customHeight="1" x14ac:dyDescent="0.3">
      <c r="A3290" s="6">
        <v>43007</v>
      </c>
      <c r="B3290" s="7">
        <v>105.9996</v>
      </c>
      <c r="C3290" s="8">
        <f t="shared" si="25"/>
        <v>142.21758752773229</v>
      </c>
      <c r="D3290" s="9">
        <f t="shared" si="24"/>
        <v>70.742861648547688</v>
      </c>
      <c r="E3290" s="9"/>
      <c r="F3290" s="9">
        <f ca="1">IFERROR(__xludf.DUMMYFUNCTION("""COMPUTED_VALUE"""),42017)</f>
        <v>42017</v>
      </c>
      <c r="G3290" s="9" t="str">
        <f ca="1">IFERROR(__xludf.DUMMYFUNCTION("""COMPUTED_VALUE"""),"1 USD = 100.5777 PKR")</f>
        <v>1 USD = 100.5777 PKR</v>
      </c>
      <c r="H3290" s="9" t="str">
        <f ca="1">IFERROR(__xludf.DUMMYFUNCTION("""COMPUTED_VALUE"""),"USD PKR rate for 13/01/2015")</f>
        <v>USD PKR rate for 13/01/2015</v>
      </c>
      <c r="I3290" s="9"/>
    </row>
    <row r="3291" spans="1:9" ht="14.25" customHeight="1" x14ac:dyDescent="0.3">
      <c r="A3291" s="6">
        <v>43008</v>
      </c>
      <c r="B3291" s="7">
        <v>105.9996</v>
      </c>
      <c r="C3291" s="8">
        <f t="shared" si="25"/>
        <v>142.24302311031806</v>
      </c>
      <c r="D3291" s="9">
        <f t="shared" si="24"/>
        <v>70.745599481344954</v>
      </c>
      <c r="E3291" s="9"/>
      <c r="F3291" s="9">
        <f ca="1">IFERROR(__xludf.DUMMYFUNCTION("""COMPUTED_VALUE"""),42016)</f>
        <v>42016</v>
      </c>
      <c r="G3291" s="9" t="str">
        <f ca="1">IFERROR(__xludf.DUMMYFUNCTION("""COMPUTED_VALUE"""),"1 USD = 100.6049 PKR")</f>
        <v>1 USD = 100.6049 PKR</v>
      </c>
      <c r="H3291" s="9" t="str">
        <f ca="1">IFERROR(__xludf.DUMMYFUNCTION("""COMPUTED_VALUE"""),"USD PKR rate for 12/01/2015")</f>
        <v>USD PKR rate for 12/01/2015</v>
      </c>
      <c r="I3291" s="9"/>
    </row>
    <row r="3292" spans="1:9" ht="14.25" customHeight="1" x14ac:dyDescent="0.3">
      <c r="A3292" s="6">
        <v>43009</v>
      </c>
      <c r="B3292" s="7">
        <v>105.89450000000001</v>
      </c>
      <c r="C3292" s="8">
        <f t="shared" si="25"/>
        <v>142.26846324205192</v>
      </c>
      <c r="D3292" s="9">
        <f t="shared" si="24"/>
        <v>70.748337314142219</v>
      </c>
      <c r="E3292" s="9"/>
      <c r="F3292" s="9">
        <f ca="1">IFERROR(__xludf.DUMMYFUNCTION("""COMPUTED_VALUE"""),42015)</f>
        <v>42015</v>
      </c>
      <c r="G3292" s="9" t="str">
        <f ca="1">IFERROR(__xludf.DUMMYFUNCTION("""COMPUTED_VALUE"""),"1 USD = 100.6465 PKR")</f>
        <v>1 USD = 100.6465 PKR</v>
      </c>
      <c r="H3292" s="9" t="str">
        <f ca="1">IFERROR(__xludf.DUMMYFUNCTION("""COMPUTED_VALUE"""),"USD PKR rate for 11/01/2015")</f>
        <v>USD PKR rate for 11/01/2015</v>
      </c>
      <c r="I3292" s="9"/>
    </row>
    <row r="3293" spans="1:9" ht="14.25" customHeight="1" x14ac:dyDescent="0.3">
      <c r="A3293" s="6">
        <v>43010</v>
      </c>
      <c r="B3293" s="7">
        <v>105.5149</v>
      </c>
      <c r="C3293" s="8">
        <f t="shared" si="25"/>
        <v>142.29390792374744</v>
      </c>
      <c r="D3293" s="9">
        <f t="shared" si="24"/>
        <v>70.751075146939485</v>
      </c>
      <c r="E3293" s="9"/>
      <c r="F3293" s="9">
        <f ca="1">IFERROR(__xludf.DUMMYFUNCTION("""COMPUTED_VALUE"""),42014)</f>
        <v>42014</v>
      </c>
      <c r="G3293" s="9" t="str">
        <f ca="1">IFERROR(__xludf.DUMMYFUNCTION("""COMPUTED_VALUE"""),"1 USD = 100.7231 PKR")</f>
        <v>1 USD = 100.7231 PKR</v>
      </c>
      <c r="H3293" s="9" t="str">
        <f ca="1">IFERROR(__xludf.DUMMYFUNCTION("""COMPUTED_VALUE"""),"USD PKR rate for 10/01/2015")</f>
        <v>USD PKR rate for 10/01/2015</v>
      </c>
      <c r="I3293" s="9"/>
    </row>
    <row r="3294" spans="1:9" ht="14.25" customHeight="1" x14ac:dyDescent="0.3">
      <c r="A3294" s="6">
        <v>43011</v>
      </c>
      <c r="B3294" s="7">
        <v>105.55759999999999</v>
      </c>
      <c r="C3294" s="8">
        <f t="shared" si="25"/>
        <v>142.31935715621825</v>
      </c>
      <c r="D3294" s="9">
        <f t="shared" si="24"/>
        <v>70.75381297973675</v>
      </c>
      <c r="E3294" s="9"/>
      <c r="F3294" s="9">
        <f ca="1">IFERROR(__xludf.DUMMYFUNCTION("""COMPUTED_VALUE"""),42013)</f>
        <v>42013</v>
      </c>
      <c r="G3294" s="9" t="str">
        <f ca="1">IFERROR(__xludf.DUMMYFUNCTION("""COMPUTED_VALUE"""),"1 USD = 100.7355 PKR")</f>
        <v>1 USD = 100.7355 PKR</v>
      </c>
      <c r="H3294" s="9" t="str">
        <f ca="1">IFERROR(__xludf.DUMMYFUNCTION("""COMPUTED_VALUE"""),"USD PKR rate for 09/01/2015")</f>
        <v>USD PKR rate for 09/01/2015</v>
      </c>
      <c r="I3294" s="9"/>
    </row>
    <row r="3295" spans="1:9" ht="14.25" customHeight="1" x14ac:dyDescent="0.3">
      <c r="A3295" s="6">
        <v>43012</v>
      </c>
      <c r="B3295" s="7">
        <v>105.50709999999999</v>
      </c>
      <c r="C3295" s="8">
        <f t="shared" si="25"/>
        <v>142.34481094027853</v>
      </c>
      <c r="D3295" s="9">
        <f t="shared" si="24"/>
        <v>70.756550812534016</v>
      </c>
      <c r="E3295" s="9"/>
      <c r="F3295" s="9">
        <f ca="1">IFERROR(__xludf.DUMMYFUNCTION("""COMPUTED_VALUE"""),42012)</f>
        <v>42012</v>
      </c>
      <c r="G3295" s="9" t="str">
        <f ca="1">IFERROR(__xludf.DUMMYFUNCTION("""COMPUTED_VALUE"""),"1 USD = 100.78 PKR")</f>
        <v>1 USD = 100.78 PKR</v>
      </c>
      <c r="H3295" s="9" t="str">
        <f ca="1">IFERROR(__xludf.DUMMYFUNCTION("""COMPUTED_VALUE"""),"USD PKR rate for 08/01/2015")</f>
        <v>USD PKR rate for 08/01/2015</v>
      </c>
      <c r="I3295" s="9"/>
    </row>
    <row r="3296" spans="1:9" ht="14.25" customHeight="1" x14ac:dyDescent="0.3">
      <c r="A3296" s="6">
        <v>43013</v>
      </c>
      <c r="B3296" s="7">
        <v>105.65089999999999</v>
      </c>
      <c r="C3296" s="8">
        <f t="shared" si="25"/>
        <v>142.37026927674219</v>
      </c>
      <c r="D3296" s="9">
        <f t="shared" si="24"/>
        <v>70.759288645331281</v>
      </c>
      <c r="E3296" s="9"/>
      <c r="F3296" s="9">
        <f ca="1">IFERROR(__xludf.DUMMYFUNCTION("""COMPUTED_VALUE"""),42011)</f>
        <v>42011</v>
      </c>
      <c r="G3296" s="9" t="str">
        <f ca="1">IFERROR(__xludf.DUMMYFUNCTION("""COMPUTED_VALUE"""),"1 USD = 100.8563 PKR")</f>
        <v>1 USD = 100.8563 PKR</v>
      </c>
      <c r="H3296" s="9" t="str">
        <f ca="1">IFERROR(__xludf.DUMMYFUNCTION("""COMPUTED_VALUE"""),"USD PKR rate for 07/01/2015")</f>
        <v>USD PKR rate for 07/01/2015</v>
      </c>
      <c r="I3296" s="9"/>
    </row>
    <row r="3297" spans="1:9" ht="14.25" customHeight="1" x14ac:dyDescent="0.3">
      <c r="A3297" s="6">
        <v>43014</v>
      </c>
      <c r="B3297" s="7">
        <v>105.0517</v>
      </c>
      <c r="C3297" s="8">
        <f t="shared" si="25"/>
        <v>142.39573216642344</v>
      </c>
      <c r="D3297" s="9">
        <f t="shared" si="24"/>
        <v>70.762026478128547</v>
      </c>
      <c r="E3297" s="9"/>
      <c r="F3297" s="9">
        <f ca="1">IFERROR(__xludf.DUMMYFUNCTION("""COMPUTED_VALUE"""),42010)</f>
        <v>42010</v>
      </c>
      <c r="G3297" s="9" t="str">
        <f ca="1">IFERROR(__xludf.DUMMYFUNCTION("""COMPUTED_VALUE"""),"1 USD = 101.005 PKR")</f>
        <v>1 USD = 101.005 PKR</v>
      </c>
      <c r="H3297" s="9" t="str">
        <f ca="1">IFERROR(__xludf.DUMMYFUNCTION("""COMPUTED_VALUE"""),"USD PKR rate for 06/01/2015")</f>
        <v>USD PKR rate for 06/01/2015</v>
      </c>
      <c r="I3297" s="9"/>
    </row>
    <row r="3298" spans="1:9" ht="14.25" customHeight="1" x14ac:dyDescent="0.3">
      <c r="A3298" s="6">
        <v>43015</v>
      </c>
      <c r="B3298" s="7">
        <v>105.01390000000001</v>
      </c>
      <c r="C3298" s="8">
        <f t="shared" si="25"/>
        <v>142.42119961013657</v>
      </c>
      <c r="D3298" s="9">
        <f t="shared" si="24"/>
        <v>70.764764310925813</v>
      </c>
      <c r="E3298" s="9"/>
      <c r="F3298" s="9">
        <f ca="1">IFERROR(__xludf.DUMMYFUNCTION("""COMPUTED_VALUE"""),42009)</f>
        <v>42009</v>
      </c>
      <c r="G3298" s="9" t="str">
        <f ca="1">IFERROR(__xludf.DUMMYFUNCTION("""COMPUTED_VALUE"""),"1 USD = 100.8544 PKR")</f>
        <v>1 USD = 100.8544 PKR</v>
      </c>
      <c r="H3298" s="9" t="str">
        <f ca="1">IFERROR(__xludf.DUMMYFUNCTION("""COMPUTED_VALUE"""),"USD PKR rate for 05/01/2015")</f>
        <v>USD PKR rate for 05/01/2015</v>
      </c>
      <c r="I3298" s="9"/>
    </row>
    <row r="3299" spans="1:9" ht="14.25" customHeight="1" x14ac:dyDescent="0.3">
      <c r="A3299" s="6">
        <v>43016</v>
      </c>
      <c r="B3299" s="7">
        <v>105.00810000000001</v>
      </c>
      <c r="C3299" s="8">
        <f t="shared" si="25"/>
        <v>142.44667160869616</v>
      </c>
      <c r="D3299" s="9">
        <f t="shared" si="24"/>
        <v>70.767502143723078</v>
      </c>
      <c r="E3299" s="9"/>
      <c r="F3299" s="9">
        <f ca="1">IFERROR(__xludf.DUMMYFUNCTION("""COMPUTED_VALUE"""),42008)</f>
        <v>42008</v>
      </c>
      <c r="G3299" s="9" t="str">
        <f ca="1">IFERROR(__xludf.DUMMYFUNCTION("""COMPUTED_VALUE"""),"1 USD = 100.9213 PKR")</f>
        <v>1 USD = 100.9213 PKR</v>
      </c>
      <c r="H3299" s="9" t="str">
        <f ca="1">IFERROR(__xludf.DUMMYFUNCTION("""COMPUTED_VALUE"""),"USD PKR rate for 04/01/2015")</f>
        <v>USD PKR rate for 04/01/2015</v>
      </c>
      <c r="I3299" s="9"/>
    </row>
    <row r="3300" spans="1:9" ht="14.25" customHeight="1" x14ac:dyDescent="0.3">
      <c r="A3300" s="6">
        <v>43017</v>
      </c>
      <c r="B3300" s="7">
        <v>105.2894</v>
      </c>
      <c r="C3300" s="8">
        <f t="shared" si="25"/>
        <v>142.47214816291674</v>
      </c>
      <c r="D3300" s="9">
        <f t="shared" si="24"/>
        <v>70.770239976520344</v>
      </c>
      <c r="E3300" s="9"/>
      <c r="F3300" s="9">
        <f ca="1">IFERROR(__xludf.DUMMYFUNCTION("""COMPUTED_VALUE"""),42007)</f>
        <v>42007</v>
      </c>
      <c r="G3300" s="9" t="str">
        <f ca="1">IFERROR(__xludf.DUMMYFUNCTION("""COMPUTED_VALUE"""),"1 USD = 100.8712 PKR")</f>
        <v>1 USD = 100.8712 PKR</v>
      </c>
      <c r="H3300" s="9" t="str">
        <f ca="1">IFERROR(__xludf.DUMMYFUNCTION("""COMPUTED_VALUE"""),"USD PKR rate for 03/01/2015")</f>
        <v>USD PKR rate for 03/01/2015</v>
      </c>
      <c r="I3300" s="9"/>
    </row>
    <row r="3301" spans="1:9" ht="14.25" customHeight="1" x14ac:dyDescent="0.3">
      <c r="A3301" s="6">
        <v>43018</v>
      </c>
      <c r="B3301" s="7">
        <v>105.00109999999999</v>
      </c>
      <c r="C3301" s="8">
        <f t="shared" si="25"/>
        <v>142.49762927361317</v>
      </c>
      <c r="D3301" s="9">
        <f t="shared" si="24"/>
        <v>70.772977809317609</v>
      </c>
      <c r="E3301" s="9"/>
      <c r="F3301" s="9">
        <f ca="1">IFERROR(__xludf.DUMMYFUNCTION("""COMPUTED_VALUE"""),42006)</f>
        <v>42006</v>
      </c>
      <c r="G3301" s="9" t="str">
        <f ca="1">IFERROR(__xludf.DUMMYFUNCTION("""COMPUTED_VALUE"""),"1 USD = 100.8602 PKR")</f>
        <v>1 USD = 100.8602 PKR</v>
      </c>
      <c r="H3301" s="9" t="str">
        <f ca="1">IFERROR(__xludf.DUMMYFUNCTION("""COMPUTED_VALUE"""),"USD PKR rate for 02/01/2015")</f>
        <v>USD PKR rate for 02/01/2015</v>
      </c>
      <c r="I3301" s="9"/>
    </row>
    <row r="3302" spans="1:9" ht="14.25" customHeight="1" x14ac:dyDescent="0.3">
      <c r="A3302" s="6">
        <v>43019</v>
      </c>
      <c r="B3302" s="7">
        <v>104.834</v>
      </c>
      <c r="C3302" s="8">
        <f t="shared" si="25"/>
        <v>142.52311494160037</v>
      </c>
      <c r="D3302" s="9">
        <f t="shared" si="24"/>
        <v>70.775715642114875</v>
      </c>
      <c r="E3302" s="9"/>
      <c r="F3302" s="9">
        <f ca="1">IFERROR(__xludf.DUMMYFUNCTION("""COMPUTED_VALUE"""),42005)</f>
        <v>42005</v>
      </c>
      <c r="G3302" s="9" t="str">
        <f ca="1">IFERROR(__xludf.DUMMYFUNCTION("""COMPUTED_VALUE"""),"1 USD = 100.8162 PKR")</f>
        <v>1 USD = 100.8162 PKR</v>
      </c>
      <c r="H3302" s="9" t="str">
        <f ca="1">IFERROR(__xludf.DUMMYFUNCTION("""COMPUTED_VALUE"""),"USD PKR rate for 01/01/2015")</f>
        <v>USD PKR rate for 01/01/2015</v>
      </c>
      <c r="I3302" s="9"/>
    </row>
    <row r="3303" spans="1:9" ht="14.25" customHeight="1" x14ac:dyDescent="0.3">
      <c r="A3303" s="6">
        <v>43020</v>
      </c>
      <c r="B3303" s="7">
        <v>105.2642</v>
      </c>
      <c r="C3303" s="8">
        <f t="shared" si="25"/>
        <v>142.54860516769321</v>
      </c>
      <c r="D3303" s="9">
        <f t="shared" si="24"/>
        <v>70.778453474912141</v>
      </c>
      <c r="E3303" s="9"/>
      <c r="F3303" s="9">
        <f ca="1">IFERROR(__xludf.DUMMYFUNCTION("""COMPUTED_VALUE"""),42004)</f>
        <v>42004</v>
      </c>
      <c r="G3303" s="9" t="str">
        <f ca="1">IFERROR(__xludf.DUMMYFUNCTION("""COMPUTED_VALUE"""),"1 USD = 100.6619 PKR")</f>
        <v>1 USD = 100.6619 PKR</v>
      </c>
      <c r="H3303" s="9" t="str">
        <f ca="1">IFERROR(__xludf.DUMMYFUNCTION("""COMPUTED_VALUE"""),"USD PKR rate for 31/12/2014")</f>
        <v>USD PKR rate for 31/12/2014</v>
      </c>
      <c r="I3303" s="9"/>
    </row>
    <row r="3304" spans="1:9" ht="14.25" customHeight="1" x14ac:dyDescent="0.3">
      <c r="A3304" s="6">
        <v>43021</v>
      </c>
      <c r="B3304" s="7">
        <v>105.37530000000001</v>
      </c>
      <c r="C3304" s="8">
        <f t="shared" si="25"/>
        <v>142.57409995270723</v>
      </c>
      <c r="D3304" s="9">
        <f t="shared" si="24"/>
        <v>70.781191307709406</v>
      </c>
      <c r="E3304" s="9"/>
      <c r="F3304" s="9">
        <f ca="1">IFERROR(__xludf.DUMMYFUNCTION("""COMPUTED_VALUE"""),42003)</f>
        <v>42003</v>
      </c>
      <c r="G3304" s="9" t="str">
        <f ca="1">IFERROR(__xludf.DUMMYFUNCTION("""COMPUTED_VALUE"""),"1 USD = 100.6988 PKR")</f>
        <v>1 USD = 100.6988 PKR</v>
      </c>
      <c r="H3304" s="9" t="str">
        <f ca="1">IFERROR(__xludf.DUMMYFUNCTION("""COMPUTED_VALUE"""),"USD PKR rate for 30/12/2014")</f>
        <v>USD PKR rate for 30/12/2014</v>
      </c>
      <c r="I3304" s="9"/>
    </row>
    <row r="3305" spans="1:9" ht="14.25" customHeight="1" x14ac:dyDescent="0.3">
      <c r="A3305" s="6">
        <v>43022</v>
      </c>
      <c r="B3305" s="7">
        <v>105.383</v>
      </c>
      <c r="C3305" s="8">
        <f t="shared" si="25"/>
        <v>142.59959929745764</v>
      </c>
      <c r="D3305" s="9">
        <f t="shared" si="24"/>
        <v>70.783929140506672</v>
      </c>
      <c r="E3305" s="9"/>
      <c r="F3305" s="9">
        <f ca="1">IFERROR(__xludf.DUMMYFUNCTION("""COMPUTED_VALUE"""),42002)</f>
        <v>42002</v>
      </c>
      <c r="G3305" s="9" t="str">
        <f ca="1">IFERROR(__xludf.DUMMYFUNCTION("""COMPUTED_VALUE"""),"1 USD = 101.0118 PKR")</f>
        <v>1 USD = 101.0118 PKR</v>
      </c>
      <c r="H3305" s="9" t="str">
        <f ca="1">IFERROR(__xludf.DUMMYFUNCTION("""COMPUTED_VALUE"""),"USD PKR rate for 29/12/2014")</f>
        <v>USD PKR rate for 29/12/2014</v>
      </c>
      <c r="I3305" s="9"/>
    </row>
    <row r="3306" spans="1:9" ht="14.25" customHeight="1" x14ac:dyDescent="0.3">
      <c r="A3306" s="6">
        <v>43023</v>
      </c>
      <c r="B3306" s="7">
        <v>105.36980000000001</v>
      </c>
      <c r="C3306" s="8">
        <f t="shared" si="25"/>
        <v>142.62510320275999</v>
      </c>
      <c r="D3306" s="9">
        <f t="shared" si="24"/>
        <v>70.786666973303937</v>
      </c>
      <c r="E3306" s="9"/>
      <c r="F3306" s="9">
        <f ca="1">IFERROR(__xludf.DUMMYFUNCTION("""COMPUTED_VALUE"""),42001)</f>
        <v>42001</v>
      </c>
      <c r="G3306" s="9" t="str">
        <f ca="1">IFERROR(__xludf.DUMMYFUNCTION("""COMPUTED_VALUE"""),"1 USD = 100.7858 PKR")</f>
        <v>1 USD = 100.7858 PKR</v>
      </c>
      <c r="H3306" s="9" t="str">
        <f ca="1">IFERROR(__xludf.DUMMYFUNCTION("""COMPUTED_VALUE"""),"USD PKR rate for 28/12/2014")</f>
        <v>USD PKR rate for 28/12/2014</v>
      </c>
      <c r="I3306" s="9"/>
    </row>
    <row r="3307" spans="1:9" ht="14.25" customHeight="1" x14ac:dyDescent="0.3">
      <c r="A3307" s="6">
        <v>43024</v>
      </c>
      <c r="B3307" s="7">
        <v>105.29</v>
      </c>
      <c r="C3307" s="8">
        <f t="shared" si="25"/>
        <v>142.65061166942988</v>
      </c>
      <c r="D3307" s="9">
        <f t="shared" si="24"/>
        <v>70.789404806101203</v>
      </c>
      <c r="E3307" s="9"/>
      <c r="F3307" s="9">
        <f ca="1">IFERROR(__xludf.DUMMYFUNCTION("""COMPUTED_VALUE"""),42000)</f>
        <v>42000</v>
      </c>
      <c r="G3307" s="9" t="str">
        <f ca="1">IFERROR(__xludf.DUMMYFUNCTION("""COMPUTED_VALUE"""),"1 USD = 100.7787 PKR")</f>
        <v>1 USD = 100.7787 PKR</v>
      </c>
      <c r="H3307" s="9" t="str">
        <f ca="1">IFERROR(__xludf.DUMMYFUNCTION("""COMPUTED_VALUE"""),"USD PKR rate for 27/12/2014")</f>
        <v>USD PKR rate for 27/12/2014</v>
      </c>
      <c r="I3307" s="9"/>
    </row>
    <row r="3308" spans="1:9" ht="14.25" customHeight="1" x14ac:dyDescent="0.3">
      <c r="A3308" s="6">
        <v>43025</v>
      </c>
      <c r="B3308" s="7">
        <v>105.28579999999999</v>
      </c>
      <c r="C3308" s="8">
        <f t="shared" si="25"/>
        <v>142.67612469828308</v>
      </c>
      <c r="D3308" s="9">
        <f t="shared" si="24"/>
        <v>70.792142638898468</v>
      </c>
      <c r="E3308" s="9"/>
      <c r="F3308" s="9">
        <f ca="1">IFERROR(__xludf.DUMMYFUNCTION("""COMPUTED_VALUE"""),41999)</f>
        <v>41999</v>
      </c>
      <c r="G3308" s="9" t="str">
        <f ca="1">IFERROR(__xludf.DUMMYFUNCTION("""COMPUTED_VALUE"""),"1 USD = 100.7087 PKR")</f>
        <v>1 USD = 100.7087 PKR</v>
      </c>
      <c r="H3308" s="9" t="str">
        <f ca="1">IFERROR(__xludf.DUMMYFUNCTION("""COMPUTED_VALUE"""),"USD PKR rate for 26/12/2014")</f>
        <v>USD PKR rate for 26/12/2014</v>
      </c>
      <c r="I3308" s="9"/>
    </row>
    <row r="3309" spans="1:9" ht="14.25" customHeight="1" x14ac:dyDescent="0.3">
      <c r="A3309" s="6">
        <v>43026</v>
      </c>
      <c r="B3309" s="7">
        <v>104.95959999999999</v>
      </c>
      <c r="C3309" s="8">
        <f t="shared" si="25"/>
        <v>142.70164229013562</v>
      </c>
      <c r="D3309" s="9">
        <f t="shared" si="24"/>
        <v>70.794880471695734</v>
      </c>
      <c r="E3309" s="9"/>
      <c r="F3309" s="9">
        <f ca="1">IFERROR(__xludf.DUMMYFUNCTION("""COMPUTED_VALUE"""),41998)</f>
        <v>41998</v>
      </c>
      <c r="G3309" s="9" t="str">
        <f ca="1">IFERROR(__xludf.DUMMYFUNCTION("""COMPUTED_VALUE"""),"1 USD = 100.5524 PKR")</f>
        <v>1 USD = 100.5524 PKR</v>
      </c>
      <c r="H3309" s="9" t="str">
        <f ca="1">IFERROR(__xludf.DUMMYFUNCTION("""COMPUTED_VALUE"""),"USD PKR rate for 25/12/2014")</f>
        <v>USD PKR rate for 25/12/2014</v>
      </c>
      <c r="I3309" s="9"/>
    </row>
    <row r="3310" spans="1:9" ht="14.25" customHeight="1" x14ac:dyDescent="0.3">
      <c r="A3310" s="6">
        <v>43027</v>
      </c>
      <c r="B3310" s="7">
        <v>105.0236</v>
      </c>
      <c r="C3310" s="8">
        <f t="shared" si="25"/>
        <v>142.72716444580354</v>
      </c>
      <c r="D3310" s="9">
        <f t="shared" si="24"/>
        <v>70.797618304493</v>
      </c>
      <c r="E3310" s="9"/>
      <c r="F3310" s="9">
        <f ca="1">IFERROR(__xludf.DUMMYFUNCTION("""COMPUTED_VALUE"""),41997)</f>
        <v>41997</v>
      </c>
      <c r="G3310" s="9" t="str">
        <f ca="1">IFERROR(__xludf.DUMMYFUNCTION("""COMPUTED_VALUE"""),"1 USD = 100.5895 PKR")</f>
        <v>1 USD = 100.5895 PKR</v>
      </c>
      <c r="H3310" s="9" t="str">
        <f ca="1">IFERROR(__xludf.DUMMYFUNCTION("""COMPUTED_VALUE"""),"USD PKR rate for 24/12/2014")</f>
        <v>USD PKR rate for 24/12/2014</v>
      </c>
      <c r="I3310" s="9"/>
    </row>
    <row r="3311" spans="1:9" ht="14.25" customHeight="1" x14ac:dyDescent="0.3">
      <c r="A3311" s="6">
        <v>43028</v>
      </c>
      <c r="B3311" s="7">
        <v>105.4104</v>
      </c>
      <c r="C3311" s="8">
        <f t="shared" si="25"/>
        <v>142.75269116610309</v>
      </c>
      <c r="D3311" s="9">
        <f t="shared" si="24"/>
        <v>70.800356137290265</v>
      </c>
      <c r="E3311" s="9"/>
      <c r="F3311" s="9">
        <f ca="1">IFERROR(__xludf.DUMMYFUNCTION("""COMPUTED_VALUE"""),41996)</f>
        <v>41996</v>
      </c>
      <c r="G3311" s="9" t="str">
        <f ca="1">IFERROR(__xludf.DUMMYFUNCTION("""COMPUTED_VALUE"""),"1 USD = 100.6505 PKR")</f>
        <v>1 USD = 100.6505 PKR</v>
      </c>
      <c r="H3311" s="9" t="str">
        <f ca="1">IFERROR(__xludf.DUMMYFUNCTION("""COMPUTED_VALUE"""),"USD PKR rate for 23/12/2014")</f>
        <v>USD PKR rate for 23/12/2014</v>
      </c>
      <c r="I3311" s="9"/>
    </row>
    <row r="3312" spans="1:9" ht="14.25" customHeight="1" x14ac:dyDescent="0.3">
      <c r="A3312" s="6">
        <v>43029</v>
      </c>
      <c r="B3312" s="7">
        <v>105.36239999999999</v>
      </c>
      <c r="C3312" s="8">
        <f t="shared" si="25"/>
        <v>142.77822245185052</v>
      </c>
      <c r="D3312" s="9">
        <f t="shared" si="24"/>
        <v>70.803093970087531</v>
      </c>
      <c r="E3312" s="9"/>
      <c r="F3312" s="9">
        <f ca="1">IFERROR(__xludf.DUMMYFUNCTION("""COMPUTED_VALUE"""),41995)</f>
        <v>41995</v>
      </c>
      <c r="G3312" s="9" t="str">
        <f ca="1">IFERROR(__xludf.DUMMYFUNCTION("""COMPUTED_VALUE"""),"1 USD = 100.3317 PKR")</f>
        <v>1 USD = 100.3317 PKR</v>
      </c>
      <c r="H3312" s="9" t="str">
        <f ca="1">IFERROR(__xludf.DUMMYFUNCTION("""COMPUTED_VALUE"""),"USD PKR rate for 22/12/2014")</f>
        <v>USD PKR rate for 22/12/2014</v>
      </c>
      <c r="I3312" s="9"/>
    </row>
    <row r="3313" spans="1:9" ht="14.25" customHeight="1" x14ac:dyDescent="0.3">
      <c r="A3313" s="6">
        <v>43030</v>
      </c>
      <c r="B3313" s="7">
        <v>105.3766</v>
      </c>
      <c r="C3313" s="8">
        <f t="shared" si="25"/>
        <v>142.80375830386265</v>
      </c>
      <c r="D3313" s="9">
        <f t="shared" si="24"/>
        <v>70.805831802884796</v>
      </c>
      <c r="E3313" s="9"/>
      <c r="F3313" s="9">
        <f ca="1">IFERROR(__xludf.DUMMYFUNCTION("""COMPUTED_VALUE"""),41994)</f>
        <v>41994</v>
      </c>
      <c r="G3313" s="9" t="str">
        <f ca="1">IFERROR(__xludf.DUMMYFUNCTION("""COMPUTED_VALUE"""),"1 USD = 99.8992 PKR")</f>
        <v>1 USD = 99.8992 PKR</v>
      </c>
      <c r="H3313" s="9" t="str">
        <f ca="1">IFERROR(__xludf.DUMMYFUNCTION("""COMPUTED_VALUE"""),"USD PKR rate for 21/12/2014")</f>
        <v>USD PKR rate for 21/12/2014</v>
      </c>
      <c r="I3313" s="9"/>
    </row>
    <row r="3314" spans="1:9" ht="14.25" customHeight="1" x14ac:dyDescent="0.3">
      <c r="A3314" s="6">
        <v>43031</v>
      </c>
      <c r="B3314" s="7">
        <v>105.3433</v>
      </c>
      <c r="C3314" s="8">
        <f t="shared" si="25"/>
        <v>142.82929872295597</v>
      </c>
      <c r="D3314" s="9">
        <f t="shared" si="24"/>
        <v>70.808569635682062</v>
      </c>
      <c r="E3314" s="9"/>
      <c r="F3314" s="9">
        <f ca="1">IFERROR(__xludf.DUMMYFUNCTION("""COMPUTED_VALUE"""),41993)</f>
        <v>41993</v>
      </c>
      <c r="G3314" s="9" t="str">
        <f ca="1">IFERROR(__xludf.DUMMYFUNCTION("""COMPUTED_VALUE"""),"1 USD = 100.3186 PKR")</f>
        <v>1 USD = 100.3186 PKR</v>
      </c>
      <c r="H3314" s="9" t="str">
        <f ca="1">IFERROR(__xludf.DUMMYFUNCTION("""COMPUTED_VALUE"""),"USD PKR rate for 20/12/2014")</f>
        <v>USD PKR rate for 20/12/2014</v>
      </c>
      <c r="I3314" s="9"/>
    </row>
    <row r="3315" spans="1:9" ht="14.25" customHeight="1" x14ac:dyDescent="0.3">
      <c r="A3315" s="6">
        <v>43032</v>
      </c>
      <c r="B3315" s="7">
        <v>105.3098</v>
      </c>
      <c r="C3315" s="8">
        <f t="shared" si="25"/>
        <v>142.85484370994732</v>
      </c>
      <c r="D3315" s="9">
        <f t="shared" si="24"/>
        <v>70.811307468479328</v>
      </c>
      <c r="E3315" s="9"/>
      <c r="F3315" s="9">
        <f ca="1">IFERROR(__xludf.DUMMYFUNCTION("""COMPUTED_VALUE"""),41992)</f>
        <v>41992</v>
      </c>
      <c r="G3315" s="9" t="str">
        <f ca="1">IFERROR(__xludf.DUMMYFUNCTION("""COMPUTED_VALUE"""),"1 USD = 100.4424 PKR")</f>
        <v>1 USD = 100.4424 PKR</v>
      </c>
      <c r="H3315" s="9" t="str">
        <f ca="1">IFERROR(__xludf.DUMMYFUNCTION("""COMPUTED_VALUE"""),"USD PKR rate for 19/12/2014")</f>
        <v>USD PKR rate for 19/12/2014</v>
      </c>
      <c r="I3315" s="9"/>
    </row>
    <row r="3316" spans="1:9" ht="14.25" customHeight="1" x14ac:dyDescent="0.3">
      <c r="A3316" s="6">
        <v>43033</v>
      </c>
      <c r="B3316" s="7">
        <v>105.0076</v>
      </c>
      <c r="C3316" s="8">
        <f t="shared" si="25"/>
        <v>142.88039326565368</v>
      </c>
      <c r="D3316" s="9">
        <f t="shared" si="24"/>
        <v>70.814045301276593</v>
      </c>
      <c r="E3316" s="9"/>
      <c r="F3316" s="9">
        <f ca="1">IFERROR(__xludf.DUMMYFUNCTION("""COMPUTED_VALUE"""),41991)</f>
        <v>41991</v>
      </c>
      <c r="G3316" s="9" t="str">
        <f ca="1">IFERROR(__xludf.DUMMYFUNCTION("""COMPUTED_VALUE"""),"1 USD = 100.489 PKR")</f>
        <v>1 USD = 100.489 PKR</v>
      </c>
      <c r="H3316" s="9" t="str">
        <f ca="1">IFERROR(__xludf.DUMMYFUNCTION("""COMPUTED_VALUE"""),"USD PKR rate for 18/12/2014")</f>
        <v>USD PKR rate for 18/12/2014</v>
      </c>
      <c r="I3316" s="9"/>
    </row>
    <row r="3317" spans="1:9" ht="14.25" customHeight="1" x14ac:dyDescent="0.3">
      <c r="A3317" s="6">
        <v>43034</v>
      </c>
      <c r="B3317" s="7">
        <v>105.4015</v>
      </c>
      <c r="C3317" s="8">
        <f t="shared" si="25"/>
        <v>142.90594739089218</v>
      </c>
      <c r="D3317" s="9">
        <f t="shared" si="24"/>
        <v>70.816783134073859</v>
      </c>
      <c r="E3317" s="9"/>
      <c r="F3317" s="9">
        <f ca="1">IFERROR(__xludf.DUMMYFUNCTION("""COMPUTED_VALUE"""),41990)</f>
        <v>41990</v>
      </c>
      <c r="G3317" s="9" t="str">
        <f ca="1">IFERROR(__xludf.DUMMYFUNCTION("""COMPUTED_VALUE"""),"1 USD = 100.6902 PKR")</f>
        <v>1 USD = 100.6902 PKR</v>
      </c>
      <c r="H3317" s="9" t="str">
        <f ca="1">IFERROR(__xludf.DUMMYFUNCTION("""COMPUTED_VALUE"""),"USD PKR rate for 17/12/2014")</f>
        <v>USD PKR rate for 17/12/2014</v>
      </c>
      <c r="I3317" s="9"/>
    </row>
    <row r="3318" spans="1:9" ht="14.25" customHeight="1" x14ac:dyDescent="0.3">
      <c r="A3318" s="6">
        <v>43035</v>
      </c>
      <c r="B3318" s="7">
        <v>105.54389999999999</v>
      </c>
      <c r="C3318" s="8">
        <f t="shared" si="25"/>
        <v>142.93150608648003</v>
      </c>
      <c r="D3318" s="9">
        <f t="shared" ref="D3318:D3572" si="26">(A3318-$A$3)/365.2524</f>
        <v>70.819520966871124</v>
      </c>
      <c r="E3318" s="9"/>
      <c r="F3318" s="9">
        <f ca="1">IFERROR(__xludf.DUMMYFUNCTION("""COMPUTED_VALUE"""),41989)</f>
        <v>41989</v>
      </c>
      <c r="G3318" s="9" t="str">
        <f ca="1">IFERROR(__xludf.DUMMYFUNCTION("""COMPUTED_VALUE"""),"1 USD = 100.4767 PKR")</f>
        <v>1 USD = 100.4767 PKR</v>
      </c>
      <c r="H3318" s="9" t="str">
        <f ca="1">IFERROR(__xludf.DUMMYFUNCTION("""COMPUTED_VALUE"""),"USD PKR rate for 16/12/2014")</f>
        <v>USD PKR rate for 16/12/2014</v>
      </c>
      <c r="I3318" s="9"/>
    </row>
    <row r="3319" spans="1:9" ht="14.25" customHeight="1" x14ac:dyDescent="0.3">
      <c r="A3319" s="6">
        <v>43036</v>
      </c>
      <c r="B3319" s="7">
        <v>105.54389999999999</v>
      </c>
      <c r="C3319" s="8">
        <f t="shared" ref="C3319:C3573" si="27">(1+$C$1)^D3319*$C$3</f>
        <v>142.95706935323471</v>
      </c>
      <c r="D3319" s="9">
        <f t="shared" si="26"/>
        <v>70.82225879966839</v>
      </c>
      <c r="E3319" s="9"/>
      <c r="F3319" s="9">
        <f ca="1">IFERROR(__xludf.DUMMYFUNCTION("""COMPUTED_VALUE"""),41988)</f>
        <v>41988</v>
      </c>
      <c r="G3319" s="9" t="str">
        <f ca="1">IFERROR(__xludf.DUMMYFUNCTION("""COMPUTED_VALUE"""),"1 USD = 100.3818 PKR")</f>
        <v>1 USD = 100.3818 PKR</v>
      </c>
      <c r="H3319" s="9" t="str">
        <f ca="1">IFERROR(__xludf.DUMMYFUNCTION("""COMPUTED_VALUE"""),"USD PKR rate for 15/12/2014")</f>
        <v>USD PKR rate for 15/12/2014</v>
      </c>
      <c r="I3319" s="9"/>
    </row>
    <row r="3320" spans="1:9" ht="14.25" customHeight="1" x14ac:dyDescent="0.3">
      <c r="A3320" s="6">
        <v>43037</v>
      </c>
      <c r="B3320" s="7">
        <v>105.5132</v>
      </c>
      <c r="C3320" s="8">
        <f t="shared" si="27"/>
        <v>142.98263719197368</v>
      </c>
      <c r="D3320" s="9">
        <f t="shared" si="26"/>
        <v>70.824996632465655</v>
      </c>
      <c r="E3320" s="9"/>
      <c r="F3320" s="9">
        <f ca="1">IFERROR(__xludf.DUMMYFUNCTION("""COMPUTED_VALUE"""),41987)</f>
        <v>41987</v>
      </c>
      <c r="G3320" s="9" t="str">
        <f ca="1">IFERROR(__xludf.DUMMYFUNCTION("""COMPUTED_VALUE"""),"1 USD = 100.6088 PKR")</f>
        <v>1 USD = 100.6088 PKR</v>
      </c>
      <c r="H3320" s="9" t="str">
        <f ca="1">IFERROR(__xludf.DUMMYFUNCTION("""COMPUTED_VALUE"""),"USD PKR rate for 14/12/2014")</f>
        <v>USD PKR rate for 14/12/2014</v>
      </c>
      <c r="I3320" s="9"/>
    </row>
    <row r="3321" spans="1:9" ht="14.25" customHeight="1" x14ac:dyDescent="0.3">
      <c r="A3321" s="6">
        <v>43038</v>
      </c>
      <c r="B3321" s="7">
        <v>105.25990000000002</v>
      </c>
      <c r="C3321" s="8">
        <f t="shared" si="27"/>
        <v>143.00820960351459</v>
      </c>
      <c r="D3321" s="9">
        <f t="shared" si="26"/>
        <v>70.827734465262921</v>
      </c>
      <c r="E3321" s="9"/>
      <c r="F3321" s="9">
        <f ca="1">IFERROR(__xludf.DUMMYFUNCTION("""COMPUTED_VALUE"""),41986)</f>
        <v>41986</v>
      </c>
      <c r="G3321" s="9" t="str">
        <f ca="1">IFERROR(__xludf.DUMMYFUNCTION("""COMPUTED_VALUE"""),"1 USD = 100.5918 PKR")</f>
        <v>1 USD = 100.5918 PKR</v>
      </c>
      <c r="H3321" s="9" t="str">
        <f ca="1">IFERROR(__xludf.DUMMYFUNCTION("""COMPUTED_VALUE"""),"USD PKR rate for 13/12/2014")</f>
        <v>USD PKR rate for 13/12/2014</v>
      </c>
      <c r="I3321" s="9"/>
    </row>
    <row r="3322" spans="1:9" ht="14.25" customHeight="1" x14ac:dyDescent="0.3">
      <c r="A3322" s="6">
        <v>43039</v>
      </c>
      <c r="B3322" s="7">
        <v>105.2236</v>
      </c>
      <c r="C3322" s="8">
        <f t="shared" si="27"/>
        <v>143.0337865886755</v>
      </c>
      <c r="D3322" s="9">
        <f t="shared" si="26"/>
        <v>70.830472298060187</v>
      </c>
      <c r="E3322" s="9"/>
      <c r="F3322" s="9">
        <f ca="1">IFERROR(__xludf.DUMMYFUNCTION("""COMPUTED_VALUE"""),41985)</f>
        <v>41985</v>
      </c>
      <c r="G3322" s="9" t="str">
        <f ca="1">IFERROR(__xludf.DUMMYFUNCTION("""COMPUTED_VALUE"""),"1 USD = 100.4685 PKR")</f>
        <v>1 USD = 100.4685 PKR</v>
      </c>
      <c r="H3322" s="9" t="str">
        <f ca="1">IFERROR(__xludf.DUMMYFUNCTION("""COMPUTED_VALUE"""),"USD PKR rate for 12/12/2014")</f>
        <v>USD PKR rate for 12/12/2014</v>
      </c>
      <c r="I3322" s="9"/>
    </row>
    <row r="3323" spans="1:9" ht="14.25" customHeight="1" x14ac:dyDescent="0.3">
      <c r="A3323" s="6">
        <v>43040</v>
      </c>
      <c r="B3323" s="7">
        <v>105.48390000000001</v>
      </c>
      <c r="C3323" s="8">
        <f t="shared" si="27"/>
        <v>143.05936814827425</v>
      </c>
      <c r="D3323" s="9">
        <f t="shared" si="26"/>
        <v>70.833210130857452</v>
      </c>
      <c r="E3323" s="9"/>
      <c r="F3323" s="9">
        <f ca="1">IFERROR(__xludf.DUMMYFUNCTION("""COMPUTED_VALUE"""),41984)</f>
        <v>41984</v>
      </c>
      <c r="G3323" s="9" t="str">
        <f ca="1">IFERROR(__xludf.DUMMYFUNCTION("""COMPUTED_VALUE"""),"1 USD = 100.7917 PKR")</f>
        <v>1 USD = 100.7917 PKR</v>
      </c>
      <c r="H3323" s="9" t="str">
        <f ca="1">IFERROR(__xludf.DUMMYFUNCTION("""COMPUTED_VALUE"""),"USD PKR rate for 11/12/2014")</f>
        <v>USD PKR rate for 11/12/2014</v>
      </c>
      <c r="I3323" s="9"/>
    </row>
    <row r="3324" spans="1:9" ht="14.25" customHeight="1" x14ac:dyDescent="0.3">
      <c r="A3324" s="6">
        <v>43041</v>
      </c>
      <c r="B3324" s="7">
        <v>105.1255</v>
      </c>
      <c r="C3324" s="8">
        <f t="shared" si="27"/>
        <v>143.08495428312906</v>
      </c>
      <c r="D3324" s="9">
        <f t="shared" si="26"/>
        <v>70.835947963654718</v>
      </c>
      <c r="E3324" s="9"/>
      <c r="F3324" s="9">
        <f ca="1">IFERROR(__xludf.DUMMYFUNCTION("""COMPUTED_VALUE"""),41983)</f>
        <v>41983</v>
      </c>
      <c r="G3324" s="9" t="str">
        <f ca="1">IFERROR(__xludf.DUMMYFUNCTION("""COMPUTED_VALUE"""),"1 USD = 100.5455 PKR")</f>
        <v>1 USD = 100.5455 PKR</v>
      </c>
      <c r="H3324" s="9" t="str">
        <f ca="1">IFERROR(__xludf.DUMMYFUNCTION("""COMPUTED_VALUE"""),"USD PKR rate for 10/12/2014")</f>
        <v>USD PKR rate for 10/12/2014</v>
      </c>
      <c r="I3324" s="9"/>
    </row>
    <row r="3325" spans="1:9" ht="14.25" customHeight="1" x14ac:dyDescent="0.3">
      <c r="A3325" s="6">
        <v>43042</v>
      </c>
      <c r="B3325" s="7">
        <v>105.62090000000001</v>
      </c>
      <c r="C3325" s="8">
        <f t="shared" si="27"/>
        <v>143.11054499405813</v>
      </c>
      <c r="D3325" s="9">
        <f t="shared" si="26"/>
        <v>70.838685796451983</v>
      </c>
      <c r="E3325" s="9"/>
      <c r="F3325" s="9">
        <f ca="1">IFERROR(__xludf.DUMMYFUNCTION("""COMPUTED_VALUE"""),41982)</f>
        <v>41982</v>
      </c>
      <c r="G3325" s="9" t="str">
        <f ca="1">IFERROR(__xludf.DUMMYFUNCTION("""COMPUTED_VALUE"""),"1 USD = 101.1136 PKR")</f>
        <v>1 USD = 101.1136 PKR</v>
      </c>
      <c r="H3325" s="9" t="str">
        <f ca="1">IFERROR(__xludf.DUMMYFUNCTION("""COMPUTED_VALUE"""),"USD PKR rate for 09/12/2014")</f>
        <v>USD PKR rate for 09/12/2014</v>
      </c>
      <c r="I3325" s="9"/>
    </row>
    <row r="3326" spans="1:9" ht="14.25" customHeight="1" x14ac:dyDescent="0.3">
      <c r="A3326" s="6">
        <v>43043</v>
      </c>
      <c r="B3326" s="7">
        <v>105.62090000000001</v>
      </c>
      <c r="C3326" s="8">
        <f t="shared" si="27"/>
        <v>143.13614028187993</v>
      </c>
      <c r="D3326" s="9">
        <f t="shared" si="26"/>
        <v>70.841423629249249</v>
      </c>
      <c r="E3326" s="9"/>
      <c r="F3326" s="9">
        <f ca="1">IFERROR(__xludf.DUMMYFUNCTION("""COMPUTED_VALUE"""),41981)</f>
        <v>41981</v>
      </c>
      <c r="G3326" s="9" t="str">
        <f ca="1">IFERROR(__xludf.DUMMYFUNCTION("""COMPUTED_VALUE"""),"1 USD = 101.3156 PKR")</f>
        <v>1 USD = 101.3156 PKR</v>
      </c>
      <c r="H3326" s="9" t="str">
        <f ca="1">IFERROR(__xludf.DUMMYFUNCTION("""COMPUTED_VALUE"""),"USD PKR rate for 08/12/2014")</f>
        <v>USD PKR rate for 08/12/2014</v>
      </c>
      <c r="I3326" s="9"/>
    </row>
    <row r="3327" spans="1:9" ht="14.25" customHeight="1" x14ac:dyDescent="0.3">
      <c r="A3327" s="6">
        <v>43044</v>
      </c>
      <c r="B3327" s="7">
        <v>105.50450000000001</v>
      </c>
      <c r="C3327" s="8">
        <f t="shared" si="27"/>
        <v>143.16174014741301</v>
      </c>
      <c r="D3327" s="9">
        <f t="shared" si="26"/>
        <v>70.844161462046515</v>
      </c>
      <c r="E3327" s="9"/>
      <c r="F3327" s="9">
        <f ca="1">IFERROR(__xludf.DUMMYFUNCTION("""COMPUTED_VALUE"""),41980)</f>
        <v>41980</v>
      </c>
      <c r="G3327" s="9" t="str">
        <f ca="1">IFERROR(__xludf.DUMMYFUNCTION("""COMPUTED_VALUE"""),"1 USD = 101.6278 PKR")</f>
        <v>1 USD = 101.6278 PKR</v>
      </c>
      <c r="H3327" s="9" t="str">
        <f ca="1">IFERROR(__xludf.DUMMYFUNCTION("""COMPUTED_VALUE"""),"USD PKR rate for 07/12/2014")</f>
        <v>USD PKR rate for 07/12/2014</v>
      </c>
      <c r="I3327" s="9"/>
    </row>
    <row r="3328" spans="1:9" ht="14.25" customHeight="1" x14ac:dyDescent="0.3">
      <c r="A3328" s="6">
        <v>43045</v>
      </c>
      <c r="B3328" s="7">
        <v>105.2119</v>
      </c>
      <c r="C3328" s="8">
        <f t="shared" si="27"/>
        <v>143.18734459147615</v>
      </c>
      <c r="D3328" s="9">
        <f t="shared" si="26"/>
        <v>70.84689929484378</v>
      </c>
      <c r="E3328" s="9"/>
      <c r="F3328" s="9">
        <f ca="1">IFERROR(__xludf.DUMMYFUNCTION("""COMPUTED_VALUE"""),41979)</f>
        <v>41979</v>
      </c>
      <c r="G3328" s="9" t="str">
        <f ca="1">IFERROR(__xludf.DUMMYFUNCTION("""COMPUTED_VALUE"""),"1 USD = 101.4804 PKR")</f>
        <v>1 USD = 101.4804 PKR</v>
      </c>
      <c r="H3328" s="9" t="str">
        <f ca="1">IFERROR(__xludf.DUMMYFUNCTION("""COMPUTED_VALUE"""),"USD PKR rate for 06/12/2014")</f>
        <v>USD PKR rate for 06/12/2014</v>
      </c>
      <c r="I3328" s="9"/>
    </row>
    <row r="3329" spans="1:9" ht="14.25" customHeight="1" x14ac:dyDescent="0.3">
      <c r="A3329" s="6">
        <v>43046</v>
      </c>
      <c r="B3329" s="7">
        <v>105.12609999999999</v>
      </c>
      <c r="C3329" s="8">
        <f t="shared" si="27"/>
        <v>143.21295361488816</v>
      </c>
      <c r="D3329" s="9">
        <f t="shared" si="26"/>
        <v>70.849637127641046</v>
      </c>
      <c r="E3329" s="9"/>
      <c r="F3329" s="9">
        <f ca="1">IFERROR(__xludf.DUMMYFUNCTION("""COMPUTED_VALUE"""),41978)</f>
        <v>41978</v>
      </c>
      <c r="G3329" s="9" t="str">
        <f ca="1">IFERROR(__xludf.DUMMYFUNCTION("""COMPUTED_VALUE"""),"1 USD = 101.5837 PKR")</f>
        <v>1 USD = 101.5837 PKR</v>
      </c>
      <c r="H3329" s="9" t="str">
        <f ca="1">IFERROR(__xludf.DUMMYFUNCTION("""COMPUTED_VALUE"""),"USD PKR rate for 05/12/2014")</f>
        <v>USD PKR rate for 05/12/2014</v>
      </c>
      <c r="I3329" s="9"/>
    </row>
    <row r="3330" spans="1:9" ht="14.25" customHeight="1" x14ac:dyDescent="0.3">
      <c r="A3330" s="6">
        <v>43047</v>
      </c>
      <c r="B3330" s="7">
        <v>105.16250000000001</v>
      </c>
      <c r="C3330" s="8">
        <f t="shared" si="27"/>
        <v>143.23856721846795</v>
      </c>
      <c r="D3330" s="9">
        <f t="shared" si="26"/>
        <v>70.852374960438311</v>
      </c>
      <c r="E3330" s="9"/>
      <c r="F3330" s="9">
        <f ca="1">IFERROR(__xludf.DUMMYFUNCTION("""COMPUTED_VALUE"""),41977)</f>
        <v>41977</v>
      </c>
      <c r="G3330" s="9" t="str">
        <f ca="1">IFERROR(__xludf.DUMMYFUNCTION("""COMPUTED_VALUE"""),"1 USD = 101.5268 PKR")</f>
        <v>1 USD = 101.5268 PKR</v>
      </c>
      <c r="H3330" s="9" t="str">
        <f ca="1">IFERROR(__xludf.DUMMYFUNCTION("""COMPUTED_VALUE"""),"USD PKR rate for 04/12/2014")</f>
        <v>USD PKR rate for 04/12/2014</v>
      </c>
      <c r="I3330" s="9"/>
    </row>
    <row r="3331" spans="1:9" ht="14.25" customHeight="1" x14ac:dyDescent="0.3">
      <c r="A3331" s="6">
        <v>43048</v>
      </c>
      <c r="B3331" s="7">
        <v>105.1217</v>
      </c>
      <c r="C3331" s="8">
        <f t="shared" si="27"/>
        <v>143.2641854030349</v>
      </c>
      <c r="D3331" s="9">
        <f t="shared" si="26"/>
        <v>70.855112793235577</v>
      </c>
      <c r="E3331" s="9"/>
      <c r="F3331" s="9">
        <f ca="1">IFERROR(__xludf.DUMMYFUNCTION("""COMPUTED_VALUE"""),41976)</f>
        <v>41976</v>
      </c>
      <c r="G3331" s="9" t="str">
        <f ca="1">IFERROR(__xludf.DUMMYFUNCTION("""COMPUTED_VALUE"""),"1 USD = 101.6013 PKR")</f>
        <v>1 USD = 101.6013 PKR</v>
      </c>
      <c r="H3331" s="9" t="str">
        <f ca="1">IFERROR(__xludf.DUMMYFUNCTION("""COMPUTED_VALUE"""),"USD PKR rate for 03/12/2014")</f>
        <v>USD PKR rate for 03/12/2014</v>
      </c>
      <c r="I3331" s="9"/>
    </row>
    <row r="3332" spans="1:9" ht="14.25" customHeight="1" x14ac:dyDescent="0.3">
      <c r="A3332" s="6">
        <v>43049</v>
      </c>
      <c r="B3332" s="7">
        <v>104.8691</v>
      </c>
      <c r="C3332" s="8">
        <f t="shared" si="27"/>
        <v>143.28980816940827</v>
      </c>
      <c r="D3332" s="9">
        <f t="shared" si="26"/>
        <v>70.857850626032842</v>
      </c>
      <c r="E3332" s="9"/>
      <c r="F3332" s="9">
        <f ca="1">IFERROR(__xludf.DUMMYFUNCTION("""COMPUTED_VALUE"""),41975)</f>
        <v>41975</v>
      </c>
      <c r="G3332" s="9" t="str">
        <f ca="1">IFERROR(__xludf.DUMMYFUNCTION("""COMPUTED_VALUE"""),"1 USD = 101.772 PKR")</f>
        <v>1 USD = 101.772 PKR</v>
      </c>
      <c r="H3332" s="9" t="str">
        <f ca="1">IFERROR(__xludf.DUMMYFUNCTION("""COMPUTED_VALUE"""),"USD PKR rate for 02/12/2014")</f>
        <v>USD PKR rate for 02/12/2014</v>
      </c>
      <c r="I3332" s="9"/>
    </row>
    <row r="3333" spans="1:9" ht="14.25" customHeight="1" x14ac:dyDescent="0.3">
      <c r="A3333" s="6">
        <v>43050</v>
      </c>
      <c r="B3333" s="7">
        <v>104.7392</v>
      </c>
      <c r="C3333" s="8">
        <f t="shared" si="27"/>
        <v>143.31543551840747</v>
      </c>
      <c r="D3333" s="9">
        <f t="shared" si="26"/>
        <v>70.860588458830108</v>
      </c>
      <c r="E3333" s="9"/>
      <c r="F3333" s="9">
        <f ca="1">IFERROR(__xludf.DUMMYFUNCTION("""COMPUTED_VALUE"""),41974)</f>
        <v>41974</v>
      </c>
      <c r="G3333" s="9" t="str">
        <f ca="1">IFERROR(__xludf.DUMMYFUNCTION("""COMPUTED_VALUE"""),"1 USD = 101.9184 PKR")</f>
        <v>1 USD = 101.9184 PKR</v>
      </c>
      <c r="H3333" s="9" t="str">
        <f ca="1">IFERROR(__xludf.DUMMYFUNCTION("""COMPUTED_VALUE"""),"USD PKR rate for 01/12/2014")</f>
        <v>USD PKR rate for 01/12/2014</v>
      </c>
      <c r="I3333" s="9"/>
    </row>
    <row r="3334" spans="1:9" ht="14.25" customHeight="1" x14ac:dyDescent="0.3">
      <c r="A3334" s="6">
        <v>43051</v>
      </c>
      <c r="B3334" s="7">
        <v>104.23609999999999</v>
      </c>
      <c r="C3334" s="8">
        <f t="shared" si="27"/>
        <v>143.34106745085208</v>
      </c>
      <c r="D3334" s="9">
        <f t="shared" si="26"/>
        <v>70.863326291627374</v>
      </c>
      <c r="E3334" s="9"/>
      <c r="F3334" s="9">
        <f ca="1">IFERROR(__xludf.DUMMYFUNCTION("""COMPUTED_VALUE"""),41973)</f>
        <v>41973</v>
      </c>
      <c r="G3334" s="9" t="str">
        <f ca="1">IFERROR(__xludf.DUMMYFUNCTION("""COMPUTED_VALUE"""),"1 USD = 102.025 PKR")</f>
        <v>1 USD = 102.025 PKR</v>
      </c>
      <c r="H3334" s="9" t="str">
        <f ca="1">IFERROR(__xludf.DUMMYFUNCTION("""COMPUTED_VALUE"""),"USD PKR rate for 30/11/2014")</f>
        <v>USD PKR rate for 30/11/2014</v>
      </c>
      <c r="I3334" s="9"/>
    </row>
    <row r="3335" spans="1:9" ht="14.25" customHeight="1" x14ac:dyDescent="0.3">
      <c r="A3335" s="6">
        <v>43052</v>
      </c>
      <c r="B3335" s="7">
        <v>105.35000000000001</v>
      </c>
      <c r="C3335" s="8">
        <f t="shared" si="27"/>
        <v>143.36670396756188</v>
      </c>
      <c r="D3335" s="9">
        <f t="shared" si="26"/>
        <v>70.866064124424639</v>
      </c>
      <c r="E3335" s="9"/>
      <c r="F3335" s="9">
        <f ca="1">IFERROR(__xludf.DUMMYFUNCTION("""COMPUTED_VALUE"""),41972)</f>
        <v>41972</v>
      </c>
      <c r="G3335" s="9" t="str">
        <f ca="1">IFERROR(__xludf.DUMMYFUNCTION("""COMPUTED_VALUE"""),"1 USD = 101.8247 PKR")</f>
        <v>1 USD = 101.8247 PKR</v>
      </c>
      <c r="H3335" s="9" t="str">
        <f ca="1">IFERROR(__xludf.DUMMYFUNCTION("""COMPUTED_VALUE"""),"USD PKR rate for 29/11/2014")</f>
        <v>USD PKR rate for 29/11/2014</v>
      </c>
      <c r="I3335" s="9"/>
    </row>
    <row r="3336" spans="1:9" ht="14.25" customHeight="1" x14ac:dyDescent="0.3">
      <c r="A3336" s="6">
        <v>43053</v>
      </c>
      <c r="B3336" s="7">
        <v>104.6161</v>
      </c>
      <c r="C3336" s="8">
        <f t="shared" si="27"/>
        <v>143.39234506935676</v>
      </c>
      <c r="D3336" s="9">
        <f t="shared" si="26"/>
        <v>70.868801957221905</v>
      </c>
      <c r="E3336" s="9"/>
      <c r="F3336" s="9">
        <f ca="1">IFERROR(__xludf.DUMMYFUNCTION("""COMPUTED_VALUE"""),41971)</f>
        <v>41971</v>
      </c>
      <c r="G3336" s="9" t="str">
        <f ca="1">IFERROR(__xludf.DUMMYFUNCTION("""COMPUTED_VALUE"""),"1 USD = 101.7624 PKR")</f>
        <v>1 USD = 101.7624 PKR</v>
      </c>
      <c r="H3336" s="9" t="str">
        <f ca="1">IFERROR(__xludf.DUMMYFUNCTION("""COMPUTED_VALUE"""),"USD PKR rate for 28/11/2014")</f>
        <v>USD PKR rate for 28/11/2014</v>
      </c>
      <c r="I3336" s="9"/>
    </row>
    <row r="3337" spans="1:9" ht="14.25" customHeight="1" x14ac:dyDescent="0.3">
      <c r="A3337" s="6">
        <v>43054</v>
      </c>
      <c r="B3337" s="7">
        <v>105.4222</v>
      </c>
      <c r="C3337" s="8">
        <f t="shared" si="27"/>
        <v>143.41799075705674</v>
      </c>
      <c r="D3337" s="9">
        <f t="shared" si="26"/>
        <v>70.87153979001917</v>
      </c>
      <c r="E3337" s="9"/>
      <c r="F3337" s="9">
        <f ca="1">IFERROR(__xludf.DUMMYFUNCTION("""COMPUTED_VALUE"""),41970)</f>
        <v>41970</v>
      </c>
      <c r="G3337" s="9" t="str">
        <f ca="1">IFERROR(__xludf.DUMMYFUNCTION("""COMPUTED_VALUE"""),"1 USD = 101.6973 PKR")</f>
        <v>1 USD = 101.6973 PKR</v>
      </c>
      <c r="H3337" s="9" t="str">
        <f ca="1">IFERROR(__xludf.DUMMYFUNCTION("""COMPUTED_VALUE"""),"USD PKR rate for 27/11/2014")</f>
        <v>USD PKR rate for 27/11/2014</v>
      </c>
      <c r="I3337" s="9"/>
    </row>
    <row r="3338" spans="1:9" ht="14.25" customHeight="1" x14ac:dyDescent="0.3">
      <c r="A3338" s="6">
        <v>43055</v>
      </c>
      <c r="B3338" s="7">
        <v>105.2371</v>
      </c>
      <c r="C3338" s="8">
        <f t="shared" si="27"/>
        <v>143.44364103148203</v>
      </c>
      <c r="D3338" s="9">
        <f t="shared" si="26"/>
        <v>70.874277622816436</v>
      </c>
      <c r="E3338" s="9"/>
      <c r="F3338" s="9">
        <f ca="1">IFERROR(__xludf.DUMMYFUNCTION("""COMPUTED_VALUE"""),41969)</f>
        <v>41969</v>
      </c>
      <c r="G3338" s="9" t="str">
        <f ca="1">IFERROR(__xludf.DUMMYFUNCTION("""COMPUTED_VALUE"""),"1 USD = 101.5667 PKR")</f>
        <v>1 USD = 101.5667 PKR</v>
      </c>
      <c r="H3338" s="9" t="str">
        <f ca="1">IFERROR(__xludf.DUMMYFUNCTION("""COMPUTED_VALUE"""),"USD PKR rate for 26/11/2014")</f>
        <v>USD PKR rate for 26/11/2014</v>
      </c>
      <c r="I3338" s="9"/>
    </row>
    <row r="3339" spans="1:9" ht="14.25" customHeight="1" x14ac:dyDescent="0.3">
      <c r="A3339" s="6">
        <v>43056</v>
      </c>
      <c r="B3339" s="7">
        <v>105.4391</v>
      </c>
      <c r="C3339" s="8">
        <f t="shared" si="27"/>
        <v>143.46929589345285</v>
      </c>
      <c r="D3339" s="9">
        <f t="shared" si="26"/>
        <v>70.877015455613702</v>
      </c>
      <c r="E3339" s="9"/>
      <c r="F3339" s="9">
        <f ca="1">IFERROR(__xludf.DUMMYFUNCTION("""COMPUTED_VALUE"""),41968)</f>
        <v>41968</v>
      </c>
      <c r="G3339" s="9" t="str">
        <f ca="1">IFERROR(__xludf.DUMMYFUNCTION("""COMPUTED_VALUE"""),"1 USD = 101.6275 PKR")</f>
        <v>1 USD = 101.6275 PKR</v>
      </c>
      <c r="H3339" s="9" t="str">
        <f ca="1">IFERROR(__xludf.DUMMYFUNCTION("""COMPUTED_VALUE"""),"USD PKR rate for 25/11/2014")</f>
        <v>USD PKR rate for 25/11/2014</v>
      </c>
      <c r="I3339" s="9"/>
    </row>
    <row r="3340" spans="1:9" ht="14.25" customHeight="1" x14ac:dyDescent="0.3">
      <c r="A3340" s="6">
        <v>43057</v>
      </c>
      <c r="B3340" s="7">
        <v>105.4391</v>
      </c>
      <c r="C3340" s="8">
        <f t="shared" si="27"/>
        <v>143.49495534378991</v>
      </c>
      <c r="D3340" s="9">
        <f t="shared" si="26"/>
        <v>70.879753288410967</v>
      </c>
      <c r="E3340" s="9"/>
      <c r="F3340" s="9">
        <f ca="1">IFERROR(__xludf.DUMMYFUNCTION("""COMPUTED_VALUE"""),41967)</f>
        <v>41967</v>
      </c>
      <c r="G3340" s="9" t="str">
        <f ca="1">IFERROR(__xludf.DUMMYFUNCTION("""COMPUTED_VALUE"""),"1 USD = 101.5404 PKR")</f>
        <v>1 USD = 101.5404 PKR</v>
      </c>
      <c r="H3340" s="9" t="str">
        <f ca="1">IFERROR(__xludf.DUMMYFUNCTION("""COMPUTED_VALUE"""),"USD PKR rate for 24/11/2014")</f>
        <v>USD PKR rate for 24/11/2014</v>
      </c>
      <c r="I3340" s="9"/>
    </row>
    <row r="3341" spans="1:9" ht="14.25" customHeight="1" x14ac:dyDescent="0.3">
      <c r="A3341" s="6">
        <v>43058</v>
      </c>
      <c r="B3341" s="7">
        <v>105.4374</v>
      </c>
      <c r="C3341" s="8">
        <f t="shared" si="27"/>
        <v>143.52061938331371</v>
      </c>
      <c r="D3341" s="9">
        <f t="shared" si="26"/>
        <v>70.882491121208233</v>
      </c>
      <c r="E3341" s="9"/>
      <c r="F3341" s="9">
        <f ca="1">IFERROR(__xludf.DUMMYFUNCTION("""COMPUTED_VALUE"""),41966)</f>
        <v>41966</v>
      </c>
      <c r="G3341" s="9" t="str">
        <f ca="1">IFERROR(__xludf.DUMMYFUNCTION("""COMPUTED_VALUE"""),"1 USD = 101.6389 PKR")</f>
        <v>1 USD = 101.6389 PKR</v>
      </c>
      <c r="H3341" s="9" t="str">
        <f ca="1">IFERROR(__xludf.DUMMYFUNCTION("""COMPUTED_VALUE"""),"USD PKR rate for 23/11/2014")</f>
        <v>USD PKR rate for 23/11/2014</v>
      </c>
      <c r="I3341" s="9"/>
    </row>
    <row r="3342" spans="1:9" ht="14.25" customHeight="1" x14ac:dyDescent="0.3">
      <c r="A3342" s="6">
        <v>43059</v>
      </c>
      <c r="B3342" s="7">
        <v>105.6814</v>
      </c>
      <c r="C3342" s="8">
        <f t="shared" si="27"/>
        <v>143.54628801284503</v>
      </c>
      <c r="D3342" s="9">
        <f t="shared" si="26"/>
        <v>70.885228954005498</v>
      </c>
      <c r="E3342" s="9"/>
      <c r="F3342" s="9">
        <f ca="1">IFERROR(__xludf.DUMMYFUNCTION("""COMPUTED_VALUE"""),41965)</f>
        <v>41965</v>
      </c>
      <c r="G3342" s="9" t="str">
        <f ca="1">IFERROR(__xludf.DUMMYFUNCTION("""COMPUTED_VALUE"""),"1 USD = 101.6072 PKR")</f>
        <v>1 USD = 101.6072 PKR</v>
      </c>
      <c r="H3342" s="9" t="str">
        <f ca="1">IFERROR(__xludf.DUMMYFUNCTION("""COMPUTED_VALUE"""),"USD PKR rate for 22/11/2014")</f>
        <v>USD PKR rate for 22/11/2014</v>
      </c>
      <c r="I3342" s="9"/>
    </row>
    <row r="3343" spans="1:9" ht="14.25" customHeight="1" x14ac:dyDescent="0.3">
      <c r="A3343" s="6">
        <v>43060</v>
      </c>
      <c r="B3343" s="7">
        <v>105.2162</v>
      </c>
      <c r="C3343" s="8">
        <f t="shared" si="27"/>
        <v>143.5719612332048</v>
      </c>
      <c r="D3343" s="9">
        <f t="shared" si="26"/>
        <v>70.887966786802764</v>
      </c>
      <c r="E3343" s="9"/>
      <c r="F3343" s="9">
        <f ca="1">IFERROR(__xludf.DUMMYFUNCTION("""COMPUTED_VALUE"""),41964)</f>
        <v>41964</v>
      </c>
      <c r="G3343" s="9" t="str">
        <f ca="1">IFERROR(__xludf.DUMMYFUNCTION("""COMPUTED_VALUE"""),"1 USD = 101.6309 PKR")</f>
        <v>1 USD = 101.6309 PKR</v>
      </c>
      <c r="H3343" s="9" t="str">
        <f ca="1">IFERROR(__xludf.DUMMYFUNCTION("""COMPUTED_VALUE"""),"USD PKR rate for 21/11/2014")</f>
        <v>USD PKR rate for 21/11/2014</v>
      </c>
      <c r="I3343" s="9"/>
    </row>
    <row r="3344" spans="1:9" ht="14.25" customHeight="1" x14ac:dyDescent="0.3">
      <c r="A3344" s="6">
        <v>43061</v>
      </c>
      <c r="B3344" s="7">
        <v>104.7756</v>
      </c>
      <c r="C3344" s="8">
        <f t="shared" si="27"/>
        <v>143.59763904521409</v>
      </c>
      <c r="D3344" s="9">
        <f t="shared" si="26"/>
        <v>70.890704619600029</v>
      </c>
      <c r="E3344" s="9"/>
      <c r="F3344" s="9">
        <f ca="1">IFERROR(__xludf.DUMMYFUNCTION("""COMPUTED_VALUE"""),41963)</f>
        <v>41963</v>
      </c>
      <c r="G3344" s="9" t="str">
        <f ca="1">IFERROR(__xludf.DUMMYFUNCTION("""COMPUTED_VALUE"""),"1 USD = 101.5334 PKR")</f>
        <v>1 USD = 101.5334 PKR</v>
      </c>
      <c r="H3344" s="9" t="str">
        <f ca="1">IFERROR(__xludf.DUMMYFUNCTION("""COMPUTED_VALUE"""),"USD PKR rate for 20/11/2014")</f>
        <v>USD PKR rate for 20/11/2014</v>
      </c>
      <c r="I3344" s="9"/>
    </row>
    <row r="3345" spans="1:9" ht="14.25" customHeight="1" x14ac:dyDescent="0.3">
      <c r="A3345" s="6">
        <v>43062</v>
      </c>
      <c r="B3345" s="7">
        <v>105.27809999999999</v>
      </c>
      <c r="C3345" s="8">
        <f t="shared" si="27"/>
        <v>143.62332144969412</v>
      </c>
      <c r="D3345" s="9">
        <f t="shared" si="26"/>
        <v>70.893442452397295</v>
      </c>
      <c r="E3345" s="9"/>
      <c r="F3345" s="9">
        <f ca="1">IFERROR(__xludf.DUMMYFUNCTION("""COMPUTED_VALUE"""),41962)</f>
        <v>41962</v>
      </c>
      <c r="G3345" s="9" t="str">
        <f ca="1">IFERROR(__xludf.DUMMYFUNCTION("""COMPUTED_VALUE"""),"1 USD = 101.7362 PKR")</f>
        <v>1 USD = 101.7362 PKR</v>
      </c>
      <c r="H3345" s="9" t="str">
        <f ca="1">IFERROR(__xludf.DUMMYFUNCTION("""COMPUTED_VALUE"""),"USD PKR rate for 19/11/2014")</f>
        <v>USD PKR rate for 19/11/2014</v>
      </c>
      <c r="I3345" s="9"/>
    </row>
    <row r="3346" spans="1:9" ht="14.25" customHeight="1" x14ac:dyDescent="0.3">
      <c r="A3346" s="6">
        <v>43063</v>
      </c>
      <c r="B3346" s="7">
        <v>105.2321</v>
      </c>
      <c r="C3346" s="8">
        <f t="shared" si="27"/>
        <v>143.64900844746623</v>
      </c>
      <c r="D3346" s="9">
        <f t="shared" si="26"/>
        <v>70.896180285194561</v>
      </c>
      <c r="E3346" s="9"/>
      <c r="F3346" s="9">
        <f ca="1">IFERROR(__xludf.DUMMYFUNCTION("""COMPUTED_VALUE"""),41961)</f>
        <v>41961</v>
      </c>
      <c r="G3346" s="9" t="str">
        <f ca="1">IFERROR(__xludf.DUMMYFUNCTION("""COMPUTED_VALUE"""),"1 USD = 101.6164 PKR")</f>
        <v>1 USD = 101.6164 PKR</v>
      </c>
      <c r="H3346" s="9" t="str">
        <f ca="1">IFERROR(__xludf.DUMMYFUNCTION("""COMPUTED_VALUE"""),"USD PKR rate for 18/11/2014")</f>
        <v>USD PKR rate for 18/11/2014</v>
      </c>
      <c r="I3346" s="9"/>
    </row>
    <row r="3347" spans="1:9" ht="14.25" customHeight="1" x14ac:dyDescent="0.3">
      <c r="A3347" s="6">
        <v>43064</v>
      </c>
      <c r="B3347" s="7">
        <v>105.2303</v>
      </c>
      <c r="C3347" s="8">
        <f t="shared" si="27"/>
        <v>143.67470003935193</v>
      </c>
      <c r="D3347" s="9">
        <f t="shared" si="26"/>
        <v>70.898918117991826</v>
      </c>
      <c r="E3347" s="9"/>
      <c r="F3347" s="9">
        <f ca="1">IFERROR(__xludf.DUMMYFUNCTION("""COMPUTED_VALUE"""),41960)</f>
        <v>41960</v>
      </c>
      <c r="G3347" s="9" t="str">
        <f ca="1">IFERROR(__xludf.DUMMYFUNCTION("""COMPUTED_VALUE"""),"1 USD = 101.9291 PKR")</f>
        <v>1 USD = 101.9291 PKR</v>
      </c>
      <c r="H3347" s="9" t="str">
        <f ca="1">IFERROR(__xludf.DUMMYFUNCTION("""COMPUTED_VALUE"""),"USD PKR rate for 17/11/2014")</f>
        <v>USD PKR rate for 17/11/2014</v>
      </c>
      <c r="I3347" s="9"/>
    </row>
    <row r="3348" spans="1:9" ht="14.25" customHeight="1" x14ac:dyDescent="0.3">
      <c r="A3348" s="6">
        <v>43065</v>
      </c>
      <c r="B3348" s="7">
        <v>104.746</v>
      </c>
      <c r="C3348" s="8">
        <f t="shared" si="27"/>
        <v>143.70039622617276</v>
      </c>
      <c r="D3348" s="9">
        <f t="shared" si="26"/>
        <v>70.901655950789092</v>
      </c>
      <c r="E3348" s="9"/>
      <c r="F3348" s="9">
        <f ca="1">IFERROR(__xludf.DUMMYFUNCTION("""COMPUTED_VALUE"""),41959)</f>
        <v>41959</v>
      </c>
      <c r="G3348" s="9" t="str">
        <f ca="1">IFERROR(__xludf.DUMMYFUNCTION("""COMPUTED_VALUE"""),"1 USD = 101.4129 PKR")</f>
        <v>1 USD = 101.4129 PKR</v>
      </c>
      <c r="H3348" s="9" t="str">
        <f ca="1">IFERROR(__xludf.DUMMYFUNCTION("""COMPUTED_VALUE"""),"USD PKR rate for 16/11/2014")</f>
        <v>USD PKR rate for 16/11/2014</v>
      </c>
      <c r="I3348" s="9"/>
    </row>
    <row r="3349" spans="1:9" ht="14.25" customHeight="1" x14ac:dyDescent="0.3">
      <c r="A3349" s="6">
        <v>43066</v>
      </c>
      <c r="B3349" s="7">
        <v>105.8245</v>
      </c>
      <c r="C3349" s="8">
        <f t="shared" si="27"/>
        <v>143.7260970087508</v>
      </c>
      <c r="D3349" s="9">
        <f t="shared" si="26"/>
        <v>70.904393783586357</v>
      </c>
      <c r="E3349" s="9"/>
      <c r="F3349" s="9">
        <f ca="1">IFERROR(__xludf.DUMMYFUNCTION("""COMPUTED_VALUE"""),41958)</f>
        <v>41958</v>
      </c>
      <c r="G3349" s="9" t="str">
        <f ca="1">IFERROR(__xludf.DUMMYFUNCTION("""COMPUTED_VALUE"""),"1 USD = 101.66 PKR")</f>
        <v>1 USD = 101.66 PKR</v>
      </c>
      <c r="H3349" s="9" t="str">
        <f ca="1">IFERROR(__xludf.DUMMYFUNCTION("""COMPUTED_VALUE"""),"USD PKR rate for 15/11/2014")</f>
        <v>USD PKR rate for 15/11/2014</v>
      </c>
      <c r="I3349" s="9"/>
    </row>
    <row r="3350" spans="1:9" ht="14.25" customHeight="1" x14ac:dyDescent="0.3">
      <c r="A3350" s="6">
        <v>43067</v>
      </c>
      <c r="B3350" s="7">
        <v>105.7771</v>
      </c>
      <c r="C3350" s="8">
        <f t="shared" si="27"/>
        <v>143.75180238790784</v>
      </c>
      <c r="D3350" s="9">
        <f t="shared" si="26"/>
        <v>70.907131616383623</v>
      </c>
      <c r="E3350" s="9"/>
      <c r="F3350" s="9">
        <f ca="1">IFERROR(__xludf.DUMMYFUNCTION("""COMPUTED_VALUE"""),41957)</f>
        <v>41957</v>
      </c>
      <c r="G3350" s="9" t="str">
        <f ca="1">IFERROR(__xludf.DUMMYFUNCTION("""COMPUTED_VALUE"""),"1 USD = 101.697 PKR")</f>
        <v>1 USD = 101.697 PKR</v>
      </c>
      <c r="H3350" s="9" t="str">
        <f ca="1">IFERROR(__xludf.DUMMYFUNCTION("""COMPUTED_VALUE"""),"USD PKR rate for 14/11/2014")</f>
        <v>USD PKR rate for 14/11/2014</v>
      </c>
      <c r="I3350" s="9"/>
    </row>
    <row r="3351" spans="1:9" ht="14.25" customHeight="1" x14ac:dyDescent="0.3">
      <c r="A3351" s="6">
        <v>43068</v>
      </c>
      <c r="B3351" s="7">
        <v>105.3904</v>
      </c>
      <c r="C3351" s="8">
        <f t="shared" si="27"/>
        <v>143.77751236446599</v>
      </c>
      <c r="D3351" s="9">
        <f t="shared" si="26"/>
        <v>70.909869449180889</v>
      </c>
      <c r="E3351" s="9"/>
      <c r="F3351" s="9">
        <f ca="1">IFERROR(__xludf.DUMMYFUNCTION("""COMPUTED_VALUE"""),41956)</f>
        <v>41956</v>
      </c>
      <c r="G3351" s="9" t="str">
        <f ca="1">IFERROR(__xludf.DUMMYFUNCTION("""COMPUTED_VALUE"""),"1 USD = 101.6025 PKR")</f>
        <v>1 USD = 101.6025 PKR</v>
      </c>
      <c r="H3351" s="9" t="str">
        <f ca="1">IFERROR(__xludf.DUMMYFUNCTION("""COMPUTED_VALUE"""),"USD PKR rate for 13/11/2014")</f>
        <v>USD PKR rate for 13/11/2014</v>
      </c>
      <c r="I3351" s="9"/>
    </row>
    <row r="3352" spans="1:9" ht="14.25" customHeight="1" x14ac:dyDescent="0.3">
      <c r="A3352" s="6">
        <v>43069</v>
      </c>
      <c r="B3352" s="7">
        <v>105.32600000000001</v>
      </c>
      <c r="C3352" s="8">
        <f t="shared" si="27"/>
        <v>143.80322693924751</v>
      </c>
      <c r="D3352" s="9">
        <f t="shared" si="26"/>
        <v>70.912607281978154</v>
      </c>
      <c r="E3352" s="9"/>
      <c r="F3352" s="9">
        <f ca="1">IFERROR(__xludf.DUMMYFUNCTION("""COMPUTED_VALUE"""),41955)</f>
        <v>41955</v>
      </c>
      <c r="G3352" s="9" t="str">
        <f ca="1">IFERROR(__xludf.DUMMYFUNCTION("""COMPUTED_VALUE"""),"1 USD = 101.805 PKR")</f>
        <v>1 USD = 101.805 PKR</v>
      </c>
      <c r="H3352" s="9" t="str">
        <f ca="1">IFERROR(__xludf.DUMMYFUNCTION("""COMPUTED_VALUE"""),"USD PKR rate for 12/11/2014")</f>
        <v>USD PKR rate for 12/11/2014</v>
      </c>
      <c r="I3352" s="9"/>
    </row>
    <row r="3353" spans="1:9" ht="14.25" customHeight="1" x14ac:dyDescent="0.3">
      <c r="A3353" s="6">
        <v>43070</v>
      </c>
      <c r="B3353" s="7">
        <v>105.40219999999999</v>
      </c>
      <c r="C3353" s="8">
        <f t="shared" si="27"/>
        <v>143.82894611307472</v>
      </c>
      <c r="D3353" s="9">
        <f t="shared" si="26"/>
        <v>70.91534511477542</v>
      </c>
      <c r="E3353" s="9"/>
      <c r="F3353" s="9">
        <f ca="1">IFERROR(__xludf.DUMMYFUNCTION("""COMPUTED_VALUE"""),41954)</f>
        <v>41954</v>
      </c>
      <c r="G3353" s="9" t="str">
        <f ca="1">IFERROR(__xludf.DUMMYFUNCTION("""COMPUTED_VALUE"""),"1 USD = 101.4891 PKR")</f>
        <v>1 USD = 101.4891 PKR</v>
      </c>
      <c r="H3353" s="9" t="str">
        <f ca="1">IFERROR(__xludf.DUMMYFUNCTION("""COMPUTED_VALUE"""),"USD PKR rate for 11/11/2014")</f>
        <v>USD PKR rate for 11/11/2014</v>
      </c>
      <c r="I3353" s="9"/>
    </row>
    <row r="3354" spans="1:9" ht="14.25" customHeight="1" x14ac:dyDescent="0.3">
      <c r="A3354" s="6">
        <v>43071</v>
      </c>
      <c r="B3354" s="7">
        <v>105.40219999999999</v>
      </c>
      <c r="C3354" s="8">
        <f t="shared" si="27"/>
        <v>143.85466988677027</v>
      </c>
      <c r="D3354" s="9">
        <f t="shared" si="26"/>
        <v>70.918082947572685</v>
      </c>
      <c r="E3354" s="9"/>
      <c r="F3354" s="9">
        <f ca="1">IFERROR(__xludf.DUMMYFUNCTION("""COMPUTED_VALUE"""),41953)</f>
        <v>41953</v>
      </c>
      <c r="G3354" s="9" t="str">
        <f ca="1">IFERROR(__xludf.DUMMYFUNCTION("""COMPUTED_VALUE"""),"1 USD = 101.6606 PKR")</f>
        <v>1 USD = 101.6606 PKR</v>
      </c>
      <c r="H3354" s="9" t="str">
        <f ca="1">IFERROR(__xludf.DUMMYFUNCTION("""COMPUTED_VALUE"""),"USD PKR rate for 10/11/2014")</f>
        <v>USD PKR rate for 10/11/2014</v>
      </c>
      <c r="I3354" s="9"/>
    </row>
    <row r="3355" spans="1:9" ht="14.25" customHeight="1" x14ac:dyDescent="0.3">
      <c r="A3355" s="6">
        <v>43072</v>
      </c>
      <c r="B3355" s="7">
        <v>105.39190000000001</v>
      </c>
      <c r="C3355" s="8">
        <f t="shared" si="27"/>
        <v>143.88039826115676</v>
      </c>
      <c r="D3355" s="9">
        <f t="shared" si="26"/>
        <v>70.920820780369951</v>
      </c>
      <c r="E3355" s="9"/>
      <c r="F3355" s="9">
        <f ca="1">IFERROR(__xludf.DUMMYFUNCTION("""COMPUTED_VALUE"""),41952)</f>
        <v>41952</v>
      </c>
      <c r="G3355" s="9" t="str">
        <f ca="1">IFERROR(__xludf.DUMMYFUNCTION("""COMPUTED_VALUE"""),"1 USD = 101.7538 PKR")</f>
        <v>1 USD = 101.7538 PKR</v>
      </c>
      <c r="H3355" s="9" t="str">
        <f ca="1">IFERROR(__xludf.DUMMYFUNCTION("""COMPUTED_VALUE"""),"USD PKR rate for 09/11/2014")</f>
        <v>USD PKR rate for 09/11/2014</v>
      </c>
      <c r="I3355" s="9"/>
    </row>
    <row r="3356" spans="1:9" ht="14.25" customHeight="1" x14ac:dyDescent="0.3">
      <c r="A3356" s="6">
        <v>43073</v>
      </c>
      <c r="B3356" s="7">
        <v>105.4</v>
      </c>
      <c r="C3356" s="8">
        <f t="shared" si="27"/>
        <v>143.90613123705705</v>
      </c>
      <c r="D3356" s="9">
        <f t="shared" si="26"/>
        <v>70.923558613167216</v>
      </c>
      <c r="E3356" s="9"/>
      <c r="F3356" s="9">
        <f ca="1">IFERROR(__xludf.DUMMYFUNCTION("""COMPUTED_VALUE"""),41951)</f>
        <v>41951</v>
      </c>
      <c r="G3356" s="9" t="str">
        <f ca="1">IFERROR(__xludf.DUMMYFUNCTION("""COMPUTED_VALUE"""),"1 USD = 102.352 PKR")</f>
        <v>1 USD = 102.352 PKR</v>
      </c>
      <c r="H3356" s="9" t="str">
        <f ca="1">IFERROR(__xludf.DUMMYFUNCTION("""COMPUTED_VALUE"""),"USD PKR rate for 08/11/2014")</f>
        <v>USD PKR rate for 08/11/2014</v>
      </c>
      <c r="I3356" s="9"/>
    </row>
    <row r="3357" spans="1:9" ht="14.25" customHeight="1" x14ac:dyDescent="0.3">
      <c r="A3357" s="6">
        <v>43074</v>
      </c>
      <c r="B3357" s="7">
        <v>105.7354</v>
      </c>
      <c r="C3357" s="8">
        <f t="shared" si="27"/>
        <v>143.931868815294</v>
      </c>
      <c r="D3357" s="9">
        <f t="shared" si="26"/>
        <v>70.926296445964482</v>
      </c>
      <c r="E3357" s="9"/>
      <c r="F3357" s="9">
        <f ca="1">IFERROR(__xludf.DUMMYFUNCTION("""COMPUTED_VALUE"""),41950)</f>
        <v>41950</v>
      </c>
      <c r="G3357" s="9" t="str">
        <f ca="1">IFERROR(__xludf.DUMMYFUNCTION("""COMPUTED_VALUE"""),"1 USD = 102.3162 PKR")</f>
        <v>1 USD = 102.3162 PKR</v>
      </c>
      <c r="H3357" s="9" t="str">
        <f ca="1">IFERROR(__xludf.DUMMYFUNCTION("""COMPUTED_VALUE"""),"USD PKR rate for 07/11/2014")</f>
        <v>USD PKR rate for 07/11/2014</v>
      </c>
      <c r="I3357" s="9"/>
    </row>
    <row r="3358" spans="1:9" ht="14.25" customHeight="1" x14ac:dyDescent="0.3">
      <c r="A3358" s="6">
        <v>43075</v>
      </c>
      <c r="B3358" s="7">
        <v>105.5594</v>
      </c>
      <c r="C3358" s="8">
        <f t="shared" si="27"/>
        <v>143.95761099669096</v>
      </c>
      <c r="D3358" s="9">
        <f t="shared" si="26"/>
        <v>70.929034278761748</v>
      </c>
      <c r="E3358" s="9"/>
      <c r="F3358" s="9">
        <f ca="1">IFERROR(__xludf.DUMMYFUNCTION("""COMPUTED_VALUE"""),41949)</f>
        <v>41949</v>
      </c>
      <c r="G3358" s="9" t="str">
        <f ca="1">IFERROR(__xludf.DUMMYFUNCTION("""COMPUTED_VALUE"""),"1 USD = 102.9139 PKR")</f>
        <v>1 USD = 102.9139 PKR</v>
      </c>
      <c r="H3358" s="9" t="str">
        <f ca="1">IFERROR(__xludf.DUMMYFUNCTION("""COMPUTED_VALUE"""),"USD PKR rate for 06/11/2014")</f>
        <v>USD PKR rate for 06/11/2014</v>
      </c>
      <c r="I3358" s="9"/>
    </row>
    <row r="3359" spans="1:9" ht="14.25" customHeight="1" x14ac:dyDescent="0.3">
      <c r="A3359" s="6">
        <v>43076</v>
      </c>
      <c r="B3359" s="7">
        <v>105.4295</v>
      </c>
      <c r="C3359" s="8">
        <f t="shared" si="27"/>
        <v>143.9833577820711</v>
      </c>
      <c r="D3359" s="9">
        <f t="shared" si="26"/>
        <v>70.931772111559013</v>
      </c>
      <c r="E3359" s="9"/>
      <c r="F3359" s="9">
        <f ca="1">IFERROR(__xludf.DUMMYFUNCTION("""COMPUTED_VALUE"""),41948)</f>
        <v>41948</v>
      </c>
      <c r="G3359" s="9" t="str">
        <f ca="1">IFERROR(__xludf.DUMMYFUNCTION("""COMPUTED_VALUE"""),"1 USD = 102.7273 PKR")</f>
        <v>1 USD = 102.7273 PKR</v>
      </c>
      <c r="H3359" s="9" t="str">
        <f ca="1">IFERROR(__xludf.DUMMYFUNCTION("""COMPUTED_VALUE"""),"USD PKR rate for 05/11/2014")</f>
        <v>USD PKR rate for 05/11/2014</v>
      </c>
      <c r="I3359" s="9"/>
    </row>
    <row r="3360" spans="1:9" ht="14.25" customHeight="1" x14ac:dyDescent="0.3">
      <c r="A3360" s="6">
        <v>43077</v>
      </c>
      <c r="B3360" s="7">
        <v>105.9</v>
      </c>
      <c r="C3360" s="8">
        <f t="shared" si="27"/>
        <v>144.00910917225787</v>
      </c>
      <c r="D3360" s="9">
        <f t="shared" si="26"/>
        <v>70.934509944356279</v>
      </c>
      <c r="E3360" s="9"/>
      <c r="F3360" s="9">
        <f ca="1">IFERROR(__xludf.DUMMYFUNCTION("""COMPUTED_VALUE"""),41947)</f>
        <v>41947</v>
      </c>
      <c r="G3360" s="9" t="str">
        <f ca="1">IFERROR(__xludf.DUMMYFUNCTION("""COMPUTED_VALUE"""),"1 USD = 102.7366 PKR")</f>
        <v>1 USD = 102.7366 PKR</v>
      </c>
      <c r="H3360" s="9" t="str">
        <f ca="1">IFERROR(__xludf.DUMMYFUNCTION("""COMPUTED_VALUE"""),"USD PKR rate for 04/11/2014")</f>
        <v>USD PKR rate for 04/11/2014</v>
      </c>
      <c r="I3360" s="9"/>
    </row>
    <row r="3361" spans="1:9" ht="14.25" customHeight="1" x14ac:dyDescent="0.3">
      <c r="A3361" s="6">
        <v>43078</v>
      </c>
      <c r="B3361" s="7">
        <v>105.7273</v>
      </c>
      <c r="C3361" s="8">
        <f t="shared" si="27"/>
        <v>144.03486516807479</v>
      </c>
      <c r="D3361" s="9">
        <f t="shared" si="26"/>
        <v>70.937247777153544</v>
      </c>
      <c r="E3361" s="9"/>
      <c r="F3361" s="9">
        <f ca="1">IFERROR(__xludf.DUMMYFUNCTION("""COMPUTED_VALUE"""),41946)</f>
        <v>41946</v>
      </c>
      <c r="G3361" s="9" t="str">
        <f ca="1">IFERROR(__xludf.DUMMYFUNCTION("""COMPUTED_VALUE"""),"1 USD = 103.0554 PKR")</f>
        <v>1 USD = 103.0554 PKR</v>
      </c>
      <c r="H3361" s="9" t="str">
        <f ca="1">IFERROR(__xludf.DUMMYFUNCTION("""COMPUTED_VALUE"""),"USD PKR rate for 03/11/2014")</f>
        <v>USD PKR rate for 03/11/2014</v>
      </c>
      <c r="I3361" s="9"/>
    </row>
    <row r="3362" spans="1:9" ht="14.25" customHeight="1" x14ac:dyDescent="0.3">
      <c r="A3362" s="6">
        <v>43079</v>
      </c>
      <c r="B3362" s="7">
        <v>105.768</v>
      </c>
      <c r="C3362" s="8">
        <f t="shared" si="27"/>
        <v>144.06062577034561</v>
      </c>
      <c r="D3362" s="9">
        <f t="shared" si="26"/>
        <v>70.93998560995081</v>
      </c>
      <c r="E3362" s="9"/>
      <c r="F3362" s="9">
        <f ca="1">IFERROR(__xludf.DUMMYFUNCTION("""COMPUTED_VALUE"""),41945)</f>
        <v>41945</v>
      </c>
      <c r="G3362" s="9" t="str">
        <f ca="1">IFERROR(__xludf.DUMMYFUNCTION("""COMPUTED_VALUE"""),"1 USD = 103.034 PKR")</f>
        <v>1 USD = 103.034 PKR</v>
      </c>
      <c r="H3362" s="9" t="str">
        <f ca="1">IFERROR(__xludf.DUMMYFUNCTION("""COMPUTED_VALUE"""),"USD PKR rate for 02/11/2014")</f>
        <v>USD PKR rate for 02/11/2014</v>
      </c>
      <c r="I3362" s="9"/>
    </row>
    <row r="3363" spans="1:9" ht="14.25" customHeight="1" x14ac:dyDescent="0.3">
      <c r="A3363" s="6">
        <v>43080</v>
      </c>
      <c r="B3363" s="7">
        <v>107.6122</v>
      </c>
      <c r="C3363" s="8">
        <f t="shared" si="27"/>
        <v>144.08639097989416</v>
      </c>
      <c r="D3363" s="9">
        <f t="shared" si="26"/>
        <v>70.942723442748076</v>
      </c>
      <c r="E3363" s="9"/>
      <c r="F3363" s="9">
        <f ca="1">IFERROR(__xludf.DUMMYFUNCTION("""COMPUTED_VALUE"""),41944)</f>
        <v>41944</v>
      </c>
      <c r="G3363" s="9" t="str">
        <f ca="1">IFERROR(__xludf.DUMMYFUNCTION("""COMPUTED_VALUE"""),"1 USD = 102.8907 PKR")</f>
        <v>1 USD = 102.8907 PKR</v>
      </c>
      <c r="H3363" s="9" t="str">
        <f ca="1">IFERROR(__xludf.DUMMYFUNCTION("""COMPUTED_VALUE"""),"USD PKR rate for 01/11/2014")</f>
        <v>USD PKR rate for 01/11/2014</v>
      </c>
      <c r="I3363" s="9"/>
    </row>
    <row r="3364" spans="1:9" ht="14.25" customHeight="1" x14ac:dyDescent="0.3">
      <c r="A3364" s="6">
        <v>43081</v>
      </c>
      <c r="B3364" s="7">
        <v>108.9554</v>
      </c>
      <c r="C3364" s="8">
        <f t="shared" si="27"/>
        <v>144.1121607975445</v>
      </c>
      <c r="D3364" s="9">
        <f t="shared" si="26"/>
        <v>70.945461275545341</v>
      </c>
      <c r="E3364" s="9"/>
      <c r="F3364" s="9">
        <f ca="1">IFERROR(__xludf.DUMMYFUNCTION("""COMPUTED_VALUE"""),41943)</f>
        <v>41943</v>
      </c>
      <c r="G3364" s="9" t="str">
        <f ca="1">IFERROR(__xludf.DUMMYFUNCTION("""COMPUTED_VALUE"""),"1 USD = 103.1043 PKR")</f>
        <v>1 USD = 103.1043 PKR</v>
      </c>
      <c r="H3364" s="9" t="str">
        <f ca="1">IFERROR(__xludf.DUMMYFUNCTION("""COMPUTED_VALUE"""),"USD PKR rate for 31/10/2014")</f>
        <v>USD PKR rate for 31/10/2014</v>
      </c>
      <c r="I3364" s="9"/>
    </row>
    <row r="3365" spans="1:9" ht="14.25" customHeight="1" x14ac:dyDescent="0.3">
      <c r="A3365" s="6">
        <v>43082</v>
      </c>
      <c r="B3365" s="7">
        <v>108.6725</v>
      </c>
      <c r="C3365" s="8">
        <f t="shared" si="27"/>
        <v>144.13793522412072</v>
      </c>
      <c r="D3365" s="9">
        <f t="shared" si="26"/>
        <v>70.948199108342607</v>
      </c>
      <c r="E3365" s="9"/>
      <c r="F3365" s="9">
        <f ca="1">IFERROR(__xludf.DUMMYFUNCTION("""COMPUTED_VALUE"""),41942)</f>
        <v>41942</v>
      </c>
      <c r="G3365" s="9" t="str">
        <f ca="1">IFERROR(__xludf.DUMMYFUNCTION("""COMPUTED_VALUE"""),"1 USD = 102.9402 PKR")</f>
        <v>1 USD = 102.9402 PKR</v>
      </c>
      <c r="H3365" s="9" t="str">
        <f ca="1">IFERROR(__xludf.DUMMYFUNCTION("""COMPUTED_VALUE"""),"USD PKR rate for 30/10/2014")</f>
        <v>USD PKR rate for 30/10/2014</v>
      </c>
      <c r="I3365" s="9"/>
    </row>
    <row r="3366" spans="1:9" ht="14.25" customHeight="1" x14ac:dyDescent="0.3">
      <c r="A3366" s="6">
        <v>43083</v>
      </c>
      <c r="B3366" s="7">
        <v>110.27610000000001</v>
      </c>
      <c r="C3366" s="8">
        <f t="shared" si="27"/>
        <v>144.16371426044705</v>
      </c>
      <c r="D3366" s="9">
        <f t="shared" si="26"/>
        <v>70.950936941139872</v>
      </c>
      <c r="E3366" s="9"/>
      <c r="F3366" s="9">
        <f ca="1">IFERROR(__xludf.DUMMYFUNCTION("""COMPUTED_VALUE"""),41941)</f>
        <v>41941</v>
      </c>
      <c r="G3366" s="9" t="str">
        <f ca="1">IFERROR(__xludf.DUMMYFUNCTION("""COMPUTED_VALUE"""),"1 USD = 103.3787 PKR")</f>
        <v>1 USD = 103.3787 PKR</v>
      </c>
      <c r="H3366" s="9" t="str">
        <f ca="1">IFERROR(__xludf.DUMMYFUNCTION("""COMPUTED_VALUE"""),"USD PKR rate for 29/10/2014")</f>
        <v>USD PKR rate for 29/10/2014</v>
      </c>
      <c r="I3366" s="9"/>
    </row>
    <row r="3367" spans="1:9" ht="14.25" customHeight="1" x14ac:dyDescent="0.3">
      <c r="A3367" s="6">
        <v>43084</v>
      </c>
      <c r="B3367" s="7">
        <v>110.3325</v>
      </c>
      <c r="C3367" s="8">
        <f t="shared" si="27"/>
        <v>144.1894979073482</v>
      </c>
      <c r="D3367" s="9">
        <f t="shared" si="26"/>
        <v>70.953674773937138</v>
      </c>
      <c r="E3367" s="9"/>
      <c r="F3367" s="9">
        <f ca="1">IFERROR(__xludf.DUMMYFUNCTION("""COMPUTED_VALUE"""),41940)</f>
        <v>41940</v>
      </c>
      <c r="G3367" s="9" t="str">
        <f ca="1">IFERROR(__xludf.DUMMYFUNCTION("""COMPUTED_VALUE"""),"1 USD = 102.85 PKR")</f>
        <v>1 USD = 102.85 PKR</v>
      </c>
      <c r="H3367" s="9" t="str">
        <f ca="1">IFERROR(__xludf.DUMMYFUNCTION("""COMPUTED_VALUE"""),"USD PKR rate for 28/10/2014")</f>
        <v>USD PKR rate for 28/10/2014</v>
      </c>
      <c r="I3367" s="9"/>
    </row>
    <row r="3368" spans="1:9" ht="14.25" customHeight="1" x14ac:dyDescent="0.3">
      <c r="A3368" s="6">
        <v>43085</v>
      </c>
      <c r="B3368" s="7">
        <v>110.3325</v>
      </c>
      <c r="C3368" s="8">
        <f t="shared" si="27"/>
        <v>144.21528616564859</v>
      </c>
      <c r="D3368" s="9">
        <f t="shared" si="26"/>
        <v>70.956412606734403</v>
      </c>
      <c r="E3368" s="9"/>
      <c r="F3368" s="9">
        <f ca="1">IFERROR(__xludf.DUMMYFUNCTION("""COMPUTED_VALUE"""),41939)</f>
        <v>41939</v>
      </c>
      <c r="G3368" s="9" t="str">
        <f ca="1">IFERROR(__xludf.DUMMYFUNCTION("""COMPUTED_VALUE"""),"1 USD = 102.8124 PKR")</f>
        <v>1 USD = 102.8124 PKR</v>
      </c>
      <c r="H3368" s="9" t="str">
        <f ca="1">IFERROR(__xludf.DUMMYFUNCTION("""COMPUTED_VALUE"""),"USD PKR rate for 27/10/2014")</f>
        <v>USD PKR rate for 27/10/2014</v>
      </c>
      <c r="I3368" s="9"/>
    </row>
    <row r="3369" spans="1:9" ht="14.25" customHeight="1" x14ac:dyDescent="0.3">
      <c r="A3369" s="6">
        <v>43086</v>
      </c>
      <c r="B3369" s="7">
        <v>110.24060000000001</v>
      </c>
      <c r="C3369" s="8">
        <f t="shared" si="27"/>
        <v>144.24107903617303</v>
      </c>
      <c r="D3369" s="9">
        <f t="shared" si="26"/>
        <v>70.959150439531669</v>
      </c>
      <c r="E3369" s="9"/>
      <c r="F3369" s="9">
        <f ca="1">IFERROR(__xludf.DUMMYFUNCTION("""COMPUTED_VALUE"""),41938)</f>
        <v>41938</v>
      </c>
      <c r="G3369" s="9" t="str">
        <f ca="1">IFERROR(__xludf.DUMMYFUNCTION("""COMPUTED_VALUE"""),"1 USD = 102.8647 PKR")</f>
        <v>1 USD = 102.8647 PKR</v>
      </c>
      <c r="H3369" s="9" t="str">
        <f ca="1">IFERROR(__xludf.DUMMYFUNCTION("""COMPUTED_VALUE"""),"USD PKR rate for 26/10/2014")</f>
        <v>USD PKR rate for 26/10/2014</v>
      </c>
      <c r="I3369" s="9"/>
    </row>
    <row r="3370" spans="1:9" ht="14.25" customHeight="1" x14ac:dyDescent="0.3">
      <c r="A3370" s="6">
        <v>43087</v>
      </c>
      <c r="B3370" s="7">
        <v>109.9691</v>
      </c>
      <c r="C3370" s="8">
        <f t="shared" si="27"/>
        <v>144.2668765197464</v>
      </c>
      <c r="D3370" s="9">
        <f t="shared" si="26"/>
        <v>70.961888272328935</v>
      </c>
      <c r="E3370" s="9"/>
      <c r="F3370" s="9">
        <f ca="1">IFERROR(__xludf.DUMMYFUNCTION("""COMPUTED_VALUE"""),41937)</f>
        <v>41937</v>
      </c>
      <c r="G3370" s="9" t="str">
        <f ca="1">IFERROR(__xludf.DUMMYFUNCTION("""COMPUTED_VALUE"""),"1 USD = 102.9932 PKR")</f>
        <v>1 USD = 102.9932 PKR</v>
      </c>
      <c r="H3370" s="9" t="str">
        <f ca="1">IFERROR(__xludf.DUMMYFUNCTION("""COMPUTED_VALUE"""),"USD PKR rate for 25/10/2014")</f>
        <v>USD PKR rate for 25/10/2014</v>
      </c>
      <c r="I3370" s="9"/>
    </row>
    <row r="3371" spans="1:9" ht="14.25" customHeight="1" x14ac:dyDescent="0.3">
      <c r="A3371" s="6">
        <v>43088</v>
      </c>
      <c r="B3371" s="7">
        <v>110.32389999999999</v>
      </c>
      <c r="C3371" s="8">
        <f t="shared" si="27"/>
        <v>144.2926786171937</v>
      </c>
      <c r="D3371" s="9">
        <f t="shared" si="26"/>
        <v>70.9646261051262</v>
      </c>
      <c r="E3371" s="9"/>
      <c r="F3371" s="9">
        <f ca="1">IFERROR(__xludf.DUMMYFUNCTION("""COMPUTED_VALUE"""),41936)</f>
        <v>41936</v>
      </c>
      <c r="G3371" s="9" t="str">
        <f ca="1">IFERROR(__xludf.DUMMYFUNCTION("""COMPUTED_VALUE"""),"1 USD = 103.0184 PKR")</f>
        <v>1 USD = 103.0184 PKR</v>
      </c>
      <c r="H3371" s="9" t="str">
        <f ca="1">IFERROR(__xludf.DUMMYFUNCTION("""COMPUTED_VALUE"""),"USD PKR rate for 24/10/2014")</f>
        <v>USD PKR rate for 24/10/2014</v>
      </c>
      <c r="I3371" s="9"/>
    </row>
    <row r="3372" spans="1:9" ht="14.25" customHeight="1" x14ac:dyDescent="0.3">
      <c r="A3372" s="6">
        <v>43089</v>
      </c>
      <c r="B3372" s="7">
        <v>110.5498</v>
      </c>
      <c r="C3372" s="8">
        <f t="shared" si="27"/>
        <v>144.31848532934018</v>
      </c>
      <c r="D3372" s="9">
        <f t="shared" si="26"/>
        <v>70.967363937923466</v>
      </c>
      <c r="E3372" s="9"/>
      <c r="F3372" s="9">
        <f ca="1">IFERROR(__xludf.DUMMYFUNCTION("""COMPUTED_VALUE"""),41935)</f>
        <v>41935</v>
      </c>
      <c r="G3372" s="9" t="str">
        <f ca="1">IFERROR(__xludf.DUMMYFUNCTION("""COMPUTED_VALUE"""),"1 USD = 102.987 PKR")</f>
        <v>1 USD = 102.987 PKR</v>
      </c>
      <c r="H3372" s="9" t="str">
        <f ca="1">IFERROR(__xludf.DUMMYFUNCTION("""COMPUTED_VALUE"""),"USD PKR rate for 23/10/2014")</f>
        <v>USD PKR rate for 23/10/2014</v>
      </c>
      <c r="I3372" s="9"/>
    </row>
    <row r="3373" spans="1:9" ht="14.25" customHeight="1" x14ac:dyDescent="0.3">
      <c r="A3373" s="6">
        <v>43090</v>
      </c>
      <c r="B3373" s="7">
        <v>110.66310000000001</v>
      </c>
      <c r="C3373" s="8">
        <f t="shared" si="27"/>
        <v>144.34429665701111</v>
      </c>
      <c r="D3373" s="9">
        <f t="shared" si="26"/>
        <v>70.970101770720731</v>
      </c>
      <c r="E3373" s="9"/>
      <c r="F3373" s="9">
        <f ca="1">IFERROR(__xludf.DUMMYFUNCTION("""COMPUTED_VALUE"""),41934)</f>
        <v>41934</v>
      </c>
      <c r="G3373" s="9" t="str">
        <f ca="1">IFERROR(__xludf.DUMMYFUNCTION("""COMPUTED_VALUE"""),"1 USD = 102.8922 PKR")</f>
        <v>1 USD = 102.8922 PKR</v>
      </c>
      <c r="H3373" s="9" t="str">
        <f ca="1">IFERROR(__xludf.DUMMYFUNCTION("""COMPUTED_VALUE"""),"USD PKR rate for 22/10/2014")</f>
        <v>USD PKR rate for 22/10/2014</v>
      </c>
      <c r="I3373" s="9"/>
    </row>
    <row r="3374" spans="1:9" ht="14.25" customHeight="1" x14ac:dyDescent="0.3">
      <c r="A3374" s="6">
        <v>43091</v>
      </c>
      <c r="B3374" s="7">
        <v>110.59990000000001</v>
      </c>
      <c r="C3374" s="8">
        <f t="shared" si="27"/>
        <v>144.37011260103205</v>
      </c>
      <c r="D3374" s="9">
        <f t="shared" si="26"/>
        <v>70.972839603517997</v>
      </c>
      <c r="E3374" s="9"/>
      <c r="F3374" s="9">
        <f ca="1">IFERROR(__xludf.DUMMYFUNCTION("""COMPUTED_VALUE"""),41933)</f>
        <v>41933</v>
      </c>
      <c r="G3374" s="9" t="str">
        <f ca="1">IFERROR(__xludf.DUMMYFUNCTION("""COMPUTED_VALUE"""),"1 USD = 103.0756 PKR")</f>
        <v>1 USD = 103.0756 PKR</v>
      </c>
      <c r="H3374" s="9" t="str">
        <f ca="1">IFERROR(__xludf.DUMMYFUNCTION("""COMPUTED_VALUE"""),"USD PKR rate for 21/10/2014")</f>
        <v>USD PKR rate for 21/10/2014</v>
      </c>
      <c r="I3374" s="9"/>
    </row>
    <row r="3375" spans="1:9" ht="14.25" customHeight="1" x14ac:dyDescent="0.3">
      <c r="A3375" s="6">
        <v>43092</v>
      </c>
      <c r="B3375" s="7">
        <v>110.60000000000001</v>
      </c>
      <c r="C3375" s="8">
        <f t="shared" si="27"/>
        <v>144.39593316222846</v>
      </c>
      <c r="D3375" s="9">
        <f t="shared" si="26"/>
        <v>70.975577436315263</v>
      </c>
      <c r="E3375" s="9"/>
      <c r="F3375" s="9">
        <f ca="1">IFERROR(__xludf.DUMMYFUNCTION("""COMPUTED_VALUE"""),41932)</f>
        <v>41932</v>
      </c>
      <c r="G3375" s="9" t="str">
        <f ca="1">IFERROR(__xludf.DUMMYFUNCTION("""COMPUTED_VALUE"""),"1 USD = 102.877 PKR")</f>
        <v>1 USD = 102.877 PKR</v>
      </c>
      <c r="H3375" s="9" t="str">
        <f ca="1">IFERROR(__xludf.DUMMYFUNCTION("""COMPUTED_VALUE"""),"USD PKR rate for 20/10/2014")</f>
        <v>USD PKR rate for 20/10/2014</v>
      </c>
      <c r="I3375" s="9"/>
    </row>
    <row r="3376" spans="1:9" ht="14.25" customHeight="1" x14ac:dyDescent="0.3">
      <c r="A3376" s="6">
        <v>43093</v>
      </c>
      <c r="B3376" s="7">
        <v>110.5945</v>
      </c>
      <c r="C3376" s="8">
        <f t="shared" si="27"/>
        <v>144.4217583414264</v>
      </c>
      <c r="D3376" s="9">
        <f t="shared" si="26"/>
        <v>70.978315269112528</v>
      </c>
      <c r="E3376" s="9"/>
      <c r="F3376" s="9">
        <f ca="1">IFERROR(__xludf.DUMMYFUNCTION("""COMPUTED_VALUE"""),41931)</f>
        <v>41931</v>
      </c>
      <c r="G3376" s="9" t="str">
        <f ca="1">IFERROR(__xludf.DUMMYFUNCTION("""COMPUTED_VALUE"""),"1 USD = 102.8732 PKR")</f>
        <v>1 USD = 102.8732 PKR</v>
      </c>
      <c r="H3376" s="9" t="str">
        <f ca="1">IFERROR(__xludf.DUMMYFUNCTION("""COMPUTED_VALUE"""),"USD PKR rate for 19/10/2014")</f>
        <v>USD PKR rate for 19/10/2014</v>
      </c>
      <c r="I3376" s="9"/>
    </row>
    <row r="3377" spans="1:9" ht="14.25" customHeight="1" x14ac:dyDescent="0.3">
      <c r="A3377" s="6">
        <v>43094</v>
      </c>
      <c r="B3377" s="7">
        <v>110.50920000000001</v>
      </c>
      <c r="C3377" s="8">
        <f t="shared" si="27"/>
        <v>144.44758813945165</v>
      </c>
      <c r="D3377" s="9">
        <f t="shared" si="26"/>
        <v>70.981053101909794</v>
      </c>
      <c r="E3377" s="9"/>
      <c r="F3377" s="9">
        <f ca="1">IFERROR(__xludf.DUMMYFUNCTION("""COMPUTED_VALUE"""),41930)</f>
        <v>41930</v>
      </c>
      <c r="G3377" s="9" t="str">
        <f ca="1">IFERROR(__xludf.DUMMYFUNCTION("""COMPUTED_VALUE"""),"1 USD = 102.7995 PKR")</f>
        <v>1 USD = 102.7995 PKR</v>
      </c>
      <c r="H3377" s="9" t="str">
        <f ca="1">IFERROR(__xludf.DUMMYFUNCTION("""COMPUTED_VALUE"""),"USD PKR rate for 18/10/2014")</f>
        <v>USD PKR rate for 18/10/2014</v>
      </c>
      <c r="I3377" s="9"/>
    </row>
    <row r="3378" spans="1:9" ht="14.25" customHeight="1" x14ac:dyDescent="0.3">
      <c r="A3378" s="6">
        <v>43095</v>
      </c>
      <c r="B3378" s="7">
        <v>110.64</v>
      </c>
      <c r="C3378" s="8">
        <f t="shared" si="27"/>
        <v>144.47342255713028</v>
      </c>
      <c r="D3378" s="9">
        <f t="shared" si="26"/>
        <v>70.983790934707059</v>
      </c>
      <c r="E3378" s="9"/>
      <c r="F3378" s="9">
        <f ca="1">IFERROR(__xludf.DUMMYFUNCTION("""COMPUTED_VALUE"""),41929)</f>
        <v>41929</v>
      </c>
      <c r="G3378" s="9" t="str">
        <f ca="1">IFERROR(__xludf.DUMMYFUNCTION("""COMPUTED_VALUE"""),"1 USD = 102.6891 PKR")</f>
        <v>1 USD = 102.6891 PKR</v>
      </c>
      <c r="H3378" s="9" t="str">
        <f ca="1">IFERROR(__xludf.DUMMYFUNCTION("""COMPUTED_VALUE"""),"USD PKR rate for 17/10/2014")</f>
        <v>USD PKR rate for 17/10/2014</v>
      </c>
      <c r="I3378" s="9"/>
    </row>
    <row r="3379" spans="1:9" ht="14.25" customHeight="1" x14ac:dyDescent="0.3">
      <c r="A3379" s="6">
        <v>43096</v>
      </c>
      <c r="B3379" s="7">
        <v>110.65050000000001</v>
      </c>
      <c r="C3379" s="8">
        <f t="shared" si="27"/>
        <v>144.49926159528854</v>
      </c>
      <c r="D3379" s="9">
        <f t="shared" si="26"/>
        <v>70.986528767504325</v>
      </c>
      <c r="E3379" s="9"/>
      <c r="F3379" s="9">
        <f ca="1">IFERROR(__xludf.DUMMYFUNCTION("""COMPUTED_VALUE"""),41928)</f>
        <v>41928</v>
      </c>
      <c r="G3379" s="9" t="str">
        <f ca="1">IFERROR(__xludf.DUMMYFUNCTION("""COMPUTED_VALUE"""),"1 USD = 102.6167 PKR")</f>
        <v>1 USD = 102.6167 PKR</v>
      </c>
      <c r="H3379" s="9" t="str">
        <f ca="1">IFERROR(__xludf.DUMMYFUNCTION("""COMPUTED_VALUE"""),"USD PKR rate for 16/10/2014")</f>
        <v>USD PKR rate for 16/10/2014</v>
      </c>
      <c r="I3379" s="9"/>
    </row>
    <row r="3380" spans="1:9" ht="14.25" customHeight="1" x14ac:dyDescent="0.3">
      <c r="A3380" s="6">
        <v>43097</v>
      </c>
      <c r="B3380" s="7">
        <v>110.65590000000002</v>
      </c>
      <c r="C3380" s="8">
        <f t="shared" si="27"/>
        <v>144.52510525475276</v>
      </c>
      <c r="D3380" s="9">
        <f t="shared" si="26"/>
        <v>70.98926660030159</v>
      </c>
      <c r="E3380" s="9"/>
      <c r="F3380" s="9">
        <f ca="1">IFERROR(__xludf.DUMMYFUNCTION("""COMPUTED_VALUE"""),41927)</f>
        <v>41927</v>
      </c>
      <c r="G3380" s="9" t="str">
        <f ca="1">IFERROR(__xludf.DUMMYFUNCTION("""COMPUTED_VALUE"""),"1 USD = 102.2847 PKR")</f>
        <v>1 USD = 102.2847 PKR</v>
      </c>
      <c r="H3380" s="9" t="str">
        <f ca="1">IFERROR(__xludf.DUMMYFUNCTION("""COMPUTED_VALUE"""),"USD PKR rate for 15/10/2014")</f>
        <v>USD PKR rate for 15/10/2014</v>
      </c>
      <c r="I3380" s="9"/>
    </row>
    <row r="3381" spans="1:9" ht="14.25" customHeight="1" x14ac:dyDescent="0.3">
      <c r="A3381" s="6">
        <v>43098</v>
      </c>
      <c r="B3381" s="7">
        <v>110.5228</v>
      </c>
      <c r="C3381" s="8">
        <f t="shared" si="27"/>
        <v>144.55095353634954</v>
      </c>
      <c r="D3381" s="9">
        <f t="shared" si="26"/>
        <v>70.992004433098856</v>
      </c>
      <c r="E3381" s="9"/>
      <c r="F3381" s="9">
        <f ca="1">IFERROR(__xludf.DUMMYFUNCTION("""COMPUTED_VALUE"""),41926)</f>
        <v>41926</v>
      </c>
      <c r="G3381" s="9" t="str">
        <f ca="1">IFERROR(__xludf.DUMMYFUNCTION("""COMPUTED_VALUE"""),"1 USD = 102.902 PKR")</f>
        <v>1 USD = 102.902 PKR</v>
      </c>
      <c r="H3381" s="9" t="str">
        <f ca="1">IFERROR(__xludf.DUMMYFUNCTION("""COMPUTED_VALUE"""),"USD PKR rate for 14/10/2014")</f>
        <v>USD PKR rate for 14/10/2014</v>
      </c>
      <c r="I3381" s="9"/>
    </row>
    <row r="3382" spans="1:9" ht="14.25" customHeight="1" x14ac:dyDescent="0.3">
      <c r="A3382" s="6">
        <v>43099</v>
      </c>
      <c r="B3382" s="7">
        <v>110.5228</v>
      </c>
      <c r="C3382" s="8">
        <f t="shared" si="27"/>
        <v>144.57680644090544</v>
      </c>
      <c r="D3382" s="9">
        <f t="shared" si="26"/>
        <v>70.994742265896122</v>
      </c>
      <c r="E3382" s="9"/>
      <c r="F3382" s="9">
        <f ca="1">IFERROR(__xludf.DUMMYFUNCTION("""COMPUTED_VALUE"""),41925)</f>
        <v>41925</v>
      </c>
      <c r="G3382" s="9" t="str">
        <f ca="1">IFERROR(__xludf.DUMMYFUNCTION("""COMPUTED_VALUE"""),"1 USD = 102.6927 PKR")</f>
        <v>1 USD = 102.6927 PKR</v>
      </c>
      <c r="H3382" s="9" t="str">
        <f ca="1">IFERROR(__xludf.DUMMYFUNCTION("""COMPUTED_VALUE"""),"USD PKR rate for 13/10/2014")</f>
        <v>USD PKR rate for 13/10/2014</v>
      </c>
      <c r="I3382" s="9"/>
    </row>
    <row r="3383" spans="1:9" ht="14.25" customHeight="1" x14ac:dyDescent="0.3">
      <c r="A3383" s="6">
        <v>43100</v>
      </c>
      <c r="B3383" s="7">
        <v>110.55610000000001</v>
      </c>
      <c r="C3383" s="8">
        <f t="shared" si="27"/>
        <v>144.6026639692474</v>
      </c>
      <c r="D3383" s="9">
        <f t="shared" si="26"/>
        <v>70.997480098693387</v>
      </c>
      <c r="E3383" s="9"/>
      <c r="F3383" s="9">
        <f ca="1">IFERROR(__xludf.DUMMYFUNCTION("""COMPUTED_VALUE"""),41924)</f>
        <v>41924</v>
      </c>
      <c r="G3383" s="9" t="str">
        <f ca="1">IFERROR(__xludf.DUMMYFUNCTION("""COMPUTED_VALUE"""),"1 USD = 102.9643 PKR")</f>
        <v>1 USD = 102.9643 PKR</v>
      </c>
      <c r="H3383" s="9" t="str">
        <f ca="1">IFERROR(__xludf.DUMMYFUNCTION("""COMPUTED_VALUE"""),"USD PKR rate for 12/10/2014")</f>
        <v>USD PKR rate for 12/10/2014</v>
      </c>
      <c r="I3383" s="9"/>
    </row>
    <row r="3384" spans="1:9" ht="14.25" customHeight="1" x14ac:dyDescent="0.3">
      <c r="A3384" s="6">
        <v>43101</v>
      </c>
      <c r="B3384" s="7">
        <v>110.4126</v>
      </c>
      <c r="C3384" s="8">
        <f t="shared" si="27"/>
        <v>144.62852612220215</v>
      </c>
      <c r="D3384" s="9">
        <f t="shared" si="26"/>
        <v>71.000217931490653</v>
      </c>
      <c r="E3384" s="9"/>
      <c r="F3384" s="9">
        <f ca="1">IFERROR(__xludf.DUMMYFUNCTION("""COMPUTED_VALUE"""),41923)</f>
        <v>41923</v>
      </c>
      <c r="G3384" s="9" t="str">
        <f ca="1">IFERROR(__xludf.DUMMYFUNCTION("""COMPUTED_VALUE"""),"1 USD = 102.9071 PKR")</f>
        <v>1 USD = 102.9071 PKR</v>
      </c>
      <c r="H3384" s="9" t="str">
        <f ca="1">IFERROR(__xludf.DUMMYFUNCTION("""COMPUTED_VALUE"""),"USD PKR rate for 11/10/2014")</f>
        <v>USD PKR rate for 11/10/2014</v>
      </c>
      <c r="I3384" s="9"/>
    </row>
    <row r="3385" spans="1:9" ht="14.25" customHeight="1" x14ac:dyDescent="0.3">
      <c r="A3385" s="6">
        <v>43102</v>
      </c>
      <c r="B3385" s="7">
        <v>110.7458</v>
      </c>
      <c r="C3385" s="8">
        <f t="shared" si="27"/>
        <v>144.65439290059706</v>
      </c>
      <c r="D3385" s="9">
        <f t="shared" si="26"/>
        <v>71.002955764287918</v>
      </c>
      <c r="E3385" s="9"/>
      <c r="F3385" s="9">
        <f ca="1">IFERROR(__xludf.DUMMYFUNCTION("""COMPUTED_VALUE"""),41922)</f>
        <v>41922</v>
      </c>
      <c r="G3385" s="9" t="str">
        <f ca="1">IFERROR(__xludf.DUMMYFUNCTION("""COMPUTED_VALUE"""),"1 USD = 102.7739 PKR")</f>
        <v>1 USD = 102.7739 PKR</v>
      </c>
      <c r="H3385" s="9" t="str">
        <f ca="1">IFERROR(__xludf.DUMMYFUNCTION("""COMPUTED_VALUE"""),"USD PKR rate for 10/10/2014")</f>
        <v>USD PKR rate for 10/10/2014</v>
      </c>
      <c r="I3385" s="9"/>
    </row>
    <row r="3386" spans="1:9" ht="14.25" customHeight="1" x14ac:dyDescent="0.3">
      <c r="A3386" s="6">
        <v>43103</v>
      </c>
      <c r="B3386" s="7">
        <v>110.74809999999999</v>
      </c>
      <c r="C3386" s="8">
        <f t="shared" si="27"/>
        <v>144.68026430525933</v>
      </c>
      <c r="D3386" s="9">
        <f t="shared" si="26"/>
        <v>71.005693597085184</v>
      </c>
      <c r="E3386" s="9"/>
      <c r="F3386" s="9">
        <f ca="1">IFERROR(__xludf.DUMMYFUNCTION("""COMPUTED_VALUE"""),41921)</f>
        <v>41921</v>
      </c>
      <c r="G3386" s="9" t="str">
        <f ca="1">IFERROR(__xludf.DUMMYFUNCTION("""COMPUTED_VALUE"""),"1 USD = 102.7797 PKR")</f>
        <v>1 USD = 102.7797 PKR</v>
      </c>
      <c r="H3386" s="9" t="str">
        <f ca="1">IFERROR(__xludf.DUMMYFUNCTION("""COMPUTED_VALUE"""),"USD PKR rate for 09/10/2014")</f>
        <v>USD PKR rate for 09/10/2014</v>
      </c>
      <c r="I3386" s="9"/>
    </row>
    <row r="3387" spans="1:9" ht="14.25" customHeight="1" x14ac:dyDescent="0.3">
      <c r="A3387" s="6">
        <v>43104</v>
      </c>
      <c r="B3387" s="7">
        <v>110.6448</v>
      </c>
      <c r="C3387" s="8">
        <f t="shared" si="27"/>
        <v>144.70614033701634</v>
      </c>
      <c r="D3387" s="9">
        <f t="shared" si="26"/>
        <v>71.008431429882449</v>
      </c>
      <c r="E3387" s="9"/>
      <c r="F3387" s="9">
        <f ca="1">IFERROR(__xludf.DUMMYFUNCTION("""COMPUTED_VALUE"""),41920)</f>
        <v>41920</v>
      </c>
      <c r="G3387" s="9" t="str">
        <f ca="1">IFERROR(__xludf.DUMMYFUNCTION("""COMPUTED_VALUE"""),"1 USD = 102.3207 PKR")</f>
        <v>1 USD = 102.3207 PKR</v>
      </c>
      <c r="H3387" s="9" t="str">
        <f ca="1">IFERROR(__xludf.DUMMYFUNCTION("""COMPUTED_VALUE"""),"USD PKR rate for 08/10/2014")</f>
        <v>USD PKR rate for 08/10/2014</v>
      </c>
      <c r="I3387" s="9"/>
    </row>
    <row r="3388" spans="1:9" ht="14.25" customHeight="1" x14ac:dyDescent="0.3">
      <c r="A3388" s="6">
        <v>43105</v>
      </c>
      <c r="B3388" s="7">
        <v>110.9503</v>
      </c>
      <c r="C3388" s="8">
        <f t="shared" si="27"/>
        <v>144.73202099669561</v>
      </c>
      <c r="D3388" s="9">
        <f t="shared" si="26"/>
        <v>71.011169262679715</v>
      </c>
      <c r="E3388" s="9"/>
      <c r="F3388" s="9">
        <f ca="1">IFERROR(__xludf.DUMMYFUNCTION("""COMPUTED_VALUE"""),41919)</f>
        <v>41919</v>
      </c>
      <c r="G3388" s="9" t="str">
        <f ca="1">IFERROR(__xludf.DUMMYFUNCTION("""COMPUTED_VALUE"""),"1 USD = 102.356 PKR")</f>
        <v>1 USD = 102.356 PKR</v>
      </c>
      <c r="H3388" s="9" t="str">
        <f ca="1">IFERROR(__xludf.DUMMYFUNCTION("""COMPUTED_VALUE"""),"USD PKR rate for 07/10/2014")</f>
        <v>USD PKR rate for 07/10/2014</v>
      </c>
      <c r="I3388" s="9"/>
    </row>
    <row r="3389" spans="1:9" ht="14.25" customHeight="1" x14ac:dyDescent="0.3">
      <c r="A3389" s="6">
        <v>43106</v>
      </c>
      <c r="B3389" s="7">
        <v>110.9503</v>
      </c>
      <c r="C3389" s="8">
        <f t="shared" si="27"/>
        <v>144.75790628512488</v>
      </c>
      <c r="D3389" s="9">
        <f t="shared" si="26"/>
        <v>71.013907095476981</v>
      </c>
      <c r="E3389" s="9"/>
      <c r="F3389" s="9">
        <f ca="1">IFERROR(__xludf.DUMMYFUNCTION("""COMPUTED_VALUE"""),41918)</f>
        <v>41918</v>
      </c>
      <c r="G3389" s="9" t="str">
        <f ca="1">IFERROR(__xludf.DUMMYFUNCTION("""COMPUTED_VALUE"""),"1 USD = 102.3018 PKR")</f>
        <v>1 USD = 102.3018 PKR</v>
      </c>
      <c r="H3389" s="9" t="str">
        <f ca="1">IFERROR(__xludf.DUMMYFUNCTION("""COMPUTED_VALUE"""),"USD PKR rate for 06/10/2014")</f>
        <v>USD PKR rate for 06/10/2014</v>
      </c>
      <c r="I3389" s="9"/>
    </row>
    <row r="3390" spans="1:9" ht="14.25" customHeight="1" x14ac:dyDescent="0.3">
      <c r="A3390" s="6">
        <v>43107</v>
      </c>
      <c r="B3390" s="7">
        <v>110.87340000000002</v>
      </c>
      <c r="C3390" s="8">
        <f t="shared" si="27"/>
        <v>144.783796203132</v>
      </c>
      <c r="D3390" s="9">
        <f t="shared" si="26"/>
        <v>71.016644928274246</v>
      </c>
      <c r="E3390" s="9"/>
      <c r="F3390" s="9">
        <f ca="1">IFERROR(__xludf.DUMMYFUNCTION("""COMPUTED_VALUE"""),41917)</f>
        <v>41917</v>
      </c>
      <c r="G3390" s="9" t="str">
        <f ca="1">IFERROR(__xludf.DUMMYFUNCTION("""COMPUTED_VALUE"""),"1 USD = 103.0484 PKR")</f>
        <v>1 USD = 103.0484 PKR</v>
      </c>
      <c r="H3390" s="9" t="str">
        <f ca="1">IFERROR(__xludf.DUMMYFUNCTION("""COMPUTED_VALUE"""),"USD PKR rate for 05/10/2014")</f>
        <v>USD PKR rate for 05/10/2014</v>
      </c>
      <c r="I3390" s="9"/>
    </row>
    <row r="3391" spans="1:9" ht="14.25" customHeight="1" x14ac:dyDescent="0.3">
      <c r="A3391" s="6">
        <v>43108</v>
      </c>
      <c r="B3391" s="7">
        <v>110.88010000000001</v>
      </c>
      <c r="C3391" s="8">
        <f t="shared" si="27"/>
        <v>144.80969075154493</v>
      </c>
      <c r="D3391" s="9">
        <f t="shared" si="26"/>
        <v>71.019382761071512</v>
      </c>
      <c r="E3391" s="9"/>
      <c r="F3391" s="9">
        <f ca="1">IFERROR(__xludf.DUMMYFUNCTION("""COMPUTED_VALUE"""),41916)</f>
        <v>41916</v>
      </c>
      <c r="G3391" s="9" t="str">
        <f ca="1">IFERROR(__xludf.DUMMYFUNCTION("""COMPUTED_VALUE"""),"1 USD = 102.503 PKR")</f>
        <v>1 USD = 102.503 PKR</v>
      </c>
      <c r="H3391" s="9" t="str">
        <f ca="1">IFERROR(__xludf.DUMMYFUNCTION("""COMPUTED_VALUE"""),"USD PKR rate for 04/10/2014")</f>
        <v>USD PKR rate for 04/10/2014</v>
      </c>
      <c r="I3391" s="9"/>
    </row>
    <row r="3392" spans="1:9" ht="14.25" customHeight="1" x14ac:dyDescent="0.3">
      <c r="A3392" s="6">
        <v>43109</v>
      </c>
      <c r="B3392" s="7">
        <v>110.65350000000001</v>
      </c>
      <c r="C3392" s="8">
        <f t="shared" si="27"/>
        <v>144.83558993119186</v>
      </c>
      <c r="D3392" s="9">
        <f t="shared" si="26"/>
        <v>71.022120593868777</v>
      </c>
      <c r="E3392" s="9"/>
      <c r="F3392" s="9">
        <f ca="1">IFERROR(__xludf.DUMMYFUNCTION("""COMPUTED_VALUE"""),41915)</f>
        <v>41915</v>
      </c>
      <c r="G3392" s="9" t="str">
        <f ca="1">IFERROR(__xludf.DUMMYFUNCTION("""COMPUTED_VALUE"""),"1 USD = 102.4838 PKR")</f>
        <v>1 USD = 102.4838 PKR</v>
      </c>
      <c r="H3392" s="9" t="str">
        <f ca="1">IFERROR(__xludf.DUMMYFUNCTION("""COMPUTED_VALUE"""),"USD PKR rate for 03/10/2014")</f>
        <v>USD PKR rate for 03/10/2014</v>
      </c>
      <c r="I3392" s="9"/>
    </row>
    <row r="3393" spans="1:9" ht="14.25" customHeight="1" x14ac:dyDescent="0.3">
      <c r="A3393" s="6">
        <v>43110</v>
      </c>
      <c r="B3393" s="7">
        <v>110.64660000000001</v>
      </c>
      <c r="C3393" s="8">
        <f t="shared" si="27"/>
        <v>144.86149374290096</v>
      </c>
      <c r="D3393" s="9">
        <f t="shared" si="26"/>
        <v>71.024858426666043</v>
      </c>
      <c r="E3393" s="9"/>
      <c r="F3393" s="9">
        <f ca="1">IFERROR(__xludf.DUMMYFUNCTION("""COMPUTED_VALUE"""),41914)</f>
        <v>41914</v>
      </c>
      <c r="G3393" s="9" t="str">
        <f ca="1">IFERROR(__xludf.DUMMYFUNCTION("""COMPUTED_VALUE"""),"1 USD = 102.5794 PKR")</f>
        <v>1 USD = 102.5794 PKR</v>
      </c>
      <c r="H3393" s="9" t="str">
        <f ca="1">IFERROR(__xludf.DUMMYFUNCTION("""COMPUTED_VALUE"""),"USD PKR rate for 02/10/2014")</f>
        <v>USD PKR rate for 02/10/2014</v>
      </c>
      <c r="I3393" s="9"/>
    </row>
    <row r="3394" spans="1:9" ht="14.25" customHeight="1" x14ac:dyDescent="0.3">
      <c r="A3394" s="6">
        <v>43111</v>
      </c>
      <c r="B3394" s="7">
        <v>110.729</v>
      </c>
      <c r="C3394" s="8">
        <f t="shared" si="27"/>
        <v>144.8874021875009</v>
      </c>
      <c r="D3394" s="9">
        <f t="shared" si="26"/>
        <v>71.027596259463309</v>
      </c>
      <c r="E3394" s="9"/>
      <c r="F3394" s="9">
        <f ca="1">IFERROR(__xludf.DUMMYFUNCTION("""COMPUTED_VALUE"""),41913)</f>
        <v>41913</v>
      </c>
      <c r="G3394" s="9" t="str">
        <f ca="1">IFERROR(__xludf.DUMMYFUNCTION("""COMPUTED_VALUE"""),"1 USD = 102.4969 PKR")</f>
        <v>1 USD = 102.4969 PKR</v>
      </c>
      <c r="H3394" s="9" t="str">
        <f ca="1">IFERROR(__xludf.DUMMYFUNCTION("""COMPUTED_VALUE"""),"USD PKR rate for 01/10/2014")</f>
        <v>USD PKR rate for 01/10/2014</v>
      </c>
      <c r="I3394" s="9"/>
    </row>
    <row r="3395" spans="1:9" ht="14.25" customHeight="1" x14ac:dyDescent="0.3">
      <c r="A3395" s="6">
        <v>43112</v>
      </c>
      <c r="B3395" s="7">
        <v>110.54810000000001</v>
      </c>
      <c r="C3395" s="8">
        <f t="shared" si="27"/>
        <v>144.91331526582013</v>
      </c>
      <c r="D3395" s="9">
        <f t="shared" si="26"/>
        <v>71.030334092260574</v>
      </c>
      <c r="E3395" s="9"/>
      <c r="F3395" s="9">
        <f ca="1">IFERROR(__xludf.DUMMYFUNCTION("""COMPUTED_VALUE"""),41912)</f>
        <v>41912</v>
      </c>
      <c r="G3395" s="9" t="str">
        <f ca="1">IFERROR(__xludf.DUMMYFUNCTION("""COMPUTED_VALUE"""),"1 USD = 102.5541 PKR")</f>
        <v>1 USD = 102.5541 PKR</v>
      </c>
      <c r="H3395" s="9" t="str">
        <f ca="1">IFERROR(__xludf.DUMMYFUNCTION("""COMPUTED_VALUE"""),"USD PKR rate for 30/09/2014")</f>
        <v>USD PKR rate for 30/09/2014</v>
      </c>
      <c r="I3395" s="9"/>
    </row>
    <row r="3396" spans="1:9" ht="14.25" customHeight="1" x14ac:dyDescent="0.3">
      <c r="A3396" s="6">
        <v>43113</v>
      </c>
      <c r="B3396" s="7">
        <v>110.5457</v>
      </c>
      <c r="C3396" s="8">
        <f t="shared" si="27"/>
        <v>144.93923297868744</v>
      </c>
      <c r="D3396" s="9">
        <f t="shared" si="26"/>
        <v>71.03307192505784</v>
      </c>
      <c r="E3396" s="9"/>
      <c r="F3396" s="9">
        <f ca="1">IFERROR(__xludf.DUMMYFUNCTION("""COMPUTED_VALUE"""),41911)</f>
        <v>41911</v>
      </c>
      <c r="G3396" s="9" t="str">
        <f ca="1">IFERROR(__xludf.DUMMYFUNCTION("""COMPUTED_VALUE"""),"1 USD = 102.7883 PKR")</f>
        <v>1 USD = 102.7883 PKR</v>
      </c>
      <c r="H3396" s="9" t="str">
        <f ca="1">IFERROR(__xludf.DUMMYFUNCTION("""COMPUTED_VALUE"""),"USD PKR rate for 29/09/2014")</f>
        <v>USD PKR rate for 29/09/2014</v>
      </c>
      <c r="I3396" s="9"/>
    </row>
    <row r="3397" spans="1:9" ht="14.25" customHeight="1" x14ac:dyDescent="0.3">
      <c r="A3397" s="6">
        <v>43114</v>
      </c>
      <c r="B3397" s="7">
        <v>110.1326</v>
      </c>
      <c r="C3397" s="8">
        <f t="shared" si="27"/>
        <v>144.96515532693172</v>
      </c>
      <c r="D3397" s="9">
        <f t="shared" si="26"/>
        <v>71.035809757855105</v>
      </c>
      <c r="E3397" s="9"/>
      <c r="F3397" s="9">
        <f ca="1">IFERROR(__xludf.DUMMYFUNCTION("""COMPUTED_VALUE"""),41910)</f>
        <v>41910</v>
      </c>
      <c r="G3397" s="9" t="str">
        <f ca="1">IFERROR(__xludf.DUMMYFUNCTION("""COMPUTED_VALUE"""),"1 USD = 103.1035 PKR")</f>
        <v>1 USD = 103.1035 PKR</v>
      </c>
      <c r="H3397" s="9" t="str">
        <f ca="1">IFERROR(__xludf.DUMMYFUNCTION("""COMPUTED_VALUE"""),"USD PKR rate for 28/09/2014")</f>
        <v>USD PKR rate for 28/09/2014</v>
      </c>
      <c r="I3397" s="9"/>
    </row>
    <row r="3398" spans="1:9" ht="14.25" customHeight="1" x14ac:dyDescent="0.3">
      <c r="A3398" s="6">
        <v>43115</v>
      </c>
      <c r="B3398" s="7">
        <v>110.67810000000001</v>
      </c>
      <c r="C3398" s="8">
        <f t="shared" si="27"/>
        <v>144.99108231138194</v>
      </c>
      <c r="D3398" s="9">
        <f t="shared" si="26"/>
        <v>71.038547590652371</v>
      </c>
      <c r="E3398" s="9"/>
      <c r="F3398" s="9">
        <f ca="1">IFERROR(__xludf.DUMMYFUNCTION("""COMPUTED_VALUE"""),41909)</f>
        <v>41909</v>
      </c>
      <c r="G3398" s="9" t="str">
        <f ca="1">IFERROR(__xludf.DUMMYFUNCTION("""COMPUTED_VALUE"""),"1 USD = 102.8097 PKR")</f>
        <v>1 USD = 102.8097 PKR</v>
      </c>
      <c r="H3398" s="9" t="str">
        <f ca="1">IFERROR(__xludf.DUMMYFUNCTION("""COMPUTED_VALUE"""),"USD PKR rate for 27/09/2014")</f>
        <v>USD PKR rate for 27/09/2014</v>
      </c>
      <c r="I3398" s="9"/>
    </row>
    <row r="3399" spans="1:9" ht="14.25" customHeight="1" x14ac:dyDescent="0.3">
      <c r="A3399" s="6">
        <v>43116</v>
      </c>
      <c r="B3399" s="7">
        <v>110.3322</v>
      </c>
      <c r="C3399" s="8">
        <f t="shared" si="27"/>
        <v>145.01701393286731</v>
      </c>
      <c r="D3399" s="9">
        <f t="shared" si="26"/>
        <v>71.041285423449636</v>
      </c>
      <c r="E3399" s="9"/>
      <c r="F3399" s="9">
        <f ca="1">IFERROR(__xludf.DUMMYFUNCTION("""COMPUTED_VALUE"""),41908)</f>
        <v>41908</v>
      </c>
      <c r="G3399" s="9" t="str">
        <f ca="1">IFERROR(__xludf.DUMMYFUNCTION("""COMPUTED_VALUE"""),"1 USD = 102.9002 PKR")</f>
        <v>1 USD = 102.9002 PKR</v>
      </c>
      <c r="H3399" s="9" t="str">
        <f ca="1">IFERROR(__xludf.DUMMYFUNCTION("""COMPUTED_VALUE"""),"USD PKR rate for 26/09/2014")</f>
        <v>USD PKR rate for 26/09/2014</v>
      </c>
      <c r="I3399" s="9"/>
    </row>
    <row r="3400" spans="1:9" ht="14.25" customHeight="1" x14ac:dyDescent="0.3">
      <c r="A3400" s="6">
        <v>43117</v>
      </c>
      <c r="B3400" s="7">
        <v>110.94329999999999</v>
      </c>
      <c r="C3400" s="8">
        <f t="shared" si="27"/>
        <v>145.04295019221721</v>
      </c>
      <c r="D3400" s="9">
        <f t="shared" si="26"/>
        <v>71.044023256246902</v>
      </c>
      <c r="E3400" s="9"/>
      <c r="F3400" s="9">
        <f ca="1">IFERROR(__xludf.DUMMYFUNCTION("""COMPUTED_VALUE"""),41907)</f>
        <v>41907</v>
      </c>
      <c r="G3400" s="9" t="str">
        <f ca="1">IFERROR(__xludf.DUMMYFUNCTION("""COMPUTED_VALUE"""),"1 USD = 102.6295 PKR")</f>
        <v>1 USD = 102.6295 PKR</v>
      </c>
      <c r="H3400" s="9" t="str">
        <f ca="1">IFERROR(__xludf.DUMMYFUNCTION("""COMPUTED_VALUE"""),"USD PKR rate for 25/09/2014")</f>
        <v>USD PKR rate for 25/09/2014</v>
      </c>
      <c r="I3400" s="9"/>
    </row>
    <row r="3401" spans="1:9" ht="14.25" customHeight="1" x14ac:dyDescent="0.3">
      <c r="A3401" s="6">
        <v>43118</v>
      </c>
      <c r="B3401" s="7">
        <v>110.71559999999999</v>
      </c>
      <c r="C3401" s="8">
        <f t="shared" si="27"/>
        <v>145.06889109026108</v>
      </c>
      <c r="D3401" s="9">
        <f t="shared" si="26"/>
        <v>71.046761089044168</v>
      </c>
      <c r="E3401" s="9"/>
      <c r="F3401" s="9">
        <f ca="1">IFERROR(__xludf.DUMMYFUNCTION("""COMPUTED_VALUE"""),41906)</f>
        <v>41906</v>
      </c>
      <c r="G3401" s="9" t="str">
        <f ca="1">IFERROR(__xludf.DUMMYFUNCTION("""COMPUTED_VALUE"""),"1 USD = 102.953 PKR")</f>
        <v>1 USD = 102.953 PKR</v>
      </c>
      <c r="H3401" s="9" t="str">
        <f ca="1">IFERROR(__xludf.DUMMYFUNCTION("""COMPUTED_VALUE"""),"USD PKR rate for 24/09/2014")</f>
        <v>USD PKR rate for 24/09/2014</v>
      </c>
      <c r="I3401" s="9"/>
    </row>
    <row r="3402" spans="1:9" ht="14.25" customHeight="1" x14ac:dyDescent="0.3">
      <c r="A3402" s="6">
        <v>43119</v>
      </c>
      <c r="B3402" s="7">
        <v>110.55010000000001</v>
      </c>
      <c r="C3402" s="8">
        <f t="shared" si="27"/>
        <v>145.09483662782841</v>
      </c>
      <c r="D3402" s="9">
        <f t="shared" si="26"/>
        <v>71.049498921841433</v>
      </c>
      <c r="E3402" s="9"/>
      <c r="F3402" s="9">
        <f ca="1">IFERROR(__xludf.DUMMYFUNCTION("""COMPUTED_VALUE"""),41905)</f>
        <v>41905</v>
      </c>
      <c r="G3402" s="9" t="str">
        <f ca="1">IFERROR(__xludf.DUMMYFUNCTION("""COMPUTED_VALUE"""),"1 USD = 102.801 PKR")</f>
        <v>1 USD = 102.801 PKR</v>
      </c>
      <c r="H3402" s="9" t="str">
        <f ca="1">IFERROR(__xludf.DUMMYFUNCTION("""COMPUTED_VALUE"""),"USD PKR rate for 23/09/2014")</f>
        <v>USD PKR rate for 23/09/2014</v>
      </c>
      <c r="I3402" s="9"/>
    </row>
    <row r="3403" spans="1:9" ht="14.25" customHeight="1" x14ac:dyDescent="0.3">
      <c r="A3403" s="6">
        <v>43120</v>
      </c>
      <c r="B3403" s="7">
        <v>110.55010000000001</v>
      </c>
      <c r="C3403" s="8">
        <f t="shared" si="27"/>
        <v>145.12078680574928</v>
      </c>
      <c r="D3403" s="9">
        <f t="shared" si="26"/>
        <v>71.052236754638699</v>
      </c>
      <c r="E3403" s="9"/>
      <c r="F3403" s="9">
        <f ca="1">IFERROR(__xludf.DUMMYFUNCTION("""COMPUTED_VALUE"""),41904)</f>
        <v>41904</v>
      </c>
      <c r="G3403" s="9" t="str">
        <f ca="1">IFERROR(__xludf.DUMMYFUNCTION("""COMPUTED_VALUE"""),"1 USD = 102.7614 PKR")</f>
        <v>1 USD = 102.7614 PKR</v>
      </c>
      <c r="H3403" s="9" t="str">
        <f ca="1">IFERROR(__xludf.DUMMYFUNCTION("""COMPUTED_VALUE"""),"USD PKR rate for 22/09/2014")</f>
        <v>USD PKR rate for 22/09/2014</v>
      </c>
      <c r="I3403" s="9"/>
    </row>
    <row r="3404" spans="1:9" ht="14.25" customHeight="1" x14ac:dyDescent="0.3">
      <c r="A3404" s="6">
        <v>43121</v>
      </c>
      <c r="B3404" s="7">
        <v>111.06520000000002</v>
      </c>
      <c r="C3404" s="8">
        <f t="shared" si="27"/>
        <v>145.14674162485343</v>
      </c>
      <c r="D3404" s="9">
        <f t="shared" si="26"/>
        <v>71.054974587435964</v>
      </c>
      <c r="E3404" s="9"/>
      <c r="F3404" s="9">
        <f ca="1">IFERROR(__xludf.DUMMYFUNCTION("""COMPUTED_VALUE"""),41903)</f>
        <v>41903</v>
      </c>
      <c r="G3404" s="9" t="str">
        <f ca="1">IFERROR(__xludf.DUMMYFUNCTION("""COMPUTED_VALUE"""),"1 USD = 102.7869 PKR")</f>
        <v>1 USD = 102.7869 PKR</v>
      </c>
      <c r="H3404" s="9" t="str">
        <f ca="1">IFERROR(__xludf.DUMMYFUNCTION("""COMPUTED_VALUE"""),"USD PKR rate for 21/09/2014")</f>
        <v>USD PKR rate for 21/09/2014</v>
      </c>
      <c r="I3404" s="9"/>
    </row>
    <row r="3405" spans="1:9" ht="14.25" customHeight="1" x14ac:dyDescent="0.3">
      <c r="A3405" s="6">
        <v>43122</v>
      </c>
      <c r="B3405" s="7">
        <v>110.7465</v>
      </c>
      <c r="C3405" s="8">
        <f t="shared" si="27"/>
        <v>145.17270108597097</v>
      </c>
      <c r="D3405" s="9">
        <f t="shared" si="26"/>
        <v>71.05771242023323</v>
      </c>
      <c r="E3405" s="9"/>
      <c r="F3405" s="9">
        <f ca="1">IFERROR(__xludf.DUMMYFUNCTION("""COMPUTED_VALUE"""),41902)</f>
        <v>41902</v>
      </c>
      <c r="G3405" s="9" t="str">
        <f ca="1">IFERROR(__xludf.DUMMYFUNCTION("""COMPUTED_VALUE"""),"1 USD = 102.6095 PKR")</f>
        <v>1 USD = 102.6095 PKR</v>
      </c>
      <c r="H3405" s="9" t="str">
        <f ca="1">IFERROR(__xludf.DUMMYFUNCTION("""COMPUTED_VALUE"""),"USD PKR rate for 20/09/2014")</f>
        <v>USD PKR rate for 20/09/2014</v>
      </c>
      <c r="I3405" s="9"/>
    </row>
    <row r="3406" spans="1:9" ht="14.25" customHeight="1" x14ac:dyDescent="0.3">
      <c r="A3406" s="6">
        <v>43123</v>
      </c>
      <c r="B3406" s="7">
        <v>110.7546</v>
      </c>
      <c r="C3406" s="8">
        <f t="shared" si="27"/>
        <v>145.19866518993226</v>
      </c>
      <c r="D3406" s="9">
        <f t="shared" si="26"/>
        <v>71.06045025303051</v>
      </c>
      <c r="E3406" s="9"/>
      <c r="F3406" s="9">
        <f ca="1">IFERROR(__xludf.DUMMYFUNCTION("""COMPUTED_VALUE"""),41901)</f>
        <v>41901</v>
      </c>
      <c r="G3406" s="9" t="str">
        <f ca="1">IFERROR(__xludf.DUMMYFUNCTION("""COMPUTED_VALUE"""),"1 USD = 102.7409 PKR")</f>
        <v>1 USD = 102.7409 PKR</v>
      </c>
      <c r="H3406" s="9" t="str">
        <f ca="1">IFERROR(__xludf.DUMMYFUNCTION("""COMPUTED_VALUE"""),"USD PKR rate for 19/09/2014")</f>
        <v>USD PKR rate for 19/09/2014</v>
      </c>
      <c r="I3406" s="9"/>
    </row>
    <row r="3407" spans="1:9" ht="14.25" customHeight="1" x14ac:dyDescent="0.3">
      <c r="A3407" s="6">
        <v>43124</v>
      </c>
      <c r="B3407" s="7">
        <v>110.5476</v>
      </c>
      <c r="C3407" s="8">
        <f t="shared" si="27"/>
        <v>145.2246339375674</v>
      </c>
      <c r="D3407" s="9">
        <f t="shared" si="26"/>
        <v>71.063188085827775</v>
      </c>
      <c r="E3407" s="9"/>
      <c r="F3407" s="9">
        <f ca="1">IFERROR(__xludf.DUMMYFUNCTION("""COMPUTED_VALUE"""),41900)</f>
        <v>41900</v>
      </c>
      <c r="G3407" s="9" t="str">
        <f ca="1">IFERROR(__xludf.DUMMYFUNCTION("""COMPUTED_VALUE"""),"1 USD = 102.5768 PKR")</f>
        <v>1 USD = 102.5768 PKR</v>
      </c>
      <c r="H3407" s="9" t="str">
        <f ca="1">IFERROR(__xludf.DUMMYFUNCTION("""COMPUTED_VALUE"""),"USD PKR rate for 18/09/2014")</f>
        <v>USD PKR rate for 18/09/2014</v>
      </c>
      <c r="I3407" s="9"/>
    </row>
    <row r="3408" spans="1:9" ht="14.25" customHeight="1" x14ac:dyDescent="0.3">
      <c r="A3408" s="6">
        <v>43125</v>
      </c>
      <c r="B3408" s="7">
        <v>110.6473</v>
      </c>
      <c r="C3408" s="8">
        <f t="shared" si="27"/>
        <v>145.25060732970704</v>
      </c>
      <c r="D3408" s="9">
        <f t="shared" si="26"/>
        <v>71.065925918625041</v>
      </c>
      <c r="E3408" s="9"/>
      <c r="F3408" s="9">
        <f ca="1">IFERROR(__xludf.DUMMYFUNCTION("""COMPUTED_VALUE"""),41899)</f>
        <v>41899</v>
      </c>
      <c r="G3408" s="9" t="str">
        <f ca="1">IFERROR(__xludf.DUMMYFUNCTION("""COMPUTED_VALUE"""),"1 USD = 103.1247 PKR")</f>
        <v>1 USD = 103.1247 PKR</v>
      </c>
      <c r="H3408" s="9" t="str">
        <f ca="1">IFERROR(__xludf.DUMMYFUNCTION("""COMPUTED_VALUE"""),"USD PKR rate for 17/09/2014")</f>
        <v>USD PKR rate for 17/09/2014</v>
      </c>
      <c r="I3408" s="9"/>
    </row>
    <row r="3409" spans="1:9" ht="14.25" customHeight="1" x14ac:dyDescent="0.3">
      <c r="A3409" s="6">
        <v>43126</v>
      </c>
      <c r="B3409" s="7">
        <v>110.54689999999999</v>
      </c>
      <c r="C3409" s="8">
        <f t="shared" si="27"/>
        <v>145.27658536718187</v>
      </c>
      <c r="D3409" s="9">
        <f t="shared" si="26"/>
        <v>71.068663751422307</v>
      </c>
      <c r="E3409" s="9"/>
      <c r="F3409" s="9">
        <f ca="1">IFERROR(__xludf.DUMMYFUNCTION("""COMPUTED_VALUE"""),41898)</f>
        <v>41898</v>
      </c>
      <c r="G3409" s="9" t="str">
        <f ca="1">IFERROR(__xludf.DUMMYFUNCTION("""COMPUTED_VALUE"""),"1 USD = 102.735 PKR")</f>
        <v>1 USD = 102.735 PKR</v>
      </c>
      <c r="H3409" s="9" t="str">
        <f ca="1">IFERROR(__xludf.DUMMYFUNCTION("""COMPUTED_VALUE"""),"USD PKR rate for 16/09/2014")</f>
        <v>USD PKR rate for 16/09/2014</v>
      </c>
      <c r="I3409" s="9"/>
    </row>
    <row r="3410" spans="1:9" ht="14.25" customHeight="1" x14ac:dyDescent="0.3">
      <c r="A3410" s="6">
        <v>43127</v>
      </c>
      <c r="B3410" s="7">
        <v>110.54689999999999</v>
      </c>
      <c r="C3410" s="8">
        <f t="shared" si="27"/>
        <v>145.30256805082263</v>
      </c>
      <c r="D3410" s="9">
        <f t="shared" si="26"/>
        <v>71.071401584219572</v>
      </c>
      <c r="E3410" s="9"/>
      <c r="F3410" s="9">
        <f ca="1">IFERROR(__xludf.DUMMYFUNCTION("""COMPUTED_VALUE"""),41897)</f>
        <v>41897</v>
      </c>
      <c r="G3410" s="9" t="str">
        <f ca="1">IFERROR(__xludf.DUMMYFUNCTION("""COMPUTED_VALUE"""),"1 USD = 102.7893 PKR")</f>
        <v>1 USD = 102.7893 PKR</v>
      </c>
      <c r="H3410" s="9" t="str">
        <f ca="1">IFERROR(__xludf.DUMMYFUNCTION("""COMPUTED_VALUE"""),"USD PKR rate for 15/09/2014")</f>
        <v>USD PKR rate for 15/09/2014</v>
      </c>
      <c r="I3410" s="9"/>
    </row>
    <row r="3411" spans="1:9" ht="14.25" customHeight="1" x14ac:dyDescent="0.3">
      <c r="A3411" s="6">
        <v>43128</v>
      </c>
      <c r="B3411" s="7">
        <v>110.55029999999999</v>
      </c>
      <c r="C3411" s="8">
        <f t="shared" si="27"/>
        <v>145.32855538146038</v>
      </c>
      <c r="D3411" s="9">
        <f t="shared" si="26"/>
        <v>71.074139417016838</v>
      </c>
      <c r="E3411" s="9"/>
      <c r="F3411" s="9">
        <f ca="1">IFERROR(__xludf.DUMMYFUNCTION("""COMPUTED_VALUE"""),41896)</f>
        <v>41896</v>
      </c>
      <c r="G3411" s="9" t="str">
        <f ca="1">IFERROR(__xludf.DUMMYFUNCTION("""COMPUTED_VALUE"""),"1 USD = 102.3166 PKR")</f>
        <v>1 USD = 102.3166 PKR</v>
      </c>
      <c r="H3411" s="9" t="str">
        <f ca="1">IFERROR(__xludf.DUMMYFUNCTION("""COMPUTED_VALUE"""),"USD PKR rate for 14/09/2014")</f>
        <v>USD PKR rate for 14/09/2014</v>
      </c>
      <c r="I3411" s="9"/>
    </row>
    <row r="3412" spans="1:9" ht="14.25" customHeight="1" x14ac:dyDescent="0.3">
      <c r="A3412" s="6">
        <v>43129</v>
      </c>
      <c r="B3412" s="7">
        <v>110.55159999999999</v>
      </c>
      <c r="C3412" s="8">
        <f t="shared" si="27"/>
        <v>145.35454735992604</v>
      </c>
      <c r="D3412" s="9">
        <f t="shared" si="26"/>
        <v>71.076877249814103</v>
      </c>
      <c r="E3412" s="9"/>
      <c r="F3412" s="9">
        <f ca="1">IFERROR(__xludf.DUMMYFUNCTION("""COMPUTED_VALUE"""),41895)</f>
        <v>41895</v>
      </c>
      <c r="G3412" s="9" t="str">
        <f ca="1">IFERROR(__xludf.DUMMYFUNCTION("""COMPUTED_VALUE"""),"1 USD = 102.2821 PKR")</f>
        <v>1 USD = 102.2821 PKR</v>
      </c>
      <c r="H3412" s="9" t="str">
        <f ca="1">IFERROR(__xludf.DUMMYFUNCTION("""COMPUTED_VALUE"""),"USD PKR rate for 13/09/2014")</f>
        <v>USD PKR rate for 13/09/2014</v>
      </c>
      <c r="I3412" s="9"/>
    </row>
    <row r="3413" spans="1:9" ht="14.25" customHeight="1" x14ac:dyDescent="0.3">
      <c r="A3413" s="6">
        <v>43130</v>
      </c>
      <c r="B3413" s="7">
        <v>110.7492</v>
      </c>
      <c r="C3413" s="8">
        <f t="shared" si="27"/>
        <v>145.38054398705117</v>
      </c>
      <c r="D3413" s="9">
        <f t="shared" si="26"/>
        <v>71.079615082611369</v>
      </c>
      <c r="E3413" s="9"/>
      <c r="F3413" s="9">
        <f ca="1">IFERROR(__xludf.DUMMYFUNCTION("""COMPUTED_VALUE"""),41894)</f>
        <v>41894</v>
      </c>
      <c r="G3413" s="9" t="str">
        <f ca="1">IFERROR(__xludf.DUMMYFUNCTION("""COMPUTED_VALUE"""),"1 USD = 102.2713 PKR")</f>
        <v>1 USD = 102.2713 PKR</v>
      </c>
      <c r="H3413" s="9" t="str">
        <f ca="1">IFERROR(__xludf.DUMMYFUNCTION("""COMPUTED_VALUE"""),"USD PKR rate for 12/09/2014")</f>
        <v>USD PKR rate for 12/09/2014</v>
      </c>
      <c r="I3413" s="9"/>
    </row>
    <row r="3414" spans="1:9" ht="14.25" customHeight="1" x14ac:dyDescent="0.3">
      <c r="A3414" s="6">
        <v>43131</v>
      </c>
      <c r="B3414" s="7">
        <v>110.5746</v>
      </c>
      <c r="C3414" s="8">
        <f t="shared" si="27"/>
        <v>145.40654526366706</v>
      </c>
      <c r="D3414" s="9">
        <f t="shared" si="26"/>
        <v>71.082352915408634</v>
      </c>
      <c r="E3414" s="9"/>
      <c r="F3414" s="9">
        <f ca="1">IFERROR(__xludf.DUMMYFUNCTION("""COMPUTED_VALUE"""),41893)</f>
        <v>41893</v>
      </c>
      <c r="G3414" s="9" t="str">
        <f ca="1">IFERROR(__xludf.DUMMYFUNCTION("""COMPUTED_VALUE"""),"1 USD = 102.2055 PKR")</f>
        <v>1 USD = 102.2055 PKR</v>
      </c>
      <c r="H3414" s="9" t="str">
        <f ca="1">IFERROR(__xludf.DUMMYFUNCTION("""COMPUTED_VALUE"""),"USD PKR rate for 11/09/2014")</f>
        <v>USD PKR rate for 11/09/2014</v>
      </c>
      <c r="I3414" s="9"/>
    </row>
    <row r="3415" spans="1:9" ht="14.25" customHeight="1" x14ac:dyDescent="0.3">
      <c r="A3415" s="6">
        <v>43132</v>
      </c>
      <c r="B3415" s="7">
        <v>110.64409999999999</v>
      </c>
      <c r="C3415" s="8">
        <f t="shared" si="27"/>
        <v>145.43255119060521</v>
      </c>
      <c r="D3415" s="9">
        <f t="shared" si="26"/>
        <v>71.0850907482059</v>
      </c>
      <c r="E3415" s="9"/>
      <c r="F3415" s="9">
        <f ca="1">IFERROR(__xludf.DUMMYFUNCTION("""COMPUTED_VALUE"""),41892)</f>
        <v>41892</v>
      </c>
      <c r="G3415" s="9" t="str">
        <f ca="1">IFERROR(__xludf.DUMMYFUNCTION("""COMPUTED_VALUE"""),"1 USD = 102.1093 PKR")</f>
        <v>1 USD = 102.1093 PKR</v>
      </c>
      <c r="H3415" s="9" t="str">
        <f ca="1">IFERROR(__xludf.DUMMYFUNCTION("""COMPUTED_VALUE"""),"USD PKR rate for 10/09/2014")</f>
        <v>USD PKR rate for 10/09/2014</v>
      </c>
      <c r="I3415" s="9"/>
    </row>
    <row r="3416" spans="1:9" ht="14.25" customHeight="1" x14ac:dyDescent="0.3">
      <c r="A3416" s="6">
        <v>43133</v>
      </c>
      <c r="B3416" s="7">
        <v>110.5493</v>
      </c>
      <c r="C3416" s="8">
        <f t="shared" si="27"/>
        <v>145.45856176869739</v>
      </c>
      <c r="D3416" s="9">
        <f t="shared" si="26"/>
        <v>71.087828581003166</v>
      </c>
      <c r="E3416" s="9"/>
      <c r="F3416" s="9">
        <f ca="1">IFERROR(__xludf.DUMMYFUNCTION("""COMPUTED_VALUE"""),41891)</f>
        <v>41891</v>
      </c>
      <c r="G3416" s="9" t="str">
        <f ca="1">IFERROR(__xludf.DUMMYFUNCTION("""COMPUTED_VALUE"""),"1 USD = 101.8635 PKR")</f>
        <v>1 USD = 101.8635 PKR</v>
      </c>
      <c r="H3416" s="9" t="str">
        <f ca="1">IFERROR(__xludf.DUMMYFUNCTION("""COMPUTED_VALUE"""),"USD PKR rate for 09/09/2014")</f>
        <v>USD PKR rate for 09/09/2014</v>
      </c>
      <c r="I3416" s="9"/>
    </row>
    <row r="3417" spans="1:9" ht="14.25" customHeight="1" x14ac:dyDescent="0.3">
      <c r="A3417" s="6">
        <v>43134</v>
      </c>
      <c r="B3417" s="7">
        <v>110.55</v>
      </c>
      <c r="C3417" s="8">
        <f t="shared" si="27"/>
        <v>145.48457699877542</v>
      </c>
      <c r="D3417" s="9">
        <f t="shared" si="26"/>
        <v>71.090566413800431</v>
      </c>
      <c r="E3417" s="9"/>
      <c r="F3417" s="9">
        <f ca="1">IFERROR(__xludf.DUMMYFUNCTION("""COMPUTED_VALUE"""),41890)</f>
        <v>41890</v>
      </c>
      <c r="G3417" s="9" t="str">
        <f ca="1">IFERROR(__xludf.DUMMYFUNCTION("""COMPUTED_VALUE"""),"1 USD = 102.0744 PKR")</f>
        <v>1 USD = 102.0744 PKR</v>
      </c>
      <c r="H3417" s="9" t="str">
        <f ca="1">IFERROR(__xludf.DUMMYFUNCTION("""COMPUTED_VALUE"""),"USD PKR rate for 08/09/2014")</f>
        <v>USD PKR rate for 08/09/2014</v>
      </c>
      <c r="I3417" s="9"/>
    </row>
    <row r="3418" spans="1:9" ht="14.25" customHeight="1" x14ac:dyDescent="0.3">
      <c r="A3418" s="6">
        <v>43135</v>
      </c>
      <c r="B3418" s="7">
        <v>110.68219999999999</v>
      </c>
      <c r="C3418" s="8">
        <f t="shared" si="27"/>
        <v>145.51059688167135</v>
      </c>
      <c r="D3418" s="9">
        <f t="shared" si="26"/>
        <v>71.093304246597697</v>
      </c>
      <c r="E3418" s="9"/>
      <c r="F3418" s="9">
        <f ca="1">IFERROR(__xludf.DUMMYFUNCTION("""COMPUTED_VALUE"""),41889)</f>
        <v>41889</v>
      </c>
      <c r="G3418" s="9" t="str">
        <f ca="1">IFERROR(__xludf.DUMMYFUNCTION("""COMPUTED_VALUE"""),"1 USD = 102.0688 PKR")</f>
        <v>1 USD = 102.0688 PKR</v>
      </c>
      <c r="H3418" s="9" t="str">
        <f ca="1">IFERROR(__xludf.DUMMYFUNCTION("""COMPUTED_VALUE"""),"USD PKR rate for 07/09/2014")</f>
        <v>USD PKR rate for 07/09/2014</v>
      </c>
      <c r="I3418" s="9"/>
    </row>
    <row r="3419" spans="1:9" ht="14.25" customHeight="1" x14ac:dyDescent="0.3">
      <c r="A3419" s="6">
        <v>43136</v>
      </c>
      <c r="B3419" s="7">
        <v>110.551</v>
      </c>
      <c r="C3419" s="8">
        <f t="shared" si="27"/>
        <v>145.53662141821729</v>
      </c>
      <c r="D3419" s="9">
        <f t="shared" si="26"/>
        <v>71.096042079394962</v>
      </c>
      <c r="E3419" s="9"/>
      <c r="F3419" s="9">
        <f ca="1">IFERROR(__xludf.DUMMYFUNCTION("""COMPUTED_VALUE"""),41888)</f>
        <v>41888</v>
      </c>
      <c r="G3419" s="9" t="str">
        <f ca="1">IFERROR(__xludf.DUMMYFUNCTION("""COMPUTED_VALUE"""),"1 USD = 102.2941 PKR")</f>
        <v>1 USD = 102.2941 PKR</v>
      </c>
      <c r="H3419" s="9" t="str">
        <f ca="1">IFERROR(__xludf.DUMMYFUNCTION("""COMPUTED_VALUE"""),"USD PKR rate for 06/09/2014")</f>
        <v>USD PKR rate for 06/09/2014</v>
      </c>
      <c r="I3419" s="9"/>
    </row>
    <row r="3420" spans="1:9" ht="14.25" customHeight="1" x14ac:dyDescent="0.3">
      <c r="A3420" s="6">
        <v>43137</v>
      </c>
      <c r="B3420" s="7">
        <v>110.7195</v>
      </c>
      <c r="C3420" s="8">
        <f t="shared" si="27"/>
        <v>145.56265060924557</v>
      </c>
      <c r="D3420" s="9">
        <f t="shared" si="26"/>
        <v>71.098779912192228</v>
      </c>
      <c r="E3420" s="9"/>
      <c r="F3420" s="9">
        <f ca="1">IFERROR(__xludf.DUMMYFUNCTION("""COMPUTED_VALUE"""),41887)</f>
        <v>41887</v>
      </c>
      <c r="G3420" s="9" t="str">
        <f ca="1">IFERROR(__xludf.DUMMYFUNCTION("""COMPUTED_VALUE"""),"1 USD = 102.1248 PKR")</f>
        <v>1 USD = 102.1248 PKR</v>
      </c>
      <c r="H3420" s="9" t="str">
        <f ca="1">IFERROR(__xludf.DUMMYFUNCTION("""COMPUTED_VALUE"""),"USD PKR rate for 05/09/2014")</f>
        <v>USD PKR rate for 05/09/2014</v>
      </c>
      <c r="I3420" s="9"/>
    </row>
    <row r="3421" spans="1:9" ht="14.25" customHeight="1" x14ac:dyDescent="0.3">
      <c r="A3421" s="6">
        <v>43138</v>
      </c>
      <c r="B3421" s="7">
        <v>110.7658</v>
      </c>
      <c r="C3421" s="8">
        <f t="shared" si="27"/>
        <v>145.58868445558852</v>
      </c>
      <c r="D3421" s="9">
        <f t="shared" si="26"/>
        <v>71.101517744989494</v>
      </c>
      <c r="E3421" s="9"/>
      <c r="F3421" s="9">
        <f ca="1">IFERROR(__xludf.DUMMYFUNCTION("""COMPUTED_VALUE"""),41886)</f>
        <v>41886</v>
      </c>
      <c r="G3421" s="9" t="str">
        <f ca="1">IFERROR(__xludf.DUMMYFUNCTION("""COMPUTED_VALUE"""),"1 USD = 102.7032 PKR")</f>
        <v>1 USD = 102.7032 PKR</v>
      </c>
      <c r="H3421" s="9" t="str">
        <f ca="1">IFERROR(__xludf.DUMMYFUNCTION("""COMPUTED_VALUE"""),"USD PKR rate for 04/09/2014")</f>
        <v>USD PKR rate for 04/09/2014</v>
      </c>
      <c r="I3421" s="9"/>
    </row>
    <row r="3422" spans="1:9" ht="14.25" customHeight="1" x14ac:dyDescent="0.3">
      <c r="A3422" s="6">
        <v>43139</v>
      </c>
      <c r="B3422" s="7">
        <v>110.59760000000001</v>
      </c>
      <c r="C3422" s="8">
        <f t="shared" si="27"/>
        <v>145.61472295807897</v>
      </c>
      <c r="D3422" s="9">
        <f t="shared" si="26"/>
        <v>71.104255577786759</v>
      </c>
      <c r="E3422" s="9"/>
      <c r="F3422" s="9">
        <f ca="1">IFERROR(__xludf.DUMMYFUNCTION("""COMPUTED_VALUE"""),41885)</f>
        <v>41885</v>
      </c>
      <c r="G3422" s="9" t="str">
        <f ca="1">IFERROR(__xludf.DUMMYFUNCTION("""COMPUTED_VALUE"""),"1 USD = 102.1915 PKR")</f>
        <v>1 USD = 102.1915 PKR</v>
      </c>
      <c r="H3422" s="9" t="str">
        <f ca="1">IFERROR(__xludf.DUMMYFUNCTION("""COMPUTED_VALUE"""),"USD PKR rate for 03/09/2014")</f>
        <v>USD PKR rate for 03/09/2014</v>
      </c>
      <c r="I3422" s="9"/>
    </row>
    <row r="3423" spans="1:9" ht="14.25" customHeight="1" x14ac:dyDescent="0.3">
      <c r="A3423" s="6">
        <v>43140</v>
      </c>
      <c r="B3423" s="7">
        <v>110.75960000000001</v>
      </c>
      <c r="C3423" s="8">
        <f t="shared" si="27"/>
        <v>145.64076611754956</v>
      </c>
      <c r="D3423" s="9">
        <f t="shared" si="26"/>
        <v>71.106993410584025</v>
      </c>
      <c r="E3423" s="9"/>
      <c r="F3423" s="9">
        <f ca="1">IFERROR(__xludf.DUMMYFUNCTION("""COMPUTED_VALUE"""),41884)</f>
        <v>41884</v>
      </c>
      <c r="G3423" s="9" t="str">
        <f ca="1">IFERROR(__xludf.DUMMYFUNCTION("""COMPUTED_VALUE"""),"1 USD = 102.1637 PKR")</f>
        <v>1 USD = 102.1637 PKR</v>
      </c>
      <c r="H3423" s="9" t="str">
        <f ca="1">IFERROR(__xludf.DUMMYFUNCTION("""COMPUTED_VALUE"""),"USD PKR rate for 02/09/2014")</f>
        <v>USD PKR rate for 02/09/2014</v>
      </c>
      <c r="I3423" s="9"/>
    </row>
    <row r="3424" spans="1:9" ht="14.25" customHeight="1" x14ac:dyDescent="0.3">
      <c r="A3424" s="6">
        <v>43141</v>
      </c>
      <c r="B3424" s="7">
        <v>110.76</v>
      </c>
      <c r="C3424" s="8">
        <f t="shared" si="27"/>
        <v>145.66681393483321</v>
      </c>
      <c r="D3424" s="9">
        <f t="shared" si="26"/>
        <v>71.10973124338129</v>
      </c>
      <c r="E3424" s="9"/>
      <c r="F3424" s="9">
        <f ca="1">IFERROR(__xludf.DUMMYFUNCTION("""COMPUTED_VALUE"""),41883)</f>
        <v>41883</v>
      </c>
      <c r="G3424" s="9" t="str">
        <f ca="1">IFERROR(__xludf.DUMMYFUNCTION("""COMPUTED_VALUE"""),"1 USD = 102.2082 PKR")</f>
        <v>1 USD = 102.2082 PKR</v>
      </c>
      <c r="H3424" s="9" t="str">
        <f ca="1">IFERROR(__xludf.DUMMYFUNCTION("""COMPUTED_VALUE"""),"USD PKR rate for 01/09/2014")</f>
        <v>USD PKR rate for 01/09/2014</v>
      </c>
      <c r="I3424" s="9"/>
    </row>
    <row r="3425" spans="1:9" ht="14.25" customHeight="1" x14ac:dyDescent="0.3">
      <c r="A3425" s="6">
        <v>43142</v>
      </c>
      <c r="B3425" s="7">
        <v>110.78690000000002</v>
      </c>
      <c r="C3425" s="8">
        <f t="shared" si="27"/>
        <v>145.69286641076292</v>
      </c>
      <c r="D3425" s="9">
        <f t="shared" si="26"/>
        <v>71.112469076178556</v>
      </c>
      <c r="E3425" s="9"/>
      <c r="F3425" s="9">
        <f ca="1">IFERROR(__xludf.DUMMYFUNCTION("""COMPUTED_VALUE"""),41882)</f>
        <v>41882</v>
      </c>
      <c r="G3425" s="9" t="str">
        <f ca="1">IFERROR(__xludf.DUMMYFUNCTION("""COMPUTED_VALUE"""),"1 USD = 101.8052 PKR")</f>
        <v>1 USD = 101.8052 PKR</v>
      </c>
      <c r="H3425" s="9" t="str">
        <f ca="1">IFERROR(__xludf.DUMMYFUNCTION("""COMPUTED_VALUE"""),"USD PKR rate for 31/08/2014")</f>
        <v>USD PKR rate for 31/08/2014</v>
      </c>
      <c r="I3425" s="9"/>
    </row>
    <row r="3426" spans="1:9" ht="14.25" customHeight="1" x14ac:dyDescent="0.3">
      <c r="A3426" s="6">
        <v>43143</v>
      </c>
      <c r="B3426" s="7">
        <v>110.7332</v>
      </c>
      <c r="C3426" s="8">
        <f t="shared" si="27"/>
        <v>145.71892354617194</v>
      </c>
      <c r="D3426" s="9">
        <f t="shared" si="26"/>
        <v>71.115206908975821</v>
      </c>
      <c r="E3426" s="9"/>
      <c r="F3426" s="9">
        <f ca="1">IFERROR(__xludf.DUMMYFUNCTION("""COMPUTED_VALUE"""),41881)</f>
        <v>41881</v>
      </c>
      <c r="G3426" s="9" t="str">
        <f ca="1">IFERROR(__xludf.DUMMYFUNCTION("""COMPUTED_VALUE"""),"1 USD = 101.772 PKR")</f>
        <v>1 USD = 101.772 PKR</v>
      </c>
      <c r="H3426" s="9" t="str">
        <f ca="1">IFERROR(__xludf.DUMMYFUNCTION("""COMPUTED_VALUE"""),"USD PKR rate for 30/08/2014")</f>
        <v>USD PKR rate for 30/08/2014</v>
      </c>
      <c r="I3426" s="9"/>
    </row>
    <row r="3427" spans="1:9" ht="14.25" customHeight="1" x14ac:dyDescent="0.3">
      <c r="A3427" s="6">
        <v>43144</v>
      </c>
      <c r="B3427" s="7">
        <v>110.5476</v>
      </c>
      <c r="C3427" s="8">
        <f t="shared" si="27"/>
        <v>145.74498534189357</v>
      </c>
      <c r="D3427" s="9">
        <f t="shared" si="26"/>
        <v>71.117944741773087</v>
      </c>
      <c r="E3427" s="9"/>
      <c r="F3427" s="9">
        <f ca="1">IFERROR(__xludf.DUMMYFUNCTION("""COMPUTED_VALUE"""),41880)</f>
        <v>41880</v>
      </c>
      <c r="G3427" s="9" t="str">
        <f ca="1">IFERROR(__xludf.DUMMYFUNCTION("""COMPUTED_VALUE"""),"1 USD = 101.687 PKR")</f>
        <v>1 USD = 101.687 PKR</v>
      </c>
      <c r="H3427" s="9" t="str">
        <f ca="1">IFERROR(__xludf.DUMMYFUNCTION("""COMPUTED_VALUE"""),"USD PKR rate for 29/08/2014")</f>
        <v>USD PKR rate for 29/08/2014</v>
      </c>
      <c r="I3427" s="9"/>
    </row>
    <row r="3428" spans="1:9" ht="14.25" customHeight="1" x14ac:dyDescent="0.3">
      <c r="A3428" s="6">
        <v>43145</v>
      </c>
      <c r="B3428" s="7">
        <v>110.69840000000001</v>
      </c>
      <c r="C3428" s="8">
        <f t="shared" si="27"/>
        <v>145.77105179876133</v>
      </c>
      <c r="D3428" s="9">
        <f t="shared" si="26"/>
        <v>71.120682574570353</v>
      </c>
      <c r="E3428" s="9"/>
      <c r="F3428" s="9">
        <f ca="1">IFERROR(__xludf.DUMMYFUNCTION("""COMPUTED_VALUE"""),41879)</f>
        <v>41879</v>
      </c>
      <c r="G3428" s="9" t="str">
        <f ca="1">IFERROR(__xludf.DUMMYFUNCTION("""COMPUTED_VALUE"""),"1 USD = 101.8619 PKR")</f>
        <v>1 USD = 101.8619 PKR</v>
      </c>
      <c r="H3428" s="9" t="str">
        <f ca="1">IFERROR(__xludf.DUMMYFUNCTION("""COMPUTED_VALUE"""),"USD PKR rate for 28/08/2014")</f>
        <v>USD PKR rate for 28/08/2014</v>
      </c>
      <c r="I3428" s="9"/>
    </row>
    <row r="3429" spans="1:9" ht="14.25" customHeight="1" x14ac:dyDescent="0.3">
      <c r="A3429" s="6">
        <v>43146</v>
      </c>
      <c r="B3429" s="7">
        <v>110.66200000000001</v>
      </c>
      <c r="C3429" s="8">
        <f t="shared" si="27"/>
        <v>145.79712291760887</v>
      </c>
      <c r="D3429" s="9">
        <f t="shared" si="26"/>
        <v>71.123420407367618</v>
      </c>
      <c r="E3429" s="9"/>
      <c r="F3429" s="9">
        <f ca="1">IFERROR(__xludf.DUMMYFUNCTION("""COMPUTED_VALUE"""),41878)</f>
        <v>41878</v>
      </c>
      <c r="G3429" s="9" t="str">
        <f ca="1">IFERROR(__xludf.DUMMYFUNCTION("""COMPUTED_VALUE"""),"1 USD = 101.3683 PKR")</f>
        <v>1 USD = 101.3683 PKR</v>
      </c>
      <c r="H3429" s="9" t="str">
        <f ca="1">IFERROR(__xludf.DUMMYFUNCTION("""COMPUTED_VALUE"""),"USD PKR rate for 27/08/2014")</f>
        <v>USD PKR rate for 27/08/2014</v>
      </c>
      <c r="I3429" s="9"/>
    </row>
    <row r="3430" spans="1:9" ht="14.25" customHeight="1" x14ac:dyDescent="0.3">
      <c r="A3430" s="6">
        <v>43147</v>
      </c>
      <c r="B3430" s="7">
        <v>110.59950000000001</v>
      </c>
      <c r="C3430" s="8">
        <f t="shared" si="27"/>
        <v>145.82319869926982</v>
      </c>
      <c r="D3430" s="9">
        <f t="shared" si="26"/>
        <v>71.126158240164884</v>
      </c>
      <c r="E3430" s="9"/>
      <c r="F3430" s="9">
        <f ca="1">IFERROR(__xludf.DUMMYFUNCTION("""COMPUTED_VALUE"""),41877)</f>
        <v>41877</v>
      </c>
      <c r="G3430" s="9" t="str">
        <f ca="1">IFERROR(__xludf.DUMMYFUNCTION("""COMPUTED_VALUE"""),"1 USD = 101.7681 PKR")</f>
        <v>1 USD = 101.7681 PKR</v>
      </c>
      <c r="H3430" s="9" t="str">
        <f ca="1">IFERROR(__xludf.DUMMYFUNCTION("""COMPUTED_VALUE"""),"USD PKR rate for 26/08/2014")</f>
        <v>USD PKR rate for 26/08/2014</v>
      </c>
      <c r="I3430" s="9"/>
    </row>
    <row r="3431" spans="1:9" ht="14.25" customHeight="1" x14ac:dyDescent="0.3">
      <c r="A3431" s="6">
        <v>43148</v>
      </c>
      <c r="B3431" s="7">
        <v>110.6001</v>
      </c>
      <c r="C3431" s="8">
        <f t="shared" si="27"/>
        <v>145.84927914457845</v>
      </c>
      <c r="D3431" s="9">
        <f t="shared" si="26"/>
        <v>71.128896072962149</v>
      </c>
      <c r="E3431" s="9"/>
      <c r="F3431" s="9">
        <f ca="1">IFERROR(__xludf.DUMMYFUNCTION("""COMPUTED_VALUE"""),41876)</f>
        <v>41876</v>
      </c>
      <c r="G3431" s="9" t="str">
        <f ca="1">IFERROR(__xludf.DUMMYFUNCTION("""COMPUTED_VALUE"""),"1 USD = 101.1862 PKR")</f>
        <v>1 USD = 101.1862 PKR</v>
      </c>
      <c r="H3431" s="9" t="str">
        <f ca="1">IFERROR(__xludf.DUMMYFUNCTION("""COMPUTED_VALUE"""),"USD PKR rate for 25/08/2014")</f>
        <v>USD PKR rate for 25/08/2014</v>
      </c>
      <c r="I3431" s="9"/>
    </row>
    <row r="3432" spans="1:9" ht="14.25" customHeight="1" x14ac:dyDescent="0.3">
      <c r="A3432" s="6">
        <v>43149</v>
      </c>
      <c r="B3432" s="7">
        <v>110.7253</v>
      </c>
      <c r="C3432" s="8">
        <f t="shared" si="27"/>
        <v>145.87536425436866</v>
      </c>
      <c r="D3432" s="9">
        <f t="shared" si="26"/>
        <v>71.131633905759415</v>
      </c>
      <c r="E3432" s="9"/>
      <c r="F3432" s="9">
        <f ca="1">IFERROR(__xludf.DUMMYFUNCTION("""COMPUTED_VALUE"""),41875)</f>
        <v>41875</v>
      </c>
      <c r="G3432" s="9" t="str">
        <f ca="1">IFERROR(__xludf.DUMMYFUNCTION("""COMPUTED_VALUE"""),"1 USD = 101.3265 PKR")</f>
        <v>1 USD = 101.3265 PKR</v>
      </c>
      <c r="H3432" s="9" t="str">
        <f ca="1">IFERROR(__xludf.DUMMYFUNCTION("""COMPUTED_VALUE"""),"USD PKR rate for 24/08/2014")</f>
        <v>USD PKR rate for 24/08/2014</v>
      </c>
      <c r="I3432" s="9"/>
    </row>
    <row r="3433" spans="1:9" ht="14.25" customHeight="1" x14ac:dyDescent="0.3">
      <c r="A3433" s="6">
        <v>43150</v>
      </c>
      <c r="B3433" s="7">
        <v>110.7067</v>
      </c>
      <c r="C3433" s="8">
        <f t="shared" si="27"/>
        <v>145.90145402947471</v>
      </c>
      <c r="D3433" s="9">
        <f t="shared" si="26"/>
        <v>71.13437173855668</v>
      </c>
      <c r="E3433" s="9"/>
      <c r="F3433" s="9">
        <f ca="1">IFERROR(__xludf.DUMMYFUNCTION("""COMPUTED_VALUE"""),41874)</f>
        <v>41874</v>
      </c>
      <c r="G3433" s="9" t="str">
        <f ca="1">IFERROR(__xludf.DUMMYFUNCTION("""COMPUTED_VALUE"""),"1 USD = 101.217 PKR")</f>
        <v>1 USD = 101.217 PKR</v>
      </c>
      <c r="H3433" s="9" t="str">
        <f ca="1">IFERROR(__xludf.DUMMYFUNCTION("""COMPUTED_VALUE"""),"USD PKR rate for 23/08/2014")</f>
        <v>USD PKR rate for 23/08/2014</v>
      </c>
      <c r="I3433" s="9"/>
    </row>
    <row r="3434" spans="1:9" ht="14.25" customHeight="1" x14ac:dyDescent="0.3">
      <c r="A3434" s="6">
        <v>43151</v>
      </c>
      <c r="B3434" s="7">
        <v>110.60000000000001</v>
      </c>
      <c r="C3434" s="8">
        <f t="shared" si="27"/>
        <v>145.92754847073101</v>
      </c>
      <c r="D3434" s="9">
        <f t="shared" si="26"/>
        <v>71.137109571353946</v>
      </c>
      <c r="E3434" s="9"/>
      <c r="F3434" s="9">
        <f ca="1">IFERROR(__xludf.DUMMYFUNCTION("""COMPUTED_VALUE"""),41873)</f>
        <v>41873</v>
      </c>
      <c r="G3434" s="9" t="str">
        <f ca="1">IFERROR(__xludf.DUMMYFUNCTION("""COMPUTED_VALUE"""),"1 USD = 101.2449 PKR")</f>
        <v>1 USD = 101.2449 PKR</v>
      </c>
      <c r="H3434" s="9" t="str">
        <f ca="1">IFERROR(__xludf.DUMMYFUNCTION("""COMPUTED_VALUE"""),"USD PKR rate for 22/08/2014")</f>
        <v>USD PKR rate for 22/08/2014</v>
      </c>
      <c r="I3434" s="9"/>
    </row>
    <row r="3435" spans="1:9" ht="14.25" customHeight="1" x14ac:dyDescent="0.3">
      <c r="A3435" s="6">
        <v>43152</v>
      </c>
      <c r="B3435" s="7">
        <v>110.6828</v>
      </c>
      <c r="C3435" s="8">
        <f t="shared" si="27"/>
        <v>145.95364757897207</v>
      </c>
      <c r="D3435" s="9">
        <f t="shared" si="26"/>
        <v>71.139847404151212</v>
      </c>
      <c r="E3435" s="9"/>
      <c r="F3435" s="9">
        <f ca="1">IFERROR(__xludf.DUMMYFUNCTION("""COMPUTED_VALUE"""),41872)</f>
        <v>41872</v>
      </c>
      <c r="G3435" s="9" t="str">
        <f ca="1">IFERROR(__xludf.DUMMYFUNCTION("""COMPUTED_VALUE"""),"1 USD = 100.9181 PKR")</f>
        <v>1 USD = 100.9181 PKR</v>
      </c>
      <c r="H3435" s="9" t="str">
        <f ca="1">IFERROR(__xludf.DUMMYFUNCTION("""COMPUTED_VALUE"""),"USD PKR rate for 21/08/2014")</f>
        <v>USD PKR rate for 21/08/2014</v>
      </c>
      <c r="I3435" s="9"/>
    </row>
    <row r="3436" spans="1:9" ht="14.25" customHeight="1" x14ac:dyDescent="0.3">
      <c r="A3436" s="6">
        <v>43153</v>
      </c>
      <c r="B3436" s="7">
        <v>110.6035</v>
      </c>
      <c r="C3436" s="8">
        <f t="shared" si="27"/>
        <v>145.97975135503262</v>
      </c>
      <c r="D3436" s="9">
        <f t="shared" si="26"/>
        <v>71.142585236948477</v>
      </c>
      <c r="E3436" s="9"/>
      <c r="F3436" s="9">
        <f ca="1">IFERROR(__xludf.DUMMYFUNCTION("""COMPUTED_VALUE"""),41871)</f>
        <v>41871</v>
      </c>
      <c r="G3436" s="9" t="str">
        <f ca="1">IFERROR(__xludf.DUMMYFUNCTION("""COMPUTED_VALUE"""),"1 USD = 100.8764 PKR")</f>
        <v>1 USD = 100.8764 PKR</v>
      </c>
      <c r="H3436" s="9" t="str">
        <f ca="1">IFERROR(__xludf.DUMMYFUNCTION("""COMPUTED_VALUE"""),"USD PKR rate for 20/08/2014")</f>
        <v>USD PKR rate for 20/08/2014</v>
      </c>
      <c r="I3436" s="9"/>
    </row>
    <row r="3437" spans="1:9" ht="14.25" customHeight="1" x14ac:dyDescent="0.3">
      <c r="A3437" s="6">
        <v>43154</v>
      </c>
      <c r="B3437" s="7">
        <v>110.60000000000001</v>
      </c>
      <c r="C3437" s="8">
        <f t="shared" si="27"/>
        <v>146.00585979974744</v>
      </c>
      <c r="D3437" s="9">
        <f t="shared" si="26"/>
        <v>71.145323069745743</v>
      </c>
      <c r="E3437" s="9"/>
      <c r="F3437" s="9">
        <f ca="1">IFERROR(__xludf.DUMMYFUNCTION("""COMPUTED_VALUE"""),41870)</f>
        <v>41870</v>
      </c>
      <c r="G3437" s="9" t="str">
        <f ca="1">IFERROR(__xludf.DUMMYFUNCTION("""COMPUTED_VALUE"""),"1 USD = 100.2982 PKR")</f>
        <v>1 USD = 100.2982 PKR</v>
      </c>
      <c r="H3437" s="9" t="str">
        <f ca="1">IFERROR(__xludf.DUMMYFUNCTION("""COMPUTED_VALUE"""),"USD PKR rate for 19/08/2014")</f>
        <v>USD PKR rate for 19/08/2014</v>
      </c>
      <c r="I3437" s="9"/>
    </row>
    <row r="3438" spans="1:9" ht="14.25" customHeight="1" x14ac:dyDescent="0.3">
      <c r="A3438" s="6">
        <v>43155</v>
      </c>
      <c r="B3438" s="7">
        <v>110.8676</v>
      </c>
      <c r="C3438" s="8">
        <f t="shared" si="27"/>
        <v>146.03197291395156</v>
      </c>
      <c r="D3438" s="9">
        <f t="shared" si="26"/>
        <v>71.148060902543008</v>
      </c>
      <c r="E3438" s="9"/>
      <c r="F3438" s="9">
        <f ca="1">IFERROR(__xludf.DUMMYFUNCTION("""COMPUTED_VALUE"""),41869)</f>
        <v>41869</v>
      </c>
      <c r="G3438" s="9" t="str">
        <f ca="1">IFERROR(__xludf.DUMMYFUNCTION("""COMPUTED_VALUE"""),"1 USD = 99.9648 PKR")</f>
        <v>1 USD = 99.9648 PKR</v>
      </c>
      <c r="H3438" s="9" t="str">
        <f ca="1">IFERROR(__xludf.DUMMYFUNCTION("""COMPUTED_VALUE"""),"USD PKR rate for 18/08/2014")</f>
        <v>USD PKR rate for 18/08/2014</v>
      </c>
      <c r="I3438" s="9"/>
    </row>
    <row r="3439" spans="1:9" ht="14.25" customHeight="1" x14ac:dyDescent="0.3">
      <c r="A3439" s="6">
        <v>43156</v>
      </c>
      <c r="B3439" s="7">
        <v>110.7942</v>
      </c>
      <c r="C3439" s="8">
        <f t="shared" si="27"/>
        <v>146.05809069847999</v>
      </c>
      <c r="D3439" s="9">
        <f t="shared" si="26"/>
        <v>71.150798735340274</v>
      </c>
      <c r="E3439" s="9"/>
      <c r="F3439" s="9">
        <f ca="1">IFERROR(__xludf.DUMMYFUNCTION("""COMPUTED_VALUE"""),41868)</f>
        <v>41868</v>
      </c>
      <c r="G3439" s="9" t="str">
        <f ca="1">IFERROR(__xludf.DUMMYFUNCTION("""COMPUTED_VALUE"""),"1 USD = 99.8831 PKR")</f>
        <v>1 USD = 99.8831 PKR</v>
      </c>
      <c r="H3439" s="9" t="str">
        <f ca="1">IFERROR(__xludf.DUMMYFUNCTION("""COMPUTED_VALUE"""),"USD PKR rate for 17/08/2014")</f>
        <v>USD PKR rate for 17/08/2014</v>
      </c>
      <c r="I3439" s="9"/>
    </row>
    <row r="3440" spans="1:9" ht="14.25" customHeight="1" x14ac:dyDescent="0.3">
      <c r="A3440" s="6">
        <v>43157</v>
      </c>
      <c r="B3440" s="7">
        <v>110.54689999999999</v>
      </c>
      <c r="C3440" s="8">
        <f t="shared" si="27"/>
        <v>146.08421315416825</v>
      </c>
      <c r="D3440" s="9">
        <f t="shared" si="26"/>
        <v>71.15353656813754</v>
      </c>
      <c r="E3440" s="9"/>
      <c r="F3440" s="9">
        <f ca="1">IFERROR(__xludf.DUMMYFUNCTION("""COMPUTED_VALUE"""),41867)</f>
        <v>41867</v>
      </c>
      <c r="G3440" s="9" t="str">
        <f ca="1">IFERROR(__xludf.DUMMYFUNCTION("""COMPUTED_VALUE"""),"1 USD = 99.8748 PKR")</f>
        <v>1 USD = 99.8748 PKR</v>
      </c>
      <c r="H3440" s="9" t="str">
        <f ca="1">IFERROR(__xludf.DUMMYFUNCTION("""COMPUTED_VALUE"""),"USD PKR rate for 16/08/2014")</f>
        <v>USD PKR rate for 16/08/2014</v>
      </c>
      <c r="I3440" s="9"/>
    </row>
    <row r="3441" spans="1:9" ht="14.25" customHeight="1" x14ac:dyDescent="0.3">
      <c r="A3441" s="6">
        <v>43158</v>
      </c>
      <c r="B3441" s="7">
        <v>110.7024</v>
      </c>
      <c r="C3441" s="8">
        <f t="shared" si="27"/>
        <v>146.11034028185165</v>
      </c>
      <c r="D3441" s="9">
        <f t="shared" si="26"/>
        <v>71.156274400934805</v>
      </c>
      <c r="E3441" s="9"/>
      <c r="F3441" s="9">
        <f ca="1">IFERROR(__xludf.DUMMYFUNCTION("""COMPUTED_VALUE"""),41866)</f>
        <v>41866</v>
      </c>
      <c r="G3441" s="9" t="str">
        <f ca="1">IFERROR(__xludf.DUMMYFUNCTION("""COMPUTED_VALUE"""),"1 USD = 99.8236 PKR")</f>
        <v>1 USD = 99.8236 PKR</v>
      </c>
      <c r="H3441" s="9" t="str">
        <f ca="1">IFERROR(__xludf.DUMMYFUNCTION("""COMPUTED_VALUE"""),"USD PKR rate for 15/08/2014")</f>
        <v>USD PKR rate for 15/08/2014</v>
      </c>
      <c r="I3441" s="9"/>
    </row>
    <row r="3442" spans="1:9" ht="14.25" customHeight="1" x14ac:dyDescent="0.3">
      <c r="A3442" s="6">
        <v>43159</v>
      </c>
      <c r="B3442" s="7">
        <v>110.6532</v>
      </c>
      <c r="C3442" s="8">
        <f t="shared" si="27"/>
        <v>146.1364720823658</v>
      </c>
      <c r="D3442" s="9">
        <f t="shared" si="26"/>
        <v>71.159012233732071</v>
      </c>
      <c r="E3442" s="9"/>
      <c r="F3442" s="9">
        <f ca="1">IFERROR(__xludf.DUMMYFUNCTION("""COMPUTED_VALUE"""),41865)</f>
        <v>41865</v>
      </c>
      <c r="G3442" s="9" t="str">
        <f ca="1">IFERROR(__xludf.DUMMYFUNCTION("""COMPUTED_VALUE"""),"1 USD = 99.4422 PKR")</f>
        <v>1 USD = 99.4422 PKR</v>
      </c>
      <c r="H3442" s="9" t="str">
        <f ca="1">IFERROR(__xludf.DUMMYFUNCTION("""COMPUTED_VALUE"""),"USD PKR rate for 14/08/2014")</f>
        <v>USD PKR rate for 14/08/2014</v>
      </c>
      <c r="I3442" s="9"/>
    </row>
    <row r="3443" spans="1:9" ht="14.25" customHeight="1" x14ac:dyDescent="0.3">
      <c r="A3443" s="6">
        <v>43160</v>
      </c>
      <c r="B3443" s="7">
        <v>110.69580000000001</v>
      </c>
      <c r="C3443" s="8">
        <f t="shared" si="27"/>
        <v>146.16260855654642</v>
      </c>
      <c r="D3443" s="9">
        <f t="shared" si="26"/>
        <v>71.161750066529336</v>
      </c>
      <c r="E3443" s="9"/>
      <c r="F3443" s="9">
        <f ca="1">IFERROR(__xludf.DUMMYFUNCTION("""COMPUTED_VALUE"""),41864)</f>
        <v>41864</v>
      </c>
      <c r="G3443" s="9" t="str">
        <f ca="1">IFERROR(__xludf.DUMMYFUNCTION("""COMPUTED_VALUE"""),"1 USD = 99.2942 PKR")</f>
        <v>1 USD = 99.2942 PKR</v>
      </c>
      <c r="H3443" s="9" t="str">
        <f ca="1">IFERROR(__xludf.DUMMYFUNCTION("""COMPUTED_VALUE"""),"USD PKR rate for 13/08/2014")</f>
        <v>USD PKR rate for 13/08/2014</v>
      </c>
      <c r="I3443" s="9"/>
    </row>
    <row r="3444" spans="1:9" ht="14.25" customHeight="1" x14ac:dyDescent="0.3">
      <c r="A3444" s="6">
        <v>43161</v>
      </c>
      <c r="B3444" s="7">
        <v>110.65</v>
      </c>
      <c r="C3444" s="8">
        <f t="shared" si="27"/>
        <v>146.18874970522936</v>
      </c>
      <c r="D3444" s="9">
        <f t="shared" si="26"/>
        <v>71.164487899326602</v>
      </c>
      <c r="E3444" s="9"/>
      <c r="F3444" s="9">
        <f ca="1">IFERROR(__xludf.DUMMYFUNCTION("""COMPUTED_VALUE"""),41863)</f>
        <v>41863</v>
      </c>
      <c r="G3444" s="9" t="str">
        <f ca="1">IFERROR(__xludf.DUMMYFUNCTION("""COMPUTED_VALUE"""),"1 USD = 99.0164 PKR")</f>
        <v>1 USD = 99.0164 PKR</v>
      </c>
      <c r="H3444" s="9" t="str">
        <f ca="1">IFERROR(__xludf.DUMMYFUNCTION("""COMPUTED_VALUE"""),"USD PKR rate for 12/08/2014")</f>
        <v>USD PKR rate for 12/08/2014</v>
      </c>
      <c r="I3444" s="9"/>
    </row>
    <row r="3445" spans="1:9" ht="14.25" customHeight="1" x14ac:dyDescent="0.3">
      <c r="A3445" s="6">
        <v>43162</v>
      </c>
      <c r="B3445" s="7">
        <v>110.6477</v>
      </c>
      <c r="C3445" s="8">
        <f t="shared" si="27"/>
        <v>146.21489552925073</v>
      </c>
      <c r="D3445" s="9">
        <f t="shared" si="26"/>
        <v>71.167225732123867</v>
      </c>
      <c r="E3445" s="9"/>
      <c r="F3445" s="9">
        <f ca="1">IFERROR(__xludf.DUMMYFUNCTION("""COMPUTED_VALUE"""),41862)</f>
        <v>41862</v>
      </c>
      <c r="G3445" s="9" t="str">
        <f ca="1">IFERROR(__xludf.DUMMYFUNCTION("""COMPUTED_VALUE"""),"1 USD = 98.9678 PKR")</f>
        <v>1 USD = 98.9678 PKR</v>
      </c>
      <c r="H3445" s="9" t="str">
        <f ca="1">IFERROR(__xludf.DUMMYFUNCTION("""COMPUTED_VALUE"""),"USD PKR rate for 11/08/2014")</f>
        <v>USD PKR rate for 11/08/2014</v>
      </c>
      <c r="I3445" s="9"/>
    </row>
    <row r="3446" spans="1:9" ht="14.25" customHeight="1" x14ac:dyDescent="0.3">
      <c r="A3446" s="6">
        <v>43163</v>
      </c>
      <c r="B3446" s="7">
        <v>110.65</v>
      </c>
      <c r="C3446" s="8">
        <f t="shared" si="27"/>
        <v>146.24104602944664</v>
      </c>
      <c r="D3446" s="9">
        <f t="shared" si="26"/>
        <v>71.169963564921133</v>
      </c>
      <c r="E3446" s="9"/>
      <c r="F3446" s="9">
        <f ca="1">IFERROR(__xludf.DUMMYFUNCTION("""COMPUTED_VALUE"""),41861)</f>
        <v>41861</v>
      </c>
      <c r="G3446" s="9" t="str">
        <f ca="1">IFERROR(__xludf.DUMMYFUNCTION("""COMPUTED_VALUE"""),"1 USD = 98.821 PKR")</f>
        <v>1 USD = 98.821 PKR</v>
      </c>
      <c r="H3446" s="9" t="str">
        <f ca="1">IFERROR(__xludf.DUMMYFUNCTION("""COMPUTED_VALUE"""),"USD PKR rate for 10/08/2014")</f>
        <v>USD PKR rate for 10/08/2014</v>
      </c>
      <c r="I3446" s="9"/>
    </row>
    <row r="3447" spans="1:9" ht="14.25" customHeight="1" x14ac:dyDescent="0.3">
      <c r="A3447" s="6">
        <v>43164</v>
      </c>
      <c r="B3447" s="7">
        <v>110.6527</v>
      </c>
      <c r="C3447" s="8">
        <f t="shared" si="27"/>
        <v>146.26720120665348</v>
      </c>
      <c r="D3447" s="9">
        <f t="shared" si="26"/>
        <v>71.172701397718399</v>
      </c>
      <c r="E3447" s="9"/>
      <c r="F3447" s="9">
        <f ca="1">IFERROR(__xludf.DUMMYFUNCTION("""COMPUTED_VALUE"""),41860)</f>
        <v>41860</v>
      </c>
      <c r="G3447" s="9" t="str">
        <f ca="1">IFERROR(__xludf.DUMMYFUNCTION("""COMPUTED_VALUE"""),"1 USD = 98.8488 PKR")</f>
        <v>1 USD = 98.8488 PKR</v>
      </c>
      <c r="H3447" s="9" t="str">
        <f ca="1">IFERROR(__xludf.DUMMYFUNCTION("""COMPUTED_VALUE"""),"USD PKR rate for 09/08/2014")</f>
        <v>USD PKR rate for 09/08/2014</v>
      </c>
      <c r="I3447" s="9"/>
    </row>
    <row r="3448" spans="1:9" ht="14.25" customHeight="1" x14ac:dyDescent="0.3">
      <c r="A3448" s="6">
        <v>43165</v>
      </c>
      <c r="B3448" s="7">
        <v>110.6604</v>
      </c>
      <c r="C3448" s="8">
        <f t="shared" si="27"/>
        <v>146.29336106170754</v>
      </c>
      <c r="D3448" s="9">
        <f t="shared" si="26"/>
        <v>71.175439230515664</v>
      </c>
      <c r="E3448" s="9"/>
      <c r="F3448" s="9">
        <f ca="1">IFERROR(__xludf.DUMMYFUNCTION("""COMPUTED_VALUE"""),41859)</f>
        <v>41859</v>
      </c>
      <c r="G3448" s="9" t="str">
        <f ca="1">IFERROR(__xludf.DUMMYFUNCTION("""COMPUTED_VALUE"""),"1 USD = 98.8038 PKR")</f>
        <v>1 USD = 98.8038 PKR</v>
      </c>
      <c r="H3448" s="9" t="str">
        <f ca="1">IFERROR(__xludf.DUMMYFUNCTION("""COMPUTED_VALUE"""),"USD PKR rate for 08/08/2014")</f>
        <v>USD PKR rate for 08/08/2014</v>
      </c>
      <c r="I3448" s="9"/>
    </row>
    <row r="3449" spans="1:9" ht="14.25" customHeight="1" x14ac:dyDescent="0.3">
      <c r="A3449" s="6">
        <v>43166</v>
      </c>
      <c r="B3449" s="7">
        <v>110.7266</v>
      </c>
      <c r="C3449" s="8">
        <f t="shared" si="27"/>
        <v>146.31952559544578</v>
      </c>
      <c r="D3449" s="9">
        <f t="shared" si="26"/>
        <v>71.17817706331293</v>
      </c>
      <c r="E3449" s="9"/>
      <c r="F3449" s="9">
        <f ca="1">IFERROR(__xludf.DUMMYFUNCTION("""COMPUTED_VALUE"""),41858)</f>
        <v>41858</v>
      </c>
      <c r="G3449" s="9" t="str">
        <f ca="1">IFERROR(__xludf.DUMMYFUNCTION("""COMPUTED_VALUE"""),"1 USD = 98.8639 PKR")</f>
        <v>1 USD = 98.8639 PKR</v>
      </c>
      <c r="H3449" s="9" t="str">
        <f ca="1">IFERROR(__xludf.DUMMYFUNCTION("""COMPUTED_VALUE"""),"USD PKR rate for 07/08/2014")</f>
        <v>USD PKR rate for 07/08/2014</v>
      </c>
      <c r="I3449" s="9"/>
    </row>
    <row r="3450" spans="1:9" ht="14.25" customHeight="1" x14ac:dyDescent="0.3">
      <c r="A3450" s="6">
        <v>43167</v>
      </c>
      <c r="B3450" s="7">
        <v>110.6999</v>
      </c>
      <c r="C3450" s="8">
        <f t="shared" si="27"/>
        <v>146.34569480870479</v>
      </c>
      <c r="D3450" s="9">
        <f t="shared" si="26"/>
        <v>71.180914896110195</v>
      </c>
      <c r="E3450" s="9"/>
      <c r="F3450" s="9">
        <f ca="1">IFERROR(__xludf.DUMMYFUNCTION("""COMPUTED_VALUE"""),41857)</f>
        <v>41857</v>
      </c>
      <c r="G3450" s="9" t="str">
        <f ca="1">IFERROR(__xludf.DUMMYFUNCTION("""COMPUTED_VALUE"""),"1 USD = 98.8241 PKR")</f>
        <v>1 USD = 98.8241 PKR</v>
      </c>
      <c r="H3450" s="9" t="str">
        <f ca="1">IFERROR(__xludf.DUMMYFUNCTION("""COMPUTED_VALUE"""),"USD PKR rate for 06/08/2014")</f>
        <v>USD PKR rate for 06/08/2014</v>
      </c>
      <c r="I3450" s="9"/>
    </row>
    <row r="3451" spans="1:9" ht="14.25" customHeight="1" x14ac:dyDescent="0.3">
      <c r="A3451" s="6">
        <v>43168</v>
      </c>
      <c r="B3451" s="7">
        <v>110.72580000000001</v>
      </c>
      <c r="C3451" s="8">
        <f t="shared" si="27"/>
        <v>146.37186870232154</v>
      </c>
      <c r="D3451" s="9">
        <f t="shared" si="26"/>
        <v>71.183652728907461</v>
      </c>
      <c r="E3451" s="9"/>
      <c r="F3451" s="9">
        <f ca="1">IFERROR(__xludf.DUMMYFUNCTION("""COMPUTED_VALUE"""),41856)</f>
        <v>41856</v>
      </c>
      <c r="G3451" s="9" t="str">
        <f ca="1">IFERROR(__xludf.DUMMYFUNCTION("""COMPUTED_VALUE"""),"1 USD = 98.8359 PKR")</f>
        <v>1 USD = 98.8359 PKR</v>
      </c>
      <c r="H3451" s="9" t="str">
        <f ca="1">IFERROR(__xludf.DUMMYFUNCTION("""COMPUTED_VALUE"""),"USD PKR rate for 05/08/2014")</f>
        <v>USD PKR rate for 05/08/2014</v>
      </c>
      <c r="I3451" s="9"/>
    </row>
    <row r="3452" spans="1:9" ht="14.25" customHeight="1" x14ac:dyDescent="0.3">
      <c r="A3452" s="6">
        <v>43169</v>
      </c>
      <c r="B3452" s="7">
        <v>110.72580000000001</v>
      </c>
      <c r="C3452" s="8">
        <f t="shared" si="27"/>
        <v>146.39804727713312</v>
      </c>
      <c r="D3452" s="9">
        <f t="shared" si="26"/>
        <v>71.186390561704727</v>
      </c>
      <c r="E3452" s="9"/>
      <c r="F3452" s="9">
        <f ca="1">IFERROR(__xludf.DUMMYFUNCTION("""COMPUTED_VALUE"""),41855)</f>
        <v>41855</v>
      </c>
      <c r="G3452" s="9" t="str">
        <f ca="1">IFERROR(__xludf.DUMMYFUNCTION("""COMPUTED_VALUE"""),"1 USD = 98.7992 PKR")</f>
        <v>1 USD = 98.7992 PKR</v>
      </c>
      <c r="H3452" s="9" t="str">
        <f ca="1">IFERROR(__xludf.DUMMYFUNCTION("""COMPUTED_VALUE"""),"USD PKR rate for 04/08/2014")</f>
        <v>USD PKR rate for 04/08/2014</v>
      </c>
      <c r="I3452" s="9"/>
    </row>
    <row r="3453" spans="1:9" ht="14.25" customHeight="1" x14ac:dyDescent="0.3">
      <c r="A3453" s="6">
        <v>43170</v>
      </c>
      <c r="B3453" s="7">
        <v>110.7289</v>
      </c>
      <c r="C3453" s="8">
        <f t="shared" si="27"/>
        <v>146.42423053397673</v>
      </c>
      <c r="D3453" s="9">
        <f t="shared" si="26"/>
        <v>71.189128394501992</v>
      </c>
      <c r="E3453" s="9"/>
      <c r="F3453" s="9">
        <f ca="1">IFERROR(__xludf.DUMMYFUNCTION("""COMPUTED_VALUE"""),41854)</f>
        <v>41854</v>
      </c>
      <c r="G3453" s="9" t="str">
        <f ca="1">IFERROR(__xludf.DUMMYFUNCTION("""COMPUTED_VALUE"""),"1 USD = 98.7626 PKR")</f>
        <v>1 USD = 98.7626 PKR</v>
      </c>
      <c r="H3453" s="9" t="str">
        <f ca="1">IFERROR(__xludf.DUMMYFUNCTION("""COMPUTED_VALUE"""),"USD PKR rate for 03/08/2014")</f>
        <v>USD PKR rate for 03/08/2014</v>
      </c>
      <c r="I3453" s="9"/>
    </row>
    <row r="3454" spans="1:9" ht="14.25" customHeight="1" x14ac:dyDescent="0.3">
      <c r="A3454" s="6">
        <v>43171</v>
      </c>
      <c r="B3454" s="7">
        <v>110.6641</v>
      </c>
      <c r="C3454" s="8">
        <f t="shared" si="27"/>
        <v>146.45041847368975</v>
      </c>
      <c r="D3454" s="9">
        <f t="shared" si="26"/>
        <v>71.191866227299258</v>
      </c>
      <c r="E3454" s="9"/>
      <c r="F3454" s="9">
        <f ca="1">IFERROR(__xludf.DUMMYFUNCTION("""COMPUTED_VALUE"""),41853)</f>
        <v>41853</v>
      </c>
      <c r="G3454" s="9" t="str">
        <f ca="1">IFERROR(__xludf.DUMMYFUNCTION("""COMPUTED_VALUE"""),"1 USD = 98.7496 PKR")</f>
        <v>1 USD = 98.7496 PKR</v>
      </c>
      <c r="H3454" s="9" t="str">
        <f ca="1">IFERROR(__xludf.DUMMYFUNCTION("""COMPUTED_VALUE"""),"USD PKR rate for 02/08/2014")</f>
        <v>USD PKR rate for 02/08/2014</v>
      </c>
      <c r="I3454" s="9"/>
    </row>
    <row r="3455" spans="1:9" ht="14.25" customHeight="1" x14ac:dyDescent="0.3">
      <c r="A3455" s="6">
        <v>43172</v>
      </c>
      <c r="B3455" s="7">
        <v>110.43660000000001</v>
      </c>
      <c r="C3455" s="8">
        <f t="shared" si="27"/>
        <v>146.47661109710972</v>
      </c>
      <c r="D3455" s="9">
        <f t="shared" si="26"/>
        <v>71.194604060096523</v>
      </c>
      <c r="E3455" s="9"/>
      <c r="F3455" s="9">
        <f ca="1">IFERROR(__xludf.DUMMYFUNCTION("""COMPUTED_VALUE"""),41852)</f>
        <v>41852</v>
      </c>
      <c r="G3455" s="9" t="str">
        <f ca="1">IFERROR(__xludf.DUMMYFUNCTION("""COMPUTED_VALUE"""),"1 USD = 98.743 PKR")</f>
        <v>1 USD = 98.743 PKR</v>
      </c>
      <c r="H3455" s="9" t="str">
        <f ca="1">IFERROR(__xludf.DUMMYFUNCTION("""COMPUTED_VALUE"""),"USD PKR rate for 01/08/2014")</f>
        <v>USD PKR rate for 01/08/2014</v>
      </c>
      <c r="I3455" s="9"/>
    </row>
    <row r="3456" spans="1:9" ht="14.25" customHeight="1" x14ac:dyDescent="0.3">
      <c r="A3456" s="6">
        <v>43173</v>
      </c>
      <c r="B3456" s="7">
        <v>110.6579</v>
      </c>
      <c r="C3456" s="8">
        <f t="shared" si="27"/>
        <v>146.50280840507432</v>
      </c>
      <c r="D3456" s="9">
        <f t="shared" si="26"/>
        <v>71.197341892893789</v>
      </c>
      <c r="E3456" s="9"/>
      <c r="F3456" s="9">
        <f ca="1">IFERROR(__xludf.DUMMYFUNCTION("""COMPUTED_VALUE"""),41851)</f>
        <v>41851</v>
      </c>
      <c r="G3456" s="9" t="str">
        <f ca="1">IFERROR(__xludf.DUMMYFUNCTION("""COMPUTED_VALUE"""),"1 USD = 98.7533 PKR")</f>
        <v>1 USD = 98.7533 PKR</v>
      </c>
      <c r="H3456" s="9" t="str">
        <f ca="1">IFERROR(__xludf.DUMMYFUNCTION("""COMPUTED_VALUE"""),"USD PKR rate for 31/07/2014")</f>
        <v>USD PKR rate for 31/07/2014</v>
      </c>
      <c r="I3456" s="9"/>
    </row>
    <row r="3457" spans="1:9" ht="14.25" customHeight="1" x14ac:dyDescent="0.3">
      <c r="A3457" s="6">
        <v>43174</v>
      </c>
      <c r="B3457" s="7">
        <v>110.65600000000001</v>
      </c>
      <c r="C3457" s="8">
        <f t="shared" si="27"/>
        <v>146.52901039842129</v>
      </c>
      <c r="D3457" s="9">
        <f t="shared" si="26"/>
        <v>71.200079725691054</v>
      </c>
      <c r="E3457" s="9"/>
      <c r="F3457" s="9">
        <f ca="1">IFERROR(__xludf.DUMMYFUNCTION("""COMPUTED_VALUE"""),41850)</f>
        <v>41850</v>
      </c>
      <c r="G3457" s="9" t="str">
        <f ca="1">IFERROR(__xludf.DUMMYFUNCTION("""COMPUTED_VALUE"""),"1 USD = 98.7628 PKR")</f>
        <v>1 USD = 98.7628 PKR</v>
      </c>
      <c r="H3457" s="9" t="str">
        <f ca="1">IFERROR(__xludf.DUMMYFUNCTION("""COMPUTED_VALUE"""),"USD PKR rate for 30/07/2014")</f>
        <v>USD PKR rate for 30/07/2014</v>
      </c>
      <c r="I3457" s="9"/>
    </row>
    <row r="3458" spans="1:9" ht="14.25" customHeight="1" x14ac:dyDescent="0.3">
      <c r="A3458" s="6">
        <v>43175</v>
      </c>
      <c r="B3458" s="7">
        <v>110.625</v>
      </c>
      <c r="C3458" s="8">
        <f t="shared" si="27"/>
        <v>146.55521707798877</v>
      </c>
      <c r="D3458" s="9">
        <f t="shared" si="26"/>
        <v>71.20281755848832</v>
      </c>
      <c r="E3458" s="9"/>
      <c r="F3458" s="9">
        <f ca="1">IFERROR(__xludf.DUMMYFUNCTION("""COMPUTED_VALUE"""),41849)</f>
        <v>41849</v>
      </c>
      <c r="G3458" s="9" t="str">
        <f ca="1">IFERROR(__xludf.DUMMYFUNCTION("""COMPUTED_VALUE"""),"1 USD = 98.804 PKR")</f>
        <v>1 USD = 98.804 PKR</v>
      </c>
      <c r="H3458" s="9" t="str">
        <f ca="1">IFERROR(__xludf.DUMMYFUNCTION("""COMPUTED_VALUE"""),"USD PKR rate for 29/07/2014")</f>
        <v>USD PKR rate for 29/07/2014</v>
      </c>
      <c r="I3458" s="9"/>
    </row>
    <row r="3459" spans="1:9" ht="14.25" customHeight="1" x14ac:dyDescent="0.3">
      <c r="A3459" s="6">
        <v>43176</v>
      </c>
      <c r="B3459" s="7">
        <v>110.625</v>
      </c>
      <c r="C3459" s="8">
        <f t="shared" si="27"/>
        <v>146.58142844461486</v>
      </c>
      <c r="D3459" s="9">
        <f t="shared" si="26"/>
        <v>71.205555391285586</v>
      </c>
      <c r="E3459" s="9"/>
      <c r="F3459" s="9">
        <f ca="1">IFERROR(__xludf.DUMMYFUNCTION("""COMPUTED_VALUE"""),41848)</f>
        <v>41848</v>
      </c>
      <c r="G3459" s="9" t="str">
        <f ca="1">IFERROR(__xludf.DUMMYFUNCTION("""COMPUTED_VALUE"""),"1 USD = 98.7726 PKR")</f>
        <v>1 USD = 98.7726 PKR</v>
      </c>
      <c r="H3459" s="9" t="str">
        <f ca="1">IFERROR(__xludf.DUMMYFUNCTION("""COMPUTED_VALUE"""),"USD PKR rate for 28/07/2014")</f>
        <v>USD PKR rate for 28/07/2014</v>
      </c>
      <c r="I3459" s="9"/>
    </row>
    <row r="3460" spans="1:9" ht="14.25" customHeight="1" x14ac:dyDescent="0.3">
      <c r="A3460" s="6">
        <v>43177</v>
      </c>
      <c r="B3460" s="7">
        <v>110.8839</v>
      </c>
      <c r="C3460" s="8">
        <f t="shared" si="27"/>
        <v>146.60764449913779</v>
      </c>
      <c r="D3460" s="9">
        <f t="shared" si="26"/>
        <v>71.208293224082851</v>
      </c>
      <c r="E3460" s="9"/>
      <c r="F3460" s="9">
        <f ca="1">IFERROR(__xludf.DUMMYFUNCTION("""COMPUTED_VALUE"""),41847)</f>
        <v>41847</v>
      </c>
      <c r="G3460" s="9" t="str">
        <f ca="1">IFERROR(__xludf.DUMMYFUNCTION("""COMPUTED_VALUE"""),"1 USD = 98.6813 PKR")</f>
        <v>1 USD = 98.6813 PKR</v>
      </c>
      <c r="H3460" s="9" t="str">
        <f ca="1">IFERROR(__xludf.DUMMYFUNCTION("""COMPUTED_VALUE"""),"USD PKR rate for 27/07/2014")</f>
        <v>USD PKR rate for 27/07/2014</v>
      </c>
      <c r="I3460" s="9"/>
    </row>
    <row r="3461" spans="1:9" ht="14.25" customHeight="1" x14ac:dyDescent="0.3">
      <c r="A3461" s="6">
        <v>43178</v>
      </c>
      <c r="B3461" s="7">
        <v>110.54179999999999</v>
      </c>
      <c r="C3461" s="8">
        <f t="shared" si="27"/>
        <v>146.63386524239598</v>
      </c>
      <c r="D3461" s="9">
        <f t="shared" si="26"/>
        <v>71.211031056880117</v>
      </c>
      <c r="E3461" s="9"/>
      <c r="F3461" s="9">
        <f ca="1">IFERROR(__xludf.DUMMYFUNCTION("""COMPUTED_VALUE"""),41846)</f>
        <v>41846</v>
      </c>
      <c r="G3461" s="9" t="str">
        <f ca="1">IFERROR(__xludf.DUMMYFUNCTION("""COMPUTED_VALUE"""),"1 USD = 98.7341 PKR")</f>
        <v>1 USD = 98.7341 PKR</v>
      </c>
      <c r="H3461" s="9" t="str">
        <f ca="1">IFERROR(__xludf.DUMMYFUNCTION("""COMPUTED_VALUE"""),"USD PKR rate for 26/07/2014")</f>
        <v>USD PKR rate for 26/07/2014</v>
      </c>
      <c r="I3461" s="9"/>
    </row>
    <row r="3462" spans="1:9" ht="14.25" customHeight="1" x14ac:dyDescent="0.3">
      <c r="A3462" s="6">
        <v>43179</v>
      </c>
      <c r="B3462" s="7">
        <v>110.5973</v>
      </c>
      <c r="C3462" s="8">
        <f t="shared" si="27"/>
        <v>146.66009067522808</v>
      </c>
      <c r="D3462" s="9">
        <f t="shared" si="26"/>
        <v>71.213768889677382</v>
      </c>
      <c r="E3462" s="9"/>
      <c r="F3462" s="9">
        <f ca="1">IFERROR(__xludf.DUMMYFUNCTION("""COMPUTED_VALUE"""),41845)</f>
        <v>41845</v>
      </c>
      <c r="G3462" s="9" t="str">
        <f ca="1">IFERROR(__xludf.DUMMYFUNCTION("""COMPUTED_VALUE"""),"1 USD = 98.7199 PKR")</f>
        <v>1 USD = 98.7199 PKR</v>
      </c>
      <c r="H3462" s="9" t="str">
        <f ca="1">IFERROR(__xludf.DUMMYFUNCTION("""COMPUTED_VALUE"""),"USD PKR rate for 25/07/2014")</f>
        <v>USD PKR rate for 25/07/2014</v>
      </c>
      <c r="I3462" s="9"/>
    </row>
    <row r="3463" spans="1:9" ht="14.25" customHeight="1" x14ac:dyDescent="0.3">
      <c r="A3463" s="6">
        <v>43180</v>
      </c>
      <c r="B3463" s="7">
        <v>115.1352</v>
      </c>
      <c r="C3463" s="8">
        <f t="shared" si="27"/>
        <v>146.68632079847274</v>
      </c>
      <c r="D3463" s="9">
        <f t="shared" si="26"/>
        <v>71.216506722474648</v>
      </c>
      <c r="E3463" s="9"/>
      <c r="F3463" s="9">
        <f ca="1">IFERROR(__xludf.DUMMYFUNCTION("""COMPUTED_VALUE"""),41844)</f>
        <v>41844</v>
      </c>
      <c r="G3463" s="9" t="str">
        <f ca="1">IFERROR(__xludf.DUMMYFUNCTION("""COMPUTED_VALUE"""),"1 USD = 98.7319 PKR")</f>
        <v>1 USD = 98.7319 PKR</v>
      </c>
      <c r="H3463" s="9" t="str">
        <f ca="1">IFERROR(__xludf.DUMMYFUNCTION("""COMPUTED_VALUE"""),"USD PKR rate for 24/07/2014")</f>
        <v>USD PKR rate for 24/07/2014</v>
      </c>
      <c r="I3463" s="9"/>
    </row>
    <row r="3464" spans="1:9" ht="14.25" customHeight="1" x14ac:dyDescent="0.3">
      <c r="A3464" s="6">
        <v>43181</v>
      </c>
      <c r="B3464" s="7">
        <v>115.7107</v>
      </c>
      <c r="C3464" s="8">
        <f t="shared" si="27"/>
        <v>146.71255561296886</v>
      </c>
      <c r="D3464" s="9">
        <f t="shared" si="26"/>
        <v>71.219244555271914</v>
      </c>
      <c r="E3464" s="9"/>
      <c r="F3464" s="9">
        <f ca="1">IFERROR(__xludf.DUMMYFUNCTION("""COMPUTED_VALUE"""),41843)</f>
        <v>41843</v>
      </c>
      <c r="G3464" s="9" t="str">
        <f ca="1">IFERROR(__xludf.DUMMYFUNCTION("""COMPUTED_VALUE"""),"1 USD = 98.7843 PKR")</f>
        <v>1 USD = 98.7843 PKR</v>
      </c>
      <c r="H3464" s="9" t="str">
        <f ca="1">IFERROR(__xludf.DUMMYFUNCTION("""COMPUTED_VALUE"""),"USD PKR rate for 23/07/2014")</f>
        <v>USD PKR rate for 23/07/2014</v>
      </c>
      <c r="I3464" s="9"/>
    </row>
    <row r="3465" spans="1:9" ht="14.25" customHeight="1" x14ac:dyDescent="0.3">
      <c r="A3465" s="6">
        <v>43182</v>
      </c>
      <c r="B3465" s="7">
        <v>115.5506</v>
      </c>
      <c r="C3465" s="8">
        <f t="shared" si="27"/>
        <v>146.73879511955545</v>
      </c>
      <c r="D3465" s="9">
        <f t="shared" si="26"/>
        <v>71.221982388069179</v>
      </c>
      <c r="E3465" s="9"/>
      <c r="F3465" s="9">
        <f ca="1">IFERROR(__xludf.DUMMYFUNCTION("""COMPUTED_VALUE"""),41842)</f>
        <v>41842</v>
      </c>
      <c r="G3465" s="9" t="str">
        <f ca="1">IFERROR(__xludf.DUMMYFUNCTION("""COMPUTED_VALUE"""),"1 USD = 98.7801 PKR")</f>
        <v>1 USD = 98.7801 PKR</v>
      </c>
      <c r="H3465" s="9" t="str">
        <f ca="1">IFERROR(__xludf.DUMMYFUNCTION("""COMPUTED_VALUE"""),"USD PKR rate for 22/07/2014")</f>
        <v>USD PKR rate for 22/07/2014</v>
      </c>
      <c r="I3465" s="9"/>
    </row>
    <row r="3466" spans="1:9" ht="14.25" customHeight="1" x14ac:dyDescent="0.3">
      <c r="A3466" s="6">
        <v>43183</v>
      </c>
      <c r="B3466" s="7">
        <v>115.4819</v>
      </c>
      <c r="C3466" s="8">
        <f t="shared" si="27"/>
        <v>146.76503931907163</v>
      </c>
      <c r="D3466" s="9">
        <f t="shared" si="26"/>
        <v>71.224720220866445</v>
      </c>
      <c r="E3466" s="9"/>
      <c r="F3466" s="9">
        <f ca="1">IFERROR(__xludf.DUMMYFUNCTION("""COMPUTED_VALUE"""),41841)</f>
        <v>41841</v>
      </c>
      <c r="G3466" s="9" t="str">
        <f ca="1">IFERROR(__xludf.DUMMYFUNCTION("""COMPUTED_VALUE"""),"1 USD = 98.7956 PKR")</f>
        <v>1 USD = 98.7956 PKR</v>
      </c>
      <c r="H3466" s="9" t="str">
        <f ca="1">IFERROR(__xludf.DUMMYFUNCTION("""COMPUTED_VALUE"""),"USD PKR rate for 21/07/2014")</f>
        <v>USD PKR rate for 21/07/2014</v>
      </c>
      <c r="I3466" s="9"/>
    </row>
    <row r="3467" spans="1:9" ht="14.25" customHeight="1" x14ac:dyDescent="0.3">
      <c r="A3467" s="6">
        <v>43184</v>
      </c>
      <c r="B3467" s="7">
        <v>115.49550000000001</v>
      </c>
      <c r="C3467" s="8">
        <f t="shared" si="27"/>
        <v>146.7912882123569</v>
      </c>
      <c r="D3467" s="9">
        <f t="shared" si="26"/>
        <v>71.22745805366371</v>
      </c>
      <c r="E3467" s="9"/>
      <c r="F3467" s="9">
        <f ca="1">IFERROR(__xludf.DUMMYFUNCTION("""COMPUTED_VALUE"""),41840)</f>
        <v>41840</v>
      </c>
      <c r="G3467" s="9" t="str">
        <f ca="1">IFERROR(__xludf.DUMMYFUNCTION("""COMPUTED_VALUE"""),"1 USD = 97.975 PKR")</f>
        <v>1 USD = 97.975 PKR</v>
      </c>
      <c r="H3467" s="9" t="str">
        <f ca="1">IFERROR(__xludf.DUMMYFUNCTION("""COMPUTED_VALUE"""),"USD PKR rate for 20/07/2014")</f>
        <v>USD PKR rate for 20/07/2014</v>
      </c>
      <c r="I3467" s="9"/>
    </row>
    <row r="3468" spans="1:9" ht="14.25" customHeight="1" x14ac:dyDescent="0.3">
      <c r="A3468" s="6">
        <v>43185</v>
      </c>
      <c r="B3468" s="7">
        <v>115.5016</v>
      </c>
      <c r="C3468" s="8">
        <f t="shared" si="27"/>
        <v>146.81754180025069</v>
      </c>
      <c r="D3468" s="9">
        <f t="shared" si="26"/>
        <v>71.230195886460976</v>
      </c>
      <c r="E3468" s="9"/>
      <c r="F3468" s="9">
        <f ca="1">IFERROR(__xludf.DUMMYFUNCTION("""COMPUTED_VALUE"""),41839)</f>
        <v>41839</v>
      </c>
      <c r="G3468" s="9" t="str">
        <f ca="1">IFERROR(__xludf.DUMMYFUNCTION("""COMPUTED_VALUE"""),"1 USD = 98.0144 PKR")</f>
        <v>1 USD = 98.0144 PKR</v>
      </c>
      <c r="H3468" s="9" t="str">
        <f ca="1">IFERROR(__xludf.DUMMYFUNCTION("""COMPUTED_VALUE"""),"USD PKR rate for 19/07/2014")</f>
        <v>USD PKR rate for 19/07/2014</v>
      </c>
      <c r="I3468" s="9"/>
    </row>
    <row r="3469" spans="1:9" ht="14.25" customHeight="1" x14ac:dyDescent="0.3">
      <c r="A3469" s="6">
        <v>43186</v>
      </c>
      <c r="B3469" s="7">
        <v>115.59610000000001</v>
      </c>
      <c r="C3469" s="8">
        <f t="shared" si="27"/>
        <v>146.84380008359258</v>
      </c>
      <c r="D3469" s="9">
        <f t="shared" si="26"/>
        <v>71.232933719258241</v>
      </c>
      <c r="E3469" s="9"/>
      <c r="F3469" s="9">
        <f ca="1">IFERROR(__xludf.DUMMYFUNCTION("""COMPUTED_VALUE"""),41838)</f>
        <v>41838</v>
      </c>
      <c r="G3469" s="9" t="str">
        <f ca="1">IFERROR(__xludf.DUMMYFUNCTION("""COMPUTED_VALUE"""),"1 USD = 98.7913 PKR")</f>
        <v>1 USD = 98.7913 PKR</v>
      </c>
      <c r="H3469" s="9" t="str">
        <f ca="1">IFERROR(__xludf.DUMMYFUNCTION("""COMPUTED_VALUE"""),"USD PKR rate for 18/07/2014")</f>
        <v>USD PKR rate for 18/07/2014</v>
      </c>
      <c r="I3469" s="9"/>
    </row>
    <row r="3470" spans="1:9" ht="14.25" customHeight="1" x14ac:dyDescent="0.3">
      <c r="A3470" s="6">
        <v>43187</v>
      </c>
      <c r="B3470" s="7">
        <v>115.63930000000001</v>
      </c>
      <c r="C3470" s="8">
        <f t="shared" si="27"/>
        <v>146.87006306322237</v>
      </c>
      <c r="D3470" s="9">
        <f t="shared" si="26"/>
        <v>71.235671552055507</v>
      </c>
      <c r="E3470" s="9"/>
      <c r="F3470" s="9">
        <f ca="1">IFERROR(__xludf.DUMMYFUNCTION("""COMPUTED_VALUE"""),41837)</f>
        <v>41837</v>
      </c>
      <c r="G3470" s="9" t="str">
        <f ca="1">IFERROR(__xludf.DUMMYFUNCTION("""COMPUTED_VALUE"""),"1 USD = 98.7686 PKR")</f>
        <v>1 USD = 98.7686 PKR</v>
      </c>
      <c r="H3470" s="9" t="str">
        <f ca="1">IFERROR(__xludf.DUMMYFUNCTION("""COMPUTED_VALUE"""),"USD PKR rate for 17/07/2014")</f>
        <v>USD PKR rate for 17/07/2014</v>
      </c>
      <c r="I3470" s="9"/>
    </row>
    <row r="3471" spans="1:9" ht="14.25" customHeight="1" x14ac:dyDescent="0.3">
      <c r="A3471" s="6">
        <v>43188</v>
      </c>
      <c r="B3471" s="7">
        <v>115.6185</v>
      </c>
      <c r="C3471" s="8">
        <f t="shared" si="27"/>
        <v>146.89633073997999</v>
      </c>
      <c r="D3471" s="9">
        <f t="shared" si="26"/>
        <v>71.238409384852773</v>
      </c>
      <c r="E3471" s="9"/>
      <c r="F3471" s="9">
        <f ca="1">IFERROR(__xludf.DUMMYFUNCTION("""COMPUTED_VALUE"""),41836)</f>
        <v>41836</v>
      </c>
      <c r="G3471" s="9" t="str">
        <f ca="1">IFERROR(__xludf.DUMMYFUNCTION("""COMPUTED_VALUE"""),"1 USD = 98.7709 PKR")</f>
        <v>1 USD = 98.7709 PKR</v>
      </c>
      <c r="H3471" s="9" t="str">
        <f ca="1">IFERROR(__xludf.DUMMYFUNCTION("""COMPUTED_VALUE"""),"USD PKR rate for 16/07/2014")</f>
        <v>USD PKR rate for 16/07/2014</v>
      </c>
      <c r="I3471" s="9"/>
    </row>
    <row r="3472" spans="1:9" ht="14.25" customHeight="1" x14ac:dyDescent="0.3">
      <c r="A3472" s="6">
        <v>43189</v>
      </c>
      <c r="B3472" s="7">
        <v>115.7097</v>
      </c>
      <c r="C3472" s="8">
        <f t="shared" si="27"/>
        <v>146.92260311470548</v>
      </c>
      <c r="D3472" s="9">
        <f t="shared" si="26"/>
        <v>71.241147217650038</v>
      </c>
      <c r="E3472" s="9"/>
      <c r="F3472" s="9">
        <f ca="1">IFERROR(__xludf.DUMMYFUNCTION("""COMPUTED_VALUE"""),41835)</f>
        <v>41835</v>
      </c>
      <c r="G3472" s="9" t="str">
        <f ca="1">IFERROR(__xludf.DUMMYFUNCTION("""COMPUTED_VALUE"""),"1 USD = 98.7759 PKR")</f>
        <v>1 USD = 98.7759 PKR</v>
      </c>
      <c r="H3472" s="9" t="str">
        <f ca="1">IFERROR(__xludf.DUMMYFUNCTION("""COMPUTED_VALUE"""),"USD PKR rate for 15/07/2014")</f>
        <v>USD PKR rate for 15/07/2014</v>
      </c>
      <c r="I3472" s="9"/>
    </row>
    <row r="3473" spans="1:9" ht="14.25" customHeight="1" x14ac:dyDescent="0.3">
      <c r="A3473" s="6">
        <v>43190</v>
      </c>
      <c r="B3473" s="7">
        <v>115.7131</v>
      </c>
      <c r="C3473" s="8">
        <f t="shared" si="27"/>
        <v>146.94888018823914</v>
      </c>
      <c r="D3473" s="9">
        <f t="shared" si="26"/>
        <v>71.243885050447304</v>
      </c>
      <c r="E3473" s="9"/>
      <c r="F3473" s="9">
        <f ca="1">IFERROR(__xludf.DUMMYFUNCTION("""COMPUTED_VALUE"""),41834)</f>
        <v>41834</v>
      </c>
      <c r="G3473" s="9" t="str">
        <f ca="1">IFERROR(__xludf.DUMMYFUNCTION("""COMPUTED_VALUE"""),"1 USD = 98.7416 PKR")</f>
        <v>1 USD = 98.7416 PKR</v>
      </c>
      <c r="H3473" s="9" t="str">
        <f ca="1">IFERROR(__xludf.DUMMYFUNCTION("""COMPUTED_VALUE"""),"USD PKR rate for 14/07/2014")</f>
        <v>USD PKR rate for 14/07/2014</v>
      </c>
      <c r="I3473" s="9"/>
    </row>
    <row r="3474" spans="1:9" ht="14.25" customHeight="1" x14ac:dyDescent="0.3">
      <c r="A3474" s="6">
        <v>43191</v>
      </c>
      <c r="B3474" s="7">
        <v>115.6247</v>
      </c>
      <c r="C3474" s="8">
        <f t="shared" si="27"/>
        <v>146.97516196142129</v>
      </c>
      <c r="D3474" s="9">
        <f t="shared" si="26"/>
        <v>71.246622883244569</v>
      </c>
      <c r="E3474" s="9"/>
      <c r="F3474" s="9">
        <f ca="1">IFERROR(__xludf.DUMMYFUNCTION("""COMPUTED_VALUE"""),41833)</f>
        <v>41833</v>
      </c>
      <c r="G3474" s="9" t="str">
        <f ca="1">IFERROR(__xludf.DUMMYFUNCTION("""COMPUTED_VALUE"""),"1 USD = 98.7011 PKR")</f>
        <v>1 USD = 98.7011 PKR</v>
      </c>
      <c r="H3474" s="9" t="str">
        <f ca="1">IFERROR(__xludf.DUMMYFUNCTION("""COMPUTED_VALUE"""),"USD PKR rate for 13/07/2014")</f>
        <v>USD PKR rate for 13/07/2014</v>
      </c>
      <c r="I3474" s="9"/>
    </row>
    <row r="3475" spans="1:9" ht="14.25" customHeight="1" x14ac:dyDescent="0.3">
      <c r="A3475" s="6">
        <v>43192</v>
      </c>
      <c r="B3475" s="7">
        <v>115.727</v>
      </c>
      <c r="C3475" s="8">
        <f t="shared" si="27"/>
        <v>147.00144843509239</v>
      </c>
      <c r="D3475" s="9">
        <f t="shared" si="26"/>
        <v>71.249360716041835</v>
      </c>
      <c r="E3475" s="9"/>
      <c r="F3475" s="9">
        <f ca="1">IFERROR(__xludf.DUMMYFUNCTION("""COMPUTED_VALUE"""),41832)</f>
        <v>41832</v>
      </c>
      <c r="G3475" s="9" t="str">
        <f ca="1">IFERROR(__xludf.DUMMYFUNCTION("""COMPUTED_VALUE"""),"1 USD = 98.7491 PKR")</f>
        <v>1 USD = 98.7491 PKR</v>
      </c>
      <c r="H3475" s="9" t="str">
        <f ca="1">IFERROR(__xludf.DUMMYFUNCTION("""COMPUTED_VALUE"""),"USD PKR rate for 12/07/2014")</f>
        <v>USD PKR rate for 12/07/2014</v>
      </c>
      <c r="I3475" s="9"/>
    </row>
    <row r="3476" spans="1:9" ht="14.25" customHeight="1" x14ac:dyDescent="0.3">
      <c r="A3476" s="6">
        <v>43193</v>
      </c>
      <c r="B3476" s="7">
        <v>115.6874</v>
      </c>
      <c r="C3476" s="8">
        <f t="shared" si="27"/>
        <v>147.02773961009331</v>
      </c>
      <c r="D3476" s="9">
        <f t="shared" si="26"/>
        <v>71.252098548839101</v>
      </c>
      <c r="E3476" s="9"/>
      <c r="F3476" s="9">
        <f ca="1">IFERROR(__xludf.DUMMYFUNCTION("""COMPUTED_VALUE"""),41831)</f>
        <v>41831</v>
      </c>
      <c r="G3476" s="9" t="str">
        <f ca="1">IFERROR(__xludf.DUMMYFUNCTION("""COMPUTED_VALUE"""),"1 USD = 98.7249 PKR")</f>
        <v>1 USD = 98.7249 PKR</v>
      </c>
      <c r="H3476" s="9" t="str">
        <f ca="1">IFERROR(__xludf.DUMMYFUNCTION("""COMPUTED_VALUE"""),"USD PKR rate for 11/07/2014")</f>
        <v>USD PKR rate for 11/07/2014</v>
      </c>
      <c r="I3476" s="9"/>
    </row>
    <row r="3477" spans="1:9" ht="14.25" customHeight="1" x14ac:dyDescent="0.3">
      <c r="A3477" s="6">
        <v>43194</v>
      </c>
      <c r="B3477" s="7">
        <v>115.7009</v>
      </c>
      <c r="C3477" s="8">
        <f t="shared" si="27"/>
        <v>147.0540354872648</v>
      </c>
      <c r="D3477" s="9">
        <f t="shared" si="26"/>
        <v>71.254836381636366</v>
      </c>
      <c r="E3477" s="9"/>
      <c r="F3477" s="9">
        <f ca="1">IFERROR(__xludf.DUMMYFUNCTION("""COMPUTED_VALUE"""),41830)</f>
        <v>41830</v>
      </c>
      <c r="G3477" s="9" t="str">
        <f ca="1">IFERROR(__xludf.DUMMYFUNCTION("""COMPUTED_VALUE"""),"1 USD = 98.6749 PKR")</f>
        <v>1 USD = 98.6749 PKR</v>
      </c>
      <c r="H3477" s="9" t="str">
        <f ca="1">IFERROR(__xludf.DUMMYFUNCTION("""COMPUTED_VALUE"""),"USD PKR rate for 10/07/2014")</f>
        <v>USD PKR rate for 10/07/2014</v>
      </c>
      <c r="I3477" s="9"/>
    </row>
    <row r="3478" spans="1:9" ht="14.25" customHeight="1" x14ac:dyDescent="0.3">
      <c r="A3478" s="6">
        <v>43195</v>
      </c>
      <c r="B3478" s="7">
        <v>115.7602</v>
      </c>
      <c r="C3478" s="8">
        <f t="shared" si="27"/>
        <v>147.08033606744783</v>
      </c>
      <c r="D3478" s="9">
        <f t="shared" si="26"/>
        <v>71.257574214433632</v>
      </c>
      <c r="E3478" s="9"/>
      <c r="F3478" s="9">
        <f ca="1">IFERROR(__xludf.DUMMYFUNCTION("""COMPUTED_VALUE"""),41829)</f>
        <v>41829</v>
      </c>
      <c r="G3478" s="9" t="str">
        <f ca="1">IFERROR(__xludf.DUMMYFUNCTION("""COMPUTED_VALUE"""),"1 USD = 98.7531 PKR")</f>
        <v>1 USD = 98.7531 PKR</v>
      </c>
      <c r="H3478" s="9" t="str">
        <f ca="1">IFERROR(__xludf.DUMMYFUNCTION("""COMPUTED_VALUE"""),"USD PKR rate for 09/07/2014")</f>
        <v>USD PKR rate for 09/07/2014</v>
      </c>
      <c r="I3478" s="9"/>
    </row>
    <row r="3479" spans="1:9" ht="14.25" customHeight="1" x14ac:dyDescent="0.3">
      <c r="A3479" s="6">
        <v>43196</v>
      </c>
      <c r="B3479" s="7">
        <v>115.50069999999999</v>
      </c>
      <c r="C3479" s="8">
        <f t="shared" si="27"/>
        <v>147.10664135148355</v>
      </c>
      <c r="D3479" s="9">
        <f t="shared" si="26"/>
        <v>71.260312047230897</v>
      </c>
      <c r="E3479" s="9"/>
      <c r="F3479" s="9">
        <f ca="1">IFERROR(__xludf.DUMMYFUNCTION("""COMPUTED_VALUE"""),41828)</f>
        <v>41828</v>
      </c>
      <c r="G3479" s="9" t="str">
        <f ca="1">IFERROR(__xludf.DUMMYFUNCTION("""COMPUTED_VALUE"""),"1 USD = 98.8063 PKR")</f>
        <v>1 USD = 98.8063 PKR</v>
      </c>
      <c r="H3479" s="9" t="str">
        <f ca="1">IFERROR(__xludf.DUMMYFUNCTION("""COMPUTED_VALUE"""),"USD PKR rate for 08/07/2014")</f>
        <v>USD PKR rate for 08/07/2014</v>
      </c>
      <c r="I3479" s="9"/>
    </row>
    <row r="3480" spans="1:9" ht="14.25" customHeight="1" x14ac:dyDescent="0.3">
      <c r="A3480" s="6">
        <v>43197</v>
      </c>
      <c r="B3480" s="7">
        <v>115.50369999999999</v>
      </c>
      <c r="C3480" s="8">
        <f t="shared" si="27"/>
        <v>147.1329513402132</v>
      </c>
      <c r="D3480" s="9">
        <f t="shared" si="26"/>
        <v>71.263049880028163</v>
      </c>
      <c r="E3480" s="9"/>
      <c r="F3480" s="9">
        <f ca="1">IFERROR(__xludf.DUMMYFUNCTION("""COMPUTED_VALUE"""),41827)</f>
        <v>41827</v>
      </c>
      <c r="G3480" s="9" t="str">
        <f ca="1">IFERROR(__xludf.DUMMYFUNCTION("""COMPUTED_VALUE"""),"1 USD = 98.773 PKR")</f>
        <v>1 USD = 98.773 PKR</v>
      </c>
      <c r="H3480" s="9" t="str">
        <f ca="1">IFERROR(__xludf.DUMMYFUNCTION("""COMPUTED_VALUE"""),"USD PKR rate for 07/07/2014")</f>
        <v>USD PKR rate for 07/07/2014</v>
      </c>
      <c r="I3480" s="9"/>
    </row>
    <row r="3481" spans="1:9" ht="14.25" customHeight="1" x14ac:dyDescent="0.3">
      <c r="A3481" s="6">
        <v>43198</v>
      </c>
      <c r="B3481" s="7">
        <v>115.69070000000002</v>
      </c>
      <c r="C3481" s="8">
        <f t="shared" si="27"/>
        <v>147.15926603447824</v>
      </c>
      <c r="D3481" s="9">
        <f t="shared" si="26"/>
        <v>71.265787712825428</v>
      </c>
      <c r="E3481" s="9"/>
      <c r="F3481" s="9">
        <f ca="1">IFERROR(__xludf.DUMMYFUNCTION("""COMPUTED_VALUE"""),41826)</f>
        <v>41826</v>
      </c>
      <c r="G3481" s="9" t="str">
        <f ca="1">IFERROR(__xludf.DUMMYFUNCTION("""COMPUTED_VALUE"""),"1 USD = 98.6837 PKR")</f>
        <v>1 USD = 98.6837 PKR</v>
      </c>
      <c r="H3481" s="9" t="str">
        <f ca="1">IFERROR(__xludf.DUMMYFUNCTION("""COMPUTED_VALUE"""),"USD PKR rate for 06/07/2014")</f>
        <v>USD PKR rate for 06/07/2014</v>
      </c>
      <c r="I3481" s="9"/>
    </row>
    <row r="3482" spans="1:9" ht="14.25" customHeight="1" x14ac:dyDescent="0.3">
      <c r="A3482" s="6">
        <v>43199</v>
      </c>
      <c r="B3482" s="7">
        <v>115.3759</v>
      </c>
      <c r="C3482" s="8">
        <f t="shared" si="27"/>
        <v>147.18558543512029</v>
      </c>
      <c r="D3482" s="9">
        <f t="shared" si="26"/>
        <v>71.268525545622694</v>
      </c>
      <c r="E3482" s="9"/>
      <c r="F3482" s="9">
        <f ca="1">IFERROR(__xludf.DUMMYFUNCTION("""COMPUTED_VALUE"""),41825)</f>
        <v>41825</v>
      </c>
      <c r="G3482" s="9" t="str">
        <f ca="1">IFERROR(__xludf.DUMMYFUNCTION("""COMPUTED_VALUE"""),"1 USD = 98.6854 PKR")</f>
        <v>1 USD = 98.6854 PKR</v>
      </c>
      <c r="H3482" s="9" t="str">
        <f ca="1">IFERROR(__xludf.DUMMYFUNCTION("""COMPUTED_VALUE"""),"USD PKR rate for 05/07/2014")</f>
        <v>USD PKR rate for 05/07/2014</v>
      </c>
      <c r="I3482" s="9"/>
    </row>
    <row r="3483" spans="1:9" ht="14.25" customHeight="1" x14ac:dyDescent="0.3">
      <c r="A3483" s="6">
        <v>43200</v>
      </c>
      <c r="B3483" s="7">
        <v>115.52550000000001</v>
      </c>
      <c r="C3483" s="8">
        <f t="shared" si="27"/>
        <v>147.211909542981</v>
      </c>
      <c r="D3483" s="9">
        <f t="shared" si="26"/>
        <v>71.27126337841996</v>
      </c>
      <c r="E3483" s="9"/>
      <c r="F3483" s="9">
        <f ca="1">IFERROR(__xludf.DUMMYFUNCTION("""COMPUTED_VALUE"""),41824)</f>
        <v>41824</v>
      </c>
      <c r="G3483" s="9" t="str">
        <f ca="1">IFERROR(__xludf.DUMMYFUNCTION("""COMPUTED_VALUE"""),"1 USD = 98.6503 PKR")</f>
        <v>1 USD = 98.6503 PKR</v>
      </c>
      <c r="H3483" s="9" t="str">
        <f ca="1">IFERROR(__xludf.DUMMYFUNCTION("""COMPUTED_VALUE"""),"USD PKR rate for 04/07/2014")</f>
        <v>USD PKR rate for 04/07/2014</v>
      </c>
      <c r="I3483" s="9"/>
    </row>
    <row r="3484" spans="1:9" ht="14.25" customHeight="1" x14ac:dyDescent="0.3">
      <c r="A3484" s="6">
        <v>43201</v>
      </c>
      <c r="B3484" s="7">
        <v>115.4933</v>
      </c>
      <c r="C3484" s="8">
        <f t="shared" si="27"/>
        <v>147.23823835890218</v>
      </c>
      <c r="D3484" s="9">
        <f t="shared" si="26"/>
        <v>71.274001211217225</v>
      </c>
      <c r="E3484" s="9"/>
      <c r="F3484" s="9">
        <f ca="1">IFERROR(__xludf.DUMMYFUNCTION("""COMPUTED_VALUE"""),41823)</f>
        <v>41823</v>
      </c>
      <c r="G3484" s="9" t="str">
        <f ca="1">IFERROR(__xludf.DUMMYFUNCTION("""COMPUTED_VALUE"""),"1 USD = 98.5893 PKR")</f>
        <v>1 USD = 98.5893 PKR</v>
      </c>
      <c r="H3484" s="9" t="str">
        <f ca="1">IFERROR(__xludf.DUMMYFUNCTION("""COMPUTED_VALUE"""),"USD PKR rate for 03/07/2014")</f>
        <v>USD PKR rate for 03/07/2014</v>
      </c>
      <c r="I3484" s="9"/>
    </row>
    <row r="3485" spans="1:9" ht="14.25" customHeight="1" x14ac:dyDescent="0.3">
      <c r="A3485" s="6">
        <v>43202</v>
      </c>
      <c r="B3485" s="7">
        <v>115.6482</v>
      </c>
      <c r="C3485" s="8">
        <f t="shared" si="27"/>
        <v>147.26457188372615</v>
      </c>
      <c r="D3485" s="9">
        <f t="shared" si="26"/>
        <v>71.276739044014491</v>
      </c>
      <c r="E3485" s="9"/>
      <c r="F3485" s="9">
        <f ca="1">IFERROR(__xludf.DUMMYFUNCTION("""COMPUTED_VALUE"""),41822)</f>
        <v>41822</v>
      </c>
      <c r="G3485" s="9" t="str">
        <f ca="1">IFERROR(__xludf.DUMMYFUNCTION("""COMPUTED_VALUE"""),"1 USD = 98.6121 PKR")</f>
        <v>1 USD = 98.6121 PKR</v>
      </c>
      <c r="H3485" s="9" t="str">
        <f ca="1">IFERROR(__xludf.DUMMYFUNCTION("""COMPUTED_VALUE"""),"USD PKR rate for 02/07/2014")</f>
        <v>USD PKR rate for 02/07/2014</v>
      </c>
      <c r="I3485" s="9"/>
    </row>
    <row r="3486" spans="1:9" ht="14.25" customHeight="1" x14ac:dyDescent="0.3">
      <c r="A3486" s="6">
        <v>43203</v>
      </c>
      <c r="B3486" s="7">
        <v>115.59990000000001</v>
      </c>
      <c r="C3486" s="8">
        <f t="shared" si="27"/>
        <v>147.29091011829493</v>
      </c>
      <c r="D3486" s="9">
        <f t="shared" si="26"/>
        <v>71.279476876811756</v>
      </c>
      <c r="E3486" s="9"/>
      <c r="F3486" s="9">
        <f ca="1">IFERROR(__xludf.DUMMYFUNCTION("""COMPUTED_VALUE"""),41821)</f>
        <v>41821</v>
      </c>
      <c r="G3486" s="9" t="str">
        <f ca="1">IFERROR(__xludf.DUMMYFUNCTION("""COMPUTED_VALUE"""),"1 USD = 98.6277 PKR")</f>
        <v>1 USD = 98.6277 PKR</v>
      </c>
      <c r="H3486" s="9" t="str">
        <f ca="1">IFERROR(__xludf.DUMMYFUNCTION("""COMPUTED_VALUE"""),"USD PKR rate for 01/07/2014")</f>
        <v>USD PKR rate for 01/07/2014</v>
      </c>
      <c r="I3486" s="9"/>
    </row>
    <row r="3487" spans="1:9" ht="14.25" customHeight="1" x14ac:dyDescent="0.3">
      <c r="A3487" s="6">
        <v>43204</v>
      </c>
      <c r="B3487" s="7">
        <v>115.59990000000001</v>
      </c>
      <c r="C3487" s="8">
        <f t="shared" si="27"/>
        <v>147.31725306345086</v>
      </c>
      <c r="D3487" s="9">
        <f t="shared" si="26"/>
        <v>71.282214709609022</v>
      </c>
      <c r="E3487" s="9"/>
      <c r="F3487" s="9">
        <f ca="1">IFERROR(__xludf.DUMMYFUNCTION("""COMPUTED_VALUE"""),41820)</f>
        <v>41820</v>
      </c>
      <c r="G3487" s="9" t="str">
        <f ca="1">IFERROR(__xludf.DUMMYFUNCTION("""COMPUTED_VALUE"""),"1 USD = 98.785 PKR")</f>
        <v>1 USD = 98.785 PKR</v>
      </c>
      <c r="H3487" s="9" t="str">
        <f ca="1">IFERROR(__xludf.DUMMYFUNCTION("""COMPUTED_VALUE"""),"USD PKR rate for 30/06/2014")</f>
        <v>USD PKR rate for 30/06/2014</v>
      </c>
      <c r="I3487" s="9"/>
    </row>
    <row r="3488" spans="1:9" ht="14.25" customHeight="1" x14ac:dyDescent="0.3">
      <c r="A3488" s="6">
        <v>43205</v>
      </c>
      <c r="B3488" s="7">
        <v>115.6011</v>
      </c>
      <c r="C3488" s="8">
        <f t="shared" si="27"/>
        <v>147.34360072003642</v>
      </c>
      <c r="D3488" s="9">
        <f t="shared" si="26"/>
        <v>71.284952542406288</v>
      </c>
      <c r="E3488" s="9"/>
      <c r="F3488" s="9">
        <f ca="1">IFERROR(__xludf.DUMMYFUNCTION("""COMPUTED_VALUE"""),41819)</f>
        <v>41819</v>
      </c>
      <c r="G3488" s="9" t="str">
        <f ca="1">IFERROR(__xludf.DUMMYFUNCTION("""COMPUTED_VALUE"""),"1 USD = 98.7064 PKR")</f>
        <v>1 USD = 98.7064 PKR</v>
      </c>
      <c r="H3488" s="9" t="str">
        <f ca="1">IFERROR(__xludf.DUMMYFUNCTION("""COMPUTED_VALUE"""),"USD PKR rate for 29/06/2014")</f>
        <v>USD PKR rate for 29/06/2014</v>
      </c>
      <c r="I3488" s="9"/>
    </row>
    <row r="3489" spans="1:9" ht="14.25" customHeight="1" x14ac:dyDescent="0.3">
      <c r="A3489" s="6">
        <v>43206</v>
      </c>
      <c r="B3489" s="7">
        <v>115.7624</v>
      </c>
      <c r="C3489" s="8">
        <f t="shared" si="27"/>
        <v>147.36995308889425</v>
      </c>
      <c r="D3489" s="9">
        <f t="shared" si="26"/>
        <v>71.287690375203553</v>
      </c>
      <c r="E3489" s="9"/>
      <c r="F3489" s="9">
        <f ca="1">IFERROR(__xludf.DUMMYFUNCTION("""COMPUTED_VALUE"""),41818)</f>
        <v>41818</v>
      </c>
      <c r="G3489" s="9" t="str">
        <f ca="1">IFERROR(__xludf.DUMMYFUNCTION("""COMPUTED_VALUE"""),"1 USD = 98.6703 PKR")</f>
        <v>1 USD = 98.6703 PKR</v>
      </c>
      <c r="H3489" s="9" t="str">
        <f ca="1">IFERROR(__xludf.DUMMYFUNCTION("""COMPUTED_VALUE"""),"USD PKR rate for 28/06/2014")</f>
        <v>USD PKR rate for 28/06/2014</v>
      </c>
      <c r="I3489" s="9"/>
    </row>
    <row r="3490" spans="1:9" ht="14.25" customHeight="1" x14ac:dyDescent="0.3">
      <c r="A3490" s="6">
        <v>43207</v>
      </c>
      <c r="B3490" s="7">
        <v>115.5517</v>
      </c>
      <c r="C3490" s="8">
        <f t="shared" si="27"/>
        <v>147.39631017086714</v>
      </c>
      <c r="D3490" s="9">
        <f t="shared" si="26"/>
        <v>71.290428208000819</v>
      </c>
      <c r="E3490" s="9"/>
      <c r="F3490" s="9">
        <f ca="1">IFERROR(__xludf.DUMMYFUNCTION("""COMPUTED_VALUE"""),41817)</f>
        <v>41817</v>
      </c>
      <c r="G3490" s="9" t="str">
        <f ca="1">IFERROR(__xludf.DUMMYFUNCTION("""COMPUTED_VALUE"""),"1 USD = 98.6359 PKR")</f>
        <v>1 USD = 98.6359 PKR</v>
      </c>
      <c r="H3490" s="9" t="str">
        <f ca="1">IFERROR(__xludf.DUMMYFUNCTION("""COMPUTED_VALUE"""),"USD PKR rate for 27/06/2014")</f>
        <v>USD PKR rate for 27/06/2014</v>
      </c>
      <c r="I3490" s="9"/>
    </row>
    <row r="3491" spans="1:9" ht="14.25" customHeight="1" x14ac:dyDescent="0.3">
      <c r="A3491" s="6">
        <v>43208</v>
      </c>
      <c r="B3491" s="7">
        <v>115.66079999999999</v>
      </c>
      <c r="C3491" s="8">
        <f t="shared" si="27"/>
        <v>147.42267196679808</v>
      </c>
      <c r="D3491" s="9">
        <f t="shared" si="26"/>
        <v>71.293166040798084</v>
      </c>
      <c r="E3491" s="9"/>
      <c r="F3491" s="9">
        <f ca="1">IFERROR(__xludf.DUMMYFUNCTION("""COMPUTED_VALUE"""),41816)</f>
        <v>41816</v>
      </c>
      <c r="G3491" s="9" t="str">
        <f ca="1">IFERROR(__xludf.DUMMYFUNCTION("""COMPUTED_VALUE"""),"1 USD = 98.6794 PKR")</f>
        <v>1 USD = 98.6794 PKR</v>
      </c>
      <c r="H3491" s="9" t="str">
        <f ca="1">IFERROR(__xludf.DUMMYFUNCTION("""COMPUTED_VALUE"""),"USD PKR rate for 26/06/2014")</f>
        <v>USD PKR rate for 26/06/2014</v>
      </c>
      <c r="I3491" s="9"/>
    </row>
    <row r="3492" spans="1:9" ht="14.25" customHeight="1" x14ac:dyDescent="0.3">
      <c r="A3492" s="6">
        <v>43209</v>
      </c>
      <c r="B3492" s="7">
        <v>115.72329999999999</v>
      </c>
      <c r="C3492" s="8">
        <f t="shared" si="27"/>
        <v>147.44903847753005</v>
      </c>
      <c r="D3492" s="9">
        <f t="shared" si="26"/>
        <v>71.29590387359535</v>
      </c>
      <c r="E3492" s="9"/>
      <c r="F3492" s="9">
        <f ca="1">IFERROR(__xludf.DUMMYFUNCTION("""COMPUTED_VALUE"""),41815)</f>
        <v>41815</v>
      </c>
      <c r="G3492" s="9" t="str">
        <f ca="1">IFERROR(__xludf.DUMMYFUNCTION("""COMPUTED_VALUE"""),"1 USD = 98.6804 PKR")</f>
        <v>1 USD = 98.6804 PKR</v>
      </c>
      <c r="H3492" s="9" t="str">
        <f ca="1">IFERROR(__xludf.DUMMYFUNCTION("""COMPUTED_VALUE"""),"USD PKR rate for 25/06/2014")</f>
        <v>USD PKR rate for 25/06/2014</v>
      </c>
      <c r="I3492" s="9"/>
    </row>
    <row r="3493" spans="1:9" ht="14.25" customHeight="1" x14ac:dyDescent="0.3">
      <c r="A3493" s="6">
        <v>43210</v>
      </c>
      <c r="B3493" s="7">
        <v>115.55010000000001</v>
      </c>
      <c r="C3493" s="8">
        <f t="shared" si="27"/>
        <v>147.47540970390628</v>
      </c>
      <c r="D3493" s="9">
        <f t="shared" si="26"/>
        <v>71.298641706392615</v>
      </c>
      <c r="E3493" s="9"/>
      <c r="F3493" s="9">
        <f ca="1">IFERROR(__xludf.DUMMYFUNCTION("""COMPUTED_VALUE"""),41814)</f>
        <v>41814</v>
      </c>
      <c r="G3493" s="9" t="str">
        <f ca="1">IFERROR(__xludf.DUMMYFUNCTION("""COMPUTED_VALUE"""),"1 USD = 98.5748 PKR")</f>
        <v>1 USD = 98.5748 PKR</v>
      </c>
      <c r="H3493" s="9" t="str">
        <f ca="1">IFERROR(__xludf.DUMMYFUNCTION("""COMPUTED_VALUE"""),"USD PKR rate for 24/06/2014")</f>
        <v>USD PKR rate for 24/06/2014</v>
      </c>
      <c r="I3493" s="9"/>
    </row>
    <row r="3494" spans="1:9" ht="14.25" customHeight="1" x14ac:dyDescent="0.3">
      <c r="A3494" s="6">
        <v>43211</v>
      </c>
      <c r="B3494" s="7">
        <v>115.68</v>
      </c>
      <c r="C3494" s="8">
        <f t="shared" si="27"/>
        <v>147.50178564677034</v>
      </c>
      <c r="D3494" s="9">
        <f t="shared" si="26"/>
        <v>71.301379539189881</v>
      </c>
      <c r="E3494" s="9"/>
      <c r="F3494" s="9">
        <f ca="1">IFERROR(__xludf.DUMMYFUNCTION("""COMPUTED_VALUE"""),41813)</f>
        <v>41813</v>
      </c>
      <c r="G3494" s="9" t="str">
        <f ca="1">IFERROR(__xludf.DUMMYFUNCTION("""COMPUTED_VALUE"""),"1 USD = 98.5319 PKR")</f>
        <v>1 USD = 98.5319 PKR</v>
      </c>
      <c r="H3494" s="9" t="str">
        <f ca="1">IFERROR(__xludf.DUMMYFUNCTION("""COMPUTED_VALUE"""),"USD PKR rate for 23/06/2014")</f>
        <v>USD PKR rate for 23/06/2014</v>
      </c>
      <c r="I3494" s="9"/>
    </row>
    <row r="3495" spans="1:9" ht="14.25" customHeight="1" x14ac:dyDescent="0.3">
      <c r="A3495" s="6">
        <v>43212</v>
      </c>
      <c r="B3495" s="7">
        <v>115.65770000000002</v>
      </c>
      <c r="C3495" s="8">
        <f t="shared" si="27"/>
        <v>147.52816630696569</v>
      </c>
      <c r="D3495" s="9">
        <f t="shared" si="26"/>
        <v>71.304117371987147</v>
      </c>
      <c r="E3495" s="9"/>
      <c r="F3495" s="9">
        <f ca="1">IFERROR(__xludf.DUMMYFUNCTION("""COMPUTED_VALUE"""),41812)</f>
        <v>41812</v>
      </c>
      <c r="G3495" s="9" t="str">
        <f ca="1">IFERROR(__xludf.DUMMYFUNCTION("""COMPUTED_VALUE"""),"1 USD = 98.3835 PKR")</f>
        <v>1 USD = 98.3835 PKR</v>
      </c>
      <c r="H3495" s="9" t="str">
        <f ca="1">IFERROR(__xludf.DUMMYFUNCTION("""COMPUTED_VALUE"""),"USD PKR rate for 22/06/2014")</f>
        <v>USD PKR rate for 22/06/2014</v>
      </c>
      <c r="I3495" s="9"/>
    </row>
    <row r="3496" spans="1:9" ht="14.25" customHeight="1" x14ac:dyDescent="0.3">
      <c r="A3496" s="6">
        <v>43213</v>
      </c>
      <c r="B3496" s="7">
        <v>115.75109999999999</v>
      </c>
      <c r="C3496" s="8">
        <f t="shared" si="27"/>
        <v>147.55455168533601</v>
      </c>
      <c r="D3496" s="9">
        <f t="shared" si="26"/>
        <v>71.306855204784412</v>
      </c>
      <c r="E3496" s="9"/>
      <c r="F3496" s="9">
        <f ca="1">IFERROR(__xludf.DUMMYFUNCTION("""COMPUTED_VALUE"""),41811)</f>
        <v>41811</v>
      </c>
      <c r="G3496" s="9" t="str">
        <f ca="1">IFERROR(__xludf.DUMMYFUNCTION("""COMPUTED_VALUE"""),"1 USD = 98.3549 PKR")</f>
        <v>1 USD = 98.3549 PKR</v>
      </c>
      <c r="H3496" s="9" t="str">
        <f ca="1">IFERROR(__xludf.DUMMYFUNCTION("""COMPUTED_VALUE"""),"USD PKR rate for 21/06/2014")</f>
        <v>USD PKR rate for 21/06/2014</v>
      </c>
      <c r="I3496" s="9"/>
    </row>
    <row r="3497" spans="1:9" ht="14.25" customHeight="1" x14ac:dyDescent="0.3">
      <c r="A3497" s="6">
        <v>43214</v>
      </c>
      <c r="B3497" s="7">
        <v>115.75239999999999</v>
      </c>
      <c r="C3497" s="8">
        <f t="shared" si="27"/>
        <v>147.58094178272512</v>
      </c>
      <c r="D3497" s="9">
        <f t="shared" si="26"/>
        <v>71.309593037581678</v>
      </c>
      <c r="E3497" s="9"/>
      <c r="F3497" s="9">
        <f ca="1">IFERROR(__xludf.DUMMYFUNCTION("""COMPUTED_VALUE"""),41810)</f>
        <v>41810</v>
      </c>
      <c r="G3497" s="9" t="str">
        <f ca="1">IFERROR(__xludf.DUMMYFUNCTION("""COMPUTED_VALUE"""),"1 USD = 98.3231 PKR")</f>
        <v>1 USD = 98.3231 PKR</v>
      </c>
      <c r="H3497" s="9" t="str">
        <f ca="1">IFERROR(__xludf.DUMMYFUNCTION("""COMPUTED_VALUE"""),"USD PKR rate for 20/06/2014")</f>
        <v>USD PKR rate for 20/06/2014</v>
      </c>
      <c r="I3497" s="9"/>
    </row>
    <row r="3498" spans="1:9" ht="14.25" customHeight="1" x14ac:dyDescent="0.3">
      <c r="A3498" s="6">
        <v>43215</v>
      </c>
      <c r="B3498" s="7">
        <v>115.68830000000001</v>
      </c>
      <c r="C3498" s="8">
        <f t="shared" si="27"/>
        <v>147.60733659997706</v>
      </c>
      <c r="D3498" s="9">
        <f t="shared" si="26"/>
        <v>71.312330870378943</v>
      </c>
      <c r="E3498" s="9"/>
      <c r="F3498" s="9">
        <f ca="1">IFERROR(__xludf.DUMMYFUNCTION("""COMPUTED_VALUE"""),41809)</f>
        <v>41809</v>
      </c>
      <c r="G3498" s="9" t="str">
        <f ca="1">IFERROR(__xludf.DUMMYFUNCTION("""COMPUTED_VALUE"""),"1 USD = 98.3558 PKR")</f>
        <v>1 USD = 98.3558 PKR</v>
      </c>
      <c r="H3498" s="9" t="str">
        <f ca="1">IFERROR(__xludf.DUMMYFUNCTION("""COMPUTED_VALUE"""),"USD PKR rate for 19/06/2014")</f>
        <v>USD PKR rate for 19/06/2014</v>
      </c>
      <c r="I3498" s="9"/>
    </row>
    <row r="3499" spans="1:9" ht="14.25" customHeight="1" x14ac:dyDescent="0.3">
      <c r="A3499" s="6">
        <v>43216</v>
      </c>
      <c r="B3499" s="7">
        <v>115.72969999999999</v>
      </c>
      <c r="C3499" s="8">
        <f t="shared" si="27"/>
        <v>147.63373613793593</v>
      </c>
      <c r="D3499" s="9">
        <f t="shared" si="26"/>
        <v>71.315068703176209</v>
      </c>
      <c r="E3499" s="9"/>
      <c r="F3499" s="9">
        <f ca="1">IFERROR(__xludf.DUMMYFUNCTION("""COMPUTED_VALUE"""),41808)</f>
        <v>41808</v>
      </c>
      <c r="G3499" s="9" t="str">
        <f ca="1">IFERROR(__xludf.DUMMYFUNCTION("""COMPUTED_VALUE"""),"1 USD = 98.3037 PKR")</f>
        <v>1 USD = 98.3037 PKR</v>
      </c>
      <c r="H3499" s="9" t="str">
        <f ca="1">IFERROR(__xludf.DUMMYFUNCTION("""COMPUTED_VALUE"""),"USD PKR rate for 18/06/2014")</f>
        <v>USD PKR rate for 18/06/2014</v>
      </c>
      <c r="I3499" s="9"/>
    </row>
    <row r="3500" spans="1:9" ht="14.25" customHeight="1" x14ac:dyDescent="0.3">
      <c r="A3500" s="6">
        <v>43217</v>
      </c>
      <c r="B3500" s="7">
        <v>115.5998</v>
      </c>
      <c r="C3500" s="8">
        <f t="shared" si="27"/>
        <v>147.66014039744604</v>
      </c>
      <c r="D3500" s="9">
        <f t="shared" si="26"/>
        <v>71.317806535973475</v>
      </c>
      <c r="E3500" s="9"/>
      <c r="F3500" s="9">
        <f ca="1">IFERROR(__xludf.DUMMYFUNCTION("""COMPUTED_VALUE"""),41807)</f>
        <v>41807</v>
      </c>
      <c r="G3500" s="9" t="str">
        <f ca="1">IFERROR(__xludf.DUMMYFUNCTION("""COMPUTED_VALUE"""),"1 USD = 98.4704 PKR")</f>
        <v>1 USD = 98.4704 PKR</v>
      </c>
      <c r="H3500" s="9" t="str">
        <f ca="1">IFERROR(__xludf.DUMMYFUNCTION("""COMPUTED_VALUE"""),"USD PKR rate for 17/06/2014")</f>
        <v>USD PKR rate for 17/06/2014</v>
      </c>
      <c r="I3500" s="9"/>
    </row>
    <row r="3501" spans="1:9" ht="14.25" customHeight="1" x14ac:dyDescent="0.3">
      <c r="A3501" s="6">
        <v>43218</v>
      </c>
      <c r="B3501" s="7">
        <v>115.5998</v>
      </c>
      <c r="C3501" s="8">
        <f t="shared" si="27"/>
        <v>147.68654937935185</v>
      </c>
      <c r="D3501" s="9">
        <f t="shared" si="26"/>
        <v>71.32054436877074</v>
      </c>
      <c r="E3501" s="9"/>
      <c r="F3501" s="9">
        <f ca="1">IFERROR(__xludf.DUMMYFUNCTION("""COMPUTED_VALUE"""),41806)</f>
        <v>41806</v>
      </c>
      <c r="G3501" s="9" t="str">
        <f ca="1">IFERROR(__xludf.DUMMYFUNCTION("""COMPUTED_VALUE"""),"1 USD = 98.6532 PKR")</f>
        <v>1 USD = 98.6532 PKR</v>
      </c>
      <c r="H3501" s="9" t="str">
        <f ca="1">IFERROR(__xludf.DUMMYFUNCTION("""COMPUTED_VALUE"""),"USD PKR rate for 16/06/2014")</f>
        <v>USD PKR rate for 16/06/2014</v>
      </c>
      <c r="I3501" s="9"/>
    </row>
    <row r="3502" spans="1:9" ht="14.25" customHeight="1" x14ac:dyDescent="0.3">
      <c r="A3502" s="6">
        <v>43219</v>
      </c>
      <c r="B3502" s="7">
        <v>115.7015</v>
      </c>
      <c r="C3502" s="8">
        <f t="shared" si="27"/>
        <v>147.71296308449797</v>
      </c>
      <c r="D3502" s="9">
        <f t="shared" si="26"/>
        <v>71.323282201568006</v>
      </c>
      <c r="E3502" s="9"/>
      <c r="F3502" s="9">
        <f ca="1">IFERROR(__xludf.DUMMYFUNCTION("""COMPUTED_VALUE"""),41805)</f>
        <v>41805</v>
      </c>
      <c r="G3502" s="9" t="str">
        <f ca="1">IFERROR(__xludf.DUMMYFUNCTION("""COMPUTED_VALUE"""),"1 USD = 98.4392 PKR")</f>
        <v>1 USD = 98.4392 PKR</v>
      </c>
      <c r="H3502" s="9" t="str">
        <f ca="1">IFERROR(__xludf.DUMMYFUNCTION("""COMPUTED_VALUE"""),"USD PKR rate for 15/06/2014")</f>
        <v>USD PKR rate for 15/06/2014</v>
      </c>
      <c r="I3502" s="9"/>
    </row>
    <row r="3503" spans="1:9" ht="14.25" customHeight="1" x14ac:dyDescent="0.3">
      <c r="A3503" s="6">
        <v>43220</v>
      </c>
      <c r="B3503" s="7">
        <v>115.7846</v>
      </c>
      <c r="C3503" s="8">
        <f t="shared" si="27"/>
        <v>147.739381513729</v>
      </c>
      <c r="D3503" s="9">
        <f t="shared" si="26"/>
        <v>71.326020034365271</v>
      </c>
      <c r="E3503" s="9"/>
      <c r="F3503" s="9">
        <f ca="1">IFERROR(__xludf.DUMMYFUNCTION("""COMPUTED_VALUE"""),41804)</f>
        <v>41804</v>
      </c>
      <c r="G3503" s="9" t="str">
        <f ca="1">IFERROR(__xludf.DUMMYFUNCTION("""COMPUTED_VALUE"""),"1 USD = 98.4064 PKR")</f>
        <v>1 USD = 98.4064 PKR</v>
      </c>
      <c r="H3503" s="9" t="str">
        <f ca="1">IFERROR(__xludf.DUMMYFUNCTION("""COMPUTED_VALUE"""),"USD PKR rate for 14/06/2014")</f>
        <v>USD PKR rate for 14/06/2014</v>
      </c>
      <c r="I3503" s="9"/>
    </row>
    <row r="3504" spans="1:9" ht="14.25" customHeight="1" x14ac:dyDescent="0.3">
      <c r="A3504" s="6">
        <v>43221</v>
      </c>
      <c r="B3504" s="7">
        <v>115.91330000000001</v>
      </c>
      <c r="C3504" s="8">
        <f t="shared" si="27"/>
        <v>147.76580466789011</v>
      </c>
      <c r="D3504" s="9">
        <f t="shared" si="26"/>
        <v>71.328757867162537</v>
      </c>
      <c r="E3504" s="9"/>
      <c r="F3504" s="9">
        <f ca="1">IFERROR(__xludf.DUMMYFUNCTION("""COMPUTED_VALUE"""),41803)</f>
        <v>41803</v>
      </c>
      <c r="G3504" s="9" t="str">
        <f ca="1">IFERROR(__xludf.DUMMYFUNCTION("""COMPUTED_VALUE"""),"1 USD = 98.4258 PKR")</f>
        <v>1 USD = 98.4258 PKR</v>
      </c>
      <c r="H3504" s="9" t="str">
        <f ca="1">IFERROR(__xludf.DUMMYFUNCTION("""COMPUTED_VALUE"""),"USD PKR rate for 13/06/2014")</f>
        <v>USD PKR rate for 13/06/2014</v>
      </c>
      <c r="I3504" s="9"/>
    </row>
    <row r="3505" spans="1:9" ht="14.25" customHeight="1" x14ac:dyDescent="0.3">
      <c r="A3505" s="6">
        <v>43222</v>
      </c>
      <c r="B3505" s="7">
        <v>115.71939999999999</v>
      </c>
      <c r="C3505" s="8">
        <f t="shared" si="27"/>
        <v>147.79223254782625</v>
      </c>
      <c r="D3505" s="9">
        <f t="shared" si="26"/>
        <v>71.331495699959802</v>
      </c>
      <c r="E3505" s="9"/>
      <c r="F3505" s="9">
        <f ca="1">IFERROR(__xludf.DUMMYFUNCTION("""COMPUTED_VALUE"""),41802)</f>
        <v>41802</v>
      </c>
      <c r="G3505" s="9" t="str">
        <f ca="1">IFERROR(__xludf.DUMMYFUNCTION("""COMPUTED_VALUE"""),"1 USD = 98.4472 PKR")</f>
        <v>1 USD = 98.4472 PKR</v>
      </c>
      <c r="H3505" s="9" t="str">
        <f ca="1">IFERROR(__xludf.DUMMYFUNCTION("""COMPUTED_VALUE"""),"USD PKR rate for 12/06/2014")</f>
        <v>USD PKR rate for 12/06/2014</v>
      </c>
      <c r="I3505" s="9"/>
    </row>
    <row r="3506" spans="1:9" ht="14.25" customHeight="1" x14ac:dyDescent="0.3">
      <c r="A3506" s="6">
        <v>43223</v>
      </c>
      <c r="B3506" s="7">
        <v>115.60000000000001</v>
      </c>
      <c r="C3506" s="8">
        <f t="shared" si="27"/>
        <v>147.81866515438256</v>
      </c>
      <c r="D3506" s="9">
        <f t="shared" si="26"/>
        <v>71.334233532757068</v>
      </c>
      <c r="E3506" s="9"/>
      <c r="F3506" s="9">
        <f ca="1">IFERROR(__xludf.DUMMYFUNCTION("""COMPUTED_VALUE"""),41801)</f>
        <v>41801</v>
      </c>
      <c r="G3506" s="9" t="str">
        <f ca="1">IFERROR(__xludf.DUMMYFUNCTION("""COMPUTED_VALUE"""),"1 USD = 98.5845 PKR")</f>
        <v>1 USD = 98.5845 PKR</v>
      </c>
      <c r="H3506" s="9" t="str">
        <f ca="1">IFERROR(__xludf.DUMMYFUNCTION("""COMPUTED_VALUE"""),"USD PKR rate for 11/06/2014")</f>
        <v>USD PKR rate for 11/06/2014</v>
      </c>
      <c r="I3506" s="9"/>
    </row>
    <row r="3507" spans="1:9" ht="14.25" customHeight="1" x14ac:dyDescent="0.3">
      <c r="A3507" s="6">
        <v>43224</v>
      </c>
      <c r="B3507" s="7">
        <v>115.7754</v>
      </c>
      <c r="C3507" s="8">
        <f t="shared" si="27"/>
        <v>147.84510248840442</v>
      </c>
      <c r="D3507" s="9">
        <f t="shared" si="26"/>
        <v>71.336971365554334</v>
      </c>
      <c r="E3507" s="9"/>
      <c r="F3507" s="9">
        <f ca="1">IFERROR(__xludf.DUMMYFUNCTION("""COMPUTED_VALUE"""),41800)</f>
        <v>41800</v>
      </c>
      <c r="G3507" s="9" t="str">
        <f ca="1">IFERROR(__xludf.DUMMYFUNCTION("""COMPUTED_VALUE"""),"1 USD = 98.5714 PKR")</f>
        <v>1 USD = 98.5714 PKR</v>
      </c>
      <c r="H3507" s="9" t="str">
        <f ca="1">IFERROR(__xludf.DUMMYFUNCTION("""COMPUTED_VALUE"""),"USD PKR rate for 10/06/2014")</f>
        <v>USD PKR rate for 10/06/2014</v>
      </c>
      <c r="I3507" s="9"/>
    </row>
    <row r="3508" spans="1:9" ht="14.25" customHeight="1" x14ac:dyDescent="0.3">
      <c r="A3508" s="6">
        <v>43225</v>
      </c>
      <c r="B3508" s="7">
        <v>115.68470000000002</v>
      </c>
      <c r="C3508" s="8">
        <f t="shared" si="27"/>
        <v>147.87154455073735</v>
      </c>
      <c r="D3508" s="9">
        <f t="shared" si="26"/>
        <v>71.339709198351599</v>
      </c>
      <c r="E3508" s="9"/>
      <c r="F3508" s="9">
        <f ca="1">IFERROR(__xludf.DUMMYFUNCTION("""COMPUTED_VALUE"""),41799)</f>
        <v>41799</v>
      </c>
      <c r="G3508" s="9" t="str">
        <f ca="1">IFERROR(__xludf.DUMMYFUNCTION("""COMPUTED_VALUE"""),"1 USD = 98.5711 PKR")</f>
        <v>1 USD = 98.5711 PKR</v>
      </c>
      <c r="H3508" s="9" t="str">
        <f ca="1">IFERROR(__xludf.DUMMYFUNCTION("""COMPUTED_VALUE"""),"USD PKR rate for 09/06/2014")</f>
        <v>USD PKR rate for 09/06/2014</v>
      </c>
      <c r="I3508" s="9"/>
    </row>
    <row r="3509" spans="1:9" ht="14.25" customHeight="1" x14ac:dyDescent="0.3">
      <c r="A3509" s="6">
        <v>43226</v>
      </c>
      <c r="B3509" s="7">
        <v>115.64230000000001</v>
      </c>
      <c r="C3509" s="8">
        <f t="shared" si="27"/>
        <v>147.89799134222702</v>
      </c>
      <c r="D3509" s="9">
        <f t="shared" si="26"/>
        <v>71.342447031148865</v>
      </c>
      <c r="E3509" s="9"/>
      <c r="F3509" s="9">
        <f ca="1">IFERROR(__xludf.DUMMYFUNCTION("""COMPUTED_VALUE"""),41798)</f>
        <v>41798</v>
      </c>
      <c r="G3509" s="9" t="str">
        <f ca="1">IFERROR(__xludf.DUMMYFUNCTION("""COMPUTED_VALUE"""),"1 USD = 98.4925 PKR")</f>
        <v>1 USD = 98.4925 PKR</v>
      </c>
      <c r="H3509" s="9" t="str">
        <f ca="1">IFERROR(__xludf.DUMMYFUNCTION("""COMPUTED_VALUE"""),"USD PKR rate for 08/06/2014")</f>
        <v>USD PKR rate for 08/06/2014</v>
      </c>
      <c r="I3509" s="9"/>
    </row>
    <row r="3510" spans="1:9" ht="14.25" customHeight="1" x14ac:dyDescent="0.3">
      <c r="A3510" s="6">
        <v>43227</v>
      </c>
      <c r="B3510" s="7">
        <v>115.6746</v>
      </c>
      <c r="C3510" s="8">
        <f t="shared" si="27"/>
        <v>147.92444286371921</v>
      </c>
      <c r="D3510" s="9">
        <f t="shared" si="26"/>
        <v>71.34518486394613</v>
      </c>
      <c r="E3510" s="9"/>
      <c r="F3510" s="9">
        <f ca="1">IFERROR(__xludf.DUMMYFUNCTION("""COMPUTED_VALUE"""),41797)</f>
        <v>41797</v>
      </c>
      <c r="G3510" s="9" t="str">
        <f ca="1">IFERROR(__xludf.DUMMYFUNCTION("""COMPUTED_VALUE"""),"1 USD = 98.4229 PKR")</f>
        <v>1 USD = 98.4229 PKR</v>
      </c>
      <c r="H3510" s="9" t="str">
        <f ca="1">IFERROR(__xludf.DUMMYFUNCTION("""COMPUTED_VALUE"""),"USD PKR rate for 07/06/2014")</f>
        <v>USD PKR rate for 07/06/2014</v>
      </c>
      <c r="I3510" s="9"/>
    </row>
    <row r="3511" spans="1:9" ht="14.25" customHeight="1" x14ac:dyDescent="0.3">
      <c r="A3511" s="6">
        <v>43228</v>
      </c>
      <c r="B3511" s="7">
        <v>115.7315</v>
      </c>
      <c r="C3511" s="8">
        <f t="shared" si="27"/>
        <v>147.95089911605993</v>
      </c>
      <c r="D3511" s="9">
        <f t="shared" si="26"/>
        <v>71.347922696743396</v>
      </c>
      <c r="E3511" s="9"/>
      <c r="F3511" s="9">
        <f ca="1">IFERROR(__xludf.DUMMYFUNCTION("""COMPUTED_VALUE"""),41796)</f>
        <v>41796</v>
      </c>
      <c r="G3511" s="9" t="str">
        <f ca="1">IFERROR(__xludf.DUMMYFUNCTION("""COMPUTED_VALUE"""),"1 USD = 98.4696 PKR")</f>
        <v>1 USD = 98.4696 PKR</v>
      </c>
      <c r="H3511" s="9" t="str">
        <f ca="1">IFERROR(__xludf.DUMMYFUNCTION("""COMPUTED_VALUE"""),"USD PKR rate for 06/06/2014")</f>
        <v>USD PKR rate for 06/06/2014</v>
      </c>
      <c r="I3511" s="9"/>
    </row>
    <row r="3512" spans="1:9" ht="14.25" customHeight="1" x14ac:dyDescent="0.3">
      <c r="A3512" s="6">
        <v>43229</v>
      </c>
      <c r="B3512" s="7">
        <v>115.67359999999999</v>
      </c>
      <c r="C3512" s="8">
        <f t="shared" si="27"/>
        <v>147.97736010009507</v>
      </c>
      <c r="D3512" s="9">
        <f t="shared" si="26"/>
        <v>71.350660529540662</v>
      </c>
      <c r="E3512" s="9"/>
      <c r="F3512" s="9">
        <f ca="1">IFERROR(__xludf.DUMMYFUNCTION("""COMPUTED_VALUE"""),41795)</f>
        <v>41795</v>
      </c>
      <c r="G3512" s="9" t="str">
        <f ca="1">IFERROR(__xludf.DUMMYFUNCTION("""COMPUTED_VALUE"""),"1 USD = 98.5284 PKR")</f>
        <v>1 USD = 98.5284 PKR</v>
      </c>
      <c r="H3512" s="9" t="str">
        <f ca="1">IFERROR(__xludf.DUMMYFUNCTION("""COMPUTED_VALUE"""),"USD PKR rate for 05/06/2014")</f>
        <v>USD PKR rate for 05/06/2014</v>
      </c>
      <c r="I3512" s="9"/>
    </row>
    <row r="3513" spans="1:9" ht="14.25" customHeight="1" x14ac:dyDescent="0.3">
      <c r="A3513" s="6">
        <v>43230</v>
      </c>
      <c r="B3513" s="7">
        <v>115.7771</v>
      </c>
      <c r="C3513" s="8">
        <f t="shared" si="27"/>
        <v>148.00382581667122</v>
      </c>
      <c r="D3513" s="9">
        <f t="shared" si="26"/>
        <v>71.353398362337927</v>
      </c>
      <c r="E3513" s="9"/>
      <c r="F3513" s="9">
        <f ca="1">IFERROR(__xludf.DUMMYFUNCTION("""COMPUTED_VALUE"""),41794)</f>
        <v>41794</v>
      </c>
      <c r="G3513" s="9" t="str">
        <f ca="1">IFERROR(__xludf.DUMMYFUNCTION("""COMPUTED_VALUE"""),"1 USD = 98.5039 PKR")</f>
        <v>1 USD = 98.5039 PKR</v>
      </c>
      <c r="H3513" s="9" t="str">
        <f ca="1">IFERROR(__xludf.DUMMYFUNCTION("""COMPUTED_VALUE"""),"USD PKR rate for 04/06/2014")</f>
        <v>USD PKR rate for 04/06/2014</v>
      </c>
      <c r="I3513" s="9"/>
    </row>
    <row r="3514" spans="1:9" ht="14.25" customHeight="1" x14ac:dyDescent="0.3">
      <c r="A3514" s="6">
        <v>43231</v>
      </c>
      <c r="B3514" s="7">
        <v>115.55010000000001</v>
      </c>
      <c r="C3514" s="8">
        <f t="shared" si="27"/>
        <v>148.03029626663465</v>
      </c>
      <c r="D3514" s="9">
        <f t="shared" si="26"/>
        <v>71.356136195135193</v>
      </c>
      <c r="E3514" s="9"/>
      <c r="F3514" s="9">
        <f ca="1">IFERROR(__xludf.DUMMYFUNCTION("""COMPUTED_VALUE"""),41793)</f>
        <v>41793</v>
      </c>
      <c r="G3514" s="9" t="str">
        <f ca="1">IFERROR(__xludf.DUMMYFUNCTION("""COMPUTED_VALUE"""),"1 USD = 98.6576 PKR")</f>
        <v>1 USD = 98.6576 PKR</v>
      </c>
      <c r="H3514" s="9" t="str">
        <f ca="1">IFERROR(__xludf.DUMMYFUNCTION("""COMPUTED_VALUE"""),"USD PKR rate for 03/06/2014")</f>
        <v>USD PKR rate for 03/06/2014</v>
      </c>
      <c r="I3514" s="9"/>
    </row>
    <row r="3515" spans="1:9" ht="14.25" customHeight="1" x14ac:dyDescent="0.3">
      <c r="A3515" s="6">
        <v>43232</v>
      </c>
      <c r="B3515" s="7">
        <v>115.5468</v>
      </c>
      <c r="C3515" s="8">
        <f t="shared" si="27"/>
        <v>148.05677145083195</v>
      </c>
      <c r="D3515" s="9">
        <f t="shared" si="26"/>
        <v>71.358874027932458</v>
      </c>
      <c r="E3515" s="9"/>
      <c r="F3515" s="9">
        <f ca="1">IFERROR(__xludf.DUMMYFUNCTION("""COMPUTED_VALUE"""),41792)</f>
        <v>41792</v>
      </c>
      <c r="G3515" s="9" t="str">
        <f ca="1">IFERROR(__xludf.DUMMYFUNCTION("""COMPUTED_VALUE"""),"1 USD = 98.5978 PKR")</f>
        <v>1 USD = 98.5978 PKR</v>
      </c>
      <c r="H3515" s="9" t="str">
        <f ca="1">IFERROR(__xludf.DUMMYFUNCTION("""COMPUTED_VALUE"""),"USD PKR rate for 02/06/2014")</f>
        <v>USD PKR rate for 02/06/2014</v>
      </c>
      <c r="I3515" s="9"/>
    </row>
    <row r="3516" spans="1:9" ht="14.25" customHeight="1" x14ac:dyDescent="0.3">
      <c r="A3516" s="6">
        <v>43233</v>
      </c>
      <c r="B3516" s="7">
        <v>115.59880000000001</v>
      </c>
      <c r="C3516" s="8">
        <f t="shared" si="27"/>
        <v>148.08325137010979</v>
      </c>
      <c r="D3516" s="9">
        <f t="shared" si="26"/>
        <v>71.361611860729724</v>
      </c>
      <c r="E3516" s="9"/>
      <c r="F3516" s="9">
        <f ca="1">IFERROR(__xludf.DUMMYFUNCTION("""COMPUTED_VALUE"""),41791)</f>
        <v>41791</v>
      </c>
      <c r="G3516" s="9" t="str">
        <f ca="1">IFERROR(__xludf.DUMMYFUNCTION("""COMPUTED_VALUE"""),"1 USD = 98.728 PKR")</f>
        <v>1 USD = 98.728 PKR</v>
      </c>
      <c r="H3516" s="9" t="str">
        <f ca="1">IFERROR(__xludf.DUMMYFUNCTION("""COMPUTED_VALUE"""),"USD PKR rate for 01/06/2014")</f>
        <v>USD PKR rate for 01/06/2014</v>
      </c>
      <c r="I3516" s="9"/>
    </row>
    <row r="3517" spans="1:9" ht="14.25" customHeight="1" x14ac:dyDescent="0.3">
      <c r="A3517" s="6">
        <v>43234</v>
      </c>
      <c r="B3517" s="7">
        <v>115.67619999999999</v>
      </c>
      <c r="C3517" s="8">
        <f t="shared" si="27"/>
        <v>148.10973602531504</v>
      </c>
      <c r="D3517" s="9">
        <f t="shared" si="26"/>
        <v>71.364349693526989</v>
      </c>
      <c r="E3517" s="9"/>
      <c r="F3517" s="9">
        <f ca="1">IFERROR(__xludf.DUMMYFUNCTION("""COMPUTED_VALUE"""),41790)</f>
        <v>41790</v>
      </c>
      <c r="G3517" s="9" t="str">
        <f ca="1">IFERROR(__xludf.DUMMYFUNCTION("""COMPUTED_VALUE"""),"1 USD = 98.7197 PKR")</f>
        <v>1 USD = 98.7197 PKR</v>
      </c>
      <c r="H3517" s="9" t="str">
        <f ca="1">IFERROR(__xludf.DUMMYFUNCTION("""COMPUTED_VALUE"""),"USD PKR rate for 31/05/2014")</f>
        <v>USD PKR rate for 31/05/2014</v>
      </c>
      <c r="I3517" s="9"/>
    </row>
    <row r="3518" spans="1:9" ht="14.25" customHeight="1" x14ac:dyDescent="0.3">
      <c r="A3518" s="6">
        <v>43235</v>
      </c>
      <c r="B3518" s="7">
        <v>115.7667</v>
      </c>
      <c r="C3518" s="8">
        <f t="shared" si="27"/>
        <v>148.13622541729478</v>
      </c>
      <c r="D3518" s="9">
        <f t="shared" si="26"/>
        <v>71.367087526324255</v>
      </c>
      <c r="E3518" s="9"/>
      <c r="F3518" s="9">
        <f ca="1">IFERROR(__xludf.DUMMYFUNCTION("""COMPUTED_VALUE"""),41789)</f>
        <v>41789</v>
      </c>
      <c r="G3518" s="9" t="str">
        <f ca="1">IFERROR(__xludf.DUMMYFUNCTION("""COMPUTED_VALUE"""),"1 USD = 98.7245 PKR")</f>
        <v>1 USD = 98.7245 PKR</v>
      </c>
      <c r="H3518" s="9" t="str">
        <f ca="1">IFERROR(__xludf.DUMMYFUNCTION("""COMPUTED_VALUE"""),"USD PKR rate for 30/05/2014")</f>
        <v>USD PKR rate for 30/05/2014</v>
      </c>
      <c r="I3518" s="9"/>
    </row>
    <row r="3519" spans="1:9" ht="14.25" customHeight="1" x14ac:dyDescent="0.3">
      <c r="A3519" s="6">
        <v>43236</v>
      </c>
      <c r="B3519" s="7">
        <v>115.7296</v>
      </c>
      <c r="C3519" s="8">
        <f t="shared" si="27"/>
        <v>148.16271954689611</v>
      </c>
      <c r="D3519" s="9">
        <f t="shared" si="26"/>
        <v>71.369825359121521</v>
      </c>
      <c r="E3519" s="9"/>
      <c r="F3519" s="9">
        <f ca="1">IFERROR(__xludf.DUMMYFUNCTION("""COMPUTED_VALUE"""),41788)</f>
        <v>41788</v>
      </c>
      <c r="G3519" s="9" t="str">
        <f ca="1">IFERROR(__xludf.DUMMYFUNCTION("""COMPUTED_VALUE"""),"1 USD = 98.7016 PKR")</f>
        <v>1 USD = 98.7016 PKR</v>
      </c>
      <c r="H3519" s="9" t="str">
        <f ca="1">IFERROR(__xludf.DUMMYFUNCTION("""COMPUTED_VALUE"""),"USD PKR rate for 29/05/2014")</f>
        <v>USD PKR rate for 29/05/2014</v>
      </c>
      <c r="I3519" s="9"/>
    </row>
    <row r="3520" spans="1:9" ht="14.25" customHeight="1" x14ac:dyDescent="0.3">
      <c r="A3520" s="6">
        <v>43237</v>
      </c>
      <c r="B3520" s="7">
        <v>115.81740000000001</v>
      </c>
      <c r="C3520" s="8">
        <f t="shared" si="27"/>
        <v>148.1892184149664</v>
      </c>
      <c r="D3520" s="9">
        <f t="shared" si="26"/>
        <v>71.372563191918786</v>
      </c>
      <c r="E3520" s="9"/>
      <c r="F3520" s="9">
        <f ca="1">IFERROR(__xludf.DUMMYFUNCTION("""COMPUTED_VALUE"""),41787)</f>
        <v>41787</v>
      </c>
      <c r="G3520" s="9" t="str">
        <f ca="1">IFERROR(__xludf.DUMMYFUNCTION("""COMPUTED_VALUE"""),"1 USD = 98.7241 PKR")</f>
        <v>1 USD = 98.7241 PKR</v>
      </c>
      <c r="H3520" s="9" t="str">
        <f ca="1">IFERROR(__xludf.DUMMYFUNCTION("""COMPUTED_VALUE"""),"USD PKR rate for 28/05/2014")</f>
        <v>USD PKR rate for 28/05/2014</v>
      </c>
      <c r="I3520" s="9"/>
    </row>
    <row r="3521" spans="1:9" ht="14.25" customHeight="1" x14ac:dyDescent="0.3">
      <c r="A3521" s="6">
        <v>43238</v>
      </c>
      <c r="B3521" s="7">
        <v>115.77930000000001</v>
      </c>
      <c r="C3521" s="8">
        <f t="shared" si="27"/>
        <v>148.21572202235296</v>
      </c>
      <c r="D3521" s="9">
        <f t="shared" si="26"/>
        <v>71.375301024716052</v>
      </c>
      <c r="E3521" s="9"/>
      <c r="F3521" s="9">
        <f ca="1">IFERROR(__xludf.DUMMYFUNCTION("""COMPUTED_VALUE"""),41786)</f>
        <v>41786</v>
      </c>
      <c r="G3521" s="9" t="str">
        <f ca="1">IFERROR(__xludf.DUMMYFUNCTION("""COMPUTED_VALUE"""),"1 USD = 98.7256 PKR")</f>
        <v>1 USD = 98.7256 PKR</v>
      </c>
      <c r="H3521" s="9" t="str">
        <f ca="1">IFERROR(__xludf.DUMMYFUNCTION("""COMPUTED_VALUE"""),"USD PKR rate for 27/05/2014")</f>
        <v>USD PKR rate for 27/05/2014</v>
      </c>
      <c r="I3521" s="9"/>
    </row>
    <row r="3522" spans="1:9" ht="14.25" customHeight="1" x14ac:dyDescent="0.3">
      <c r="A3522" s="6">
        <v>43239</v>
      </c>
      <c r="B3522" s="7">
        <v>115.68590000000002</v>
      </c>
      <c r="C3522" s="8">
        <f t="shared" si="27"/>
        <v>148.24223036990369</v>
      </c>
      <c r="D3522" s="9">
        <f t="shared" si="26"/>
        <v>71.378038857513317</v>
      </c>
      <c r="E3522" s="9"/>
      <c r="F3522" s="9">
        <f ca="1">IFERROR(__xludf.DUMMYFUNCTION("""COMPUTED_VALUE"""),41785)</f>
        <v>41785</v>
      </c>
      <c r="G3522" s="9" t="str">
        <f ca="1">IFERROR(__xludf.DUMMYFUNCTION("""COMPUTED_VALUE"""),"1 USD = 98.8526 PKR")</f>
        <v>1 USD = 98.8526 PKR</v>
      </c>
      <c r="H3522" s="9" t="str">
        <f ca="1">IFERROR(__xludf.DUMMYFUNCTION("""COMPUTED_VALUE"""),"USD PKR rate for 26/05/2014")</f>
        <v>USD PKR rate for 26/05/2014</v>
      </c>
      <c r="I3522" s="9"/>
    </row>
    <row r="3523" spans="1:9" ht="14.25" customHeight="1" x14ac:dyDescent="0.3">
      <c r="A3523" s="6">
        <v>43240</v>
      </c>
      <c r="B3523" s="7">
        <v>115.6876</v>
      </c>
      <c r="C3523" s="8">
        <f t="shared" si="27"/>
        <v>148.26874345846625</v>
      </c>
      <c r="D3523" s="9">
        <f t="shared" si="26"/>
        <v>71.380776690310583</v>
      </c>
      <c r="E3523" s="9"/>
      <c r="F3523" s="9">
        <f ca="1">IFERROR(__xludf.DUMMYFUNCTION("""COMPUTED_VALUE"""),41784)</f>
        <v>41784</v>
      </c>
      <c r="G3523" s="9" t="str">
        <f ca="1">IFERROR(__xludf.DUMMYFUNCTION("""COMPUTED_VALUE"""),"1 USD = 98.9047 PKR")</f>
        <v>1 USD = 98.9047 PKR</v>
      </c>
      <c r="H3523" s="9" t="str">
        <f ca="1">IFERROR(__xludf.DUMMYFUNCTION("""COMPUTED_VALUE"""),"USD PKR rate for 25/05/2014")</f>
        <v>USD PKR rate for 25/05/2014</v>
      </c>
      <c r="I3523" s="9"/>
    </row>
    <row r="3524" spans="1:9" ht="14.25" customHeight="1" x14ac:dyDescent="0.3">
      <c r="A3524" s="6">
        <v>43241</v>
      </c>
      <c r="B3524" s="7">
        <v>115.65</v>
      </c>
      <c r="C3524" s="8">
        <f t="shared" si="27"/>
        <v>148.29526128888855</v>
      </c>
      <c r="D3524" s="9">
        <f t="shared" si="26"/>
        <v>71.383514523107849</v>
      </c>
      <c r="E3524" s="9"/>
      <c r="F3524" s="9">
        <f ca="1">IFERROR(__xludf.DUMMYFUNCTION("""COMPUTED_VALUE"""),41783)</f>
        <v>41783</v>
      </c>
      <c r="G3524" s="9" t="str">
        <f ca="1">IFERROR(__xludf.DUMMYFUNCTION("""COMPUTED_VALUE"""),"1 USD = 98.8489 PKR")</f>
        <v>1 USD = 98.8489 PKR</v>
      </c>
      <c r="H3524" s="9" t="str">
        <f ca="1">IFERROR(__xludf.DUMMYFUNCTION("""COMPUTED_VALUE"""),"USD PKR rate for 24/05/2014")</f>
        <v>USD PKR rate for 24/05/2014</v>
      </c>
      <c r="I3524" s="9"/>
    </row>
    <row r="3525" spans="1:9" ht="14.25" customHeight="1" x14ac:dyDescent="0.3">
      <c r="A3525" s="6">
        <v>43242</v>
      </c>
      <c r="B3525" s="7">
        <v>115.595</v>
      </c>
      <c r="C3525" s="8">
        <f t="shared" si="27"/>
        <v>148.32178386201869</v>
      </c>
      <c r="D3525" s="9">
        <f t="shared" si="26"/>
        <v>71.386252355905114</v>
      </c>
      <c r="E3525" s="9"/>
      <c r="F3525" s="9">
        <f ca="1">IFERROR(__xludf.DUMMYFUNCTION("""COMPUTED_VALUE"""),41782)</f>
        <v>41782</v>
      </c>
      <c r="G3525" s="9" t="str">
        <f ca="1">IFERROR(__xludf.DUMMYFUNCTION("""COMPUTED_VALUE"""),"1 USD = 98.8359 PKR")</f>
        <v>1 USD = 98.8359 PKR</v>
      </c>
      <c r="H3525" s="9" t="str">
        <f ca="1">IFERROR(__xludf.DUMMYFUNCTION("""COMPUTED_VALUE"""),"USD PKR rate for 23/05/2014")</f>
        <v>USD PKR rate for 23/05/2014</v>
      </c>
      <c r="I3525" s="9"/>
    </row>
    <row r="3526" spans="1:9" ht="14.25" customHeight="1" x14ac:dyDescent="0.3">
      <c r="A3526" s="6">
        <v>43243</v>
      </c>
      <c r="B3526" s="7">
        <v>115.6016</v>
      </c>
      <c r="C3526" s="8">
        <f t="shared" si="27"/>
        <v>148.34831117870488</v>
      </c>
      <c r="D3526" s="9">
        <f t="shared" si="26"/>
        <v>71.38899018870238</v>
      </c>
      <c r="E3526" s="9"/>
      <c r="F3526" s="9">
        <f ca="1">IFERROR(__xludf.DUMMYFUNCTION("""COMPUTED_VALUE"""),41781)</f>
        <v>41781</v>
      </c>
      <c r="G3526" s="9" t="str">
        <f ca="1">IFERROR(__xludf.DUMMYFUNCTION("""COMPUTED_VALUE"""),"1 USD = 98.8118 PKR")</f>
        <v>1 USD = 98.8118 PKR</v>
      </c>
      <c r="H3526" s="9" t="str">
        <f ca="1">IFERROR(__xludf.DUMMYFUNCTION("""COMPUTED_VALUE"""),"USD PKR rate for 22/05/2014")</f>
        <v>USD PKR rate for 22/05/2014</v>
      </c>
      <c r="I3526" s="9"/>
    </row>
    <row r="3527" spans="1:9" ht="14.25" customHeight="1" x14ac:dyDescent="0.3">
      <c r="A3527" s="6">
        <v>43244</v>
      </c>
      <c r="B3527" s="7">
        <v>115.67529999999999</v>
      </c>
      <c r="C3527" s="8">
        <f t="shared" si="27"/>
        <v>148.37484323979552</v>
      </c>
      <c r="D3527" s="9">
        <f t="shared" si="26"/>
        <v>71.391728021499645</v>
      </c>
      <c r="E3527" s="9"/>
      <c r="F3527" s="9">
        <f ca="1">IFERROR(__xludf.DUMMYFUNCTION("""COMPUTED_VALUE"""),41780)</f>
        <v>41780</v>
      </c>
      <c r="G3527" s="9" t="str">
        <f ca="1">IFERROR(__xludf.DUMMYFUNCTION("""COMPUTED_VALUE"""),"1 USD = 98.7834 PKR")</f>
        <v>1 USD = 98.7834 PKR</v>
      </c>
      <c r="H3527" s="9" t="str">
        <f ca="1">IFERROR(__xludf.DUMMYFUNCTION("""COMPUTED_VALUE"""),"USD PKR rate for 21/05/2014")</f>
        <v>USD PKR rate for 21/05/2014</v>
      </c>
      <c r="I3527" s="9"/>
    </row>
    <row r="3528" spans="1:9" ht="14.25" customHeight="1" x14ac:dyDescent="0.3">
      <c r="A3528" s="6">
        <v>43245</v>
      </c>
      <c r="B3528" s="7">
        <v>115.59990000000001</v>
      </c>
      <c r="C3528" s="8">
        <f t="shared" si="27"/>
        <v>148.40138004613914</v>
      </c>
      <c r="D3528" s="9">
        <f t="shared" si="26"/>
        <v>71.394465854296911</v>
      </c>
      <c r="E3528" s="9"/>
      <c r="F3528" s="9">
        <f ca="1">IFERROR(__xludf.DUMMYFUNCTION("""COMPUTED_VALUE"""),41779)</f>
        <v>41779</v>
      </c>
      <c r="G3528" s="9" t="str">
        <f ca="1">IFERROR(__xludf.DUMMYFUNCTION("""COMPUTED_VALUE"""),"1 USD = 98.7536 PKR")</f>
        <v>1 USD = 98.7536 PKR</v>
      </c>
      <c r="H3528" s="9" t="str">
        <f ca="1">IFERROR(__xludf.DUMMYFUNCTION("""COMPUTED_VALUE"""),"USD PKR rate for 20/05/2014")</f>
        <v>USD PKR rate for 20/05/2014</v>
      </c>
      <c r="I3528" s="9"/>
    </row>
    <row r="3529" spans="1:9" ht="14.25" customHeight="1" x14ac:dyDescent="0.3">
      <c r="A3529" s="6">
        <v>43246</v>
      </c>
      <c r="B3529" s="7">
        <v>115.60039999999999</v>
      </c>
      <c r="C3529" s="8">
        <f t="shared" si="27"/>
        <v>148.42792159858442</v>
      </c>
      <c r="D3529" s="9">
        <f t="shared" si="26"/>
        <v>71.397203687094176</v>
      </c>
      <c r="E3529" s="9"/>
      <c r="F3529" s="9">
        <f ca="1">IFERROR(__xludf.DUMMYFUNCTION("""COMPUTED_VALUE"""),41778)</f>
        <v>41778</v>
      </c>
      <c r="G3529" s="9" t="str">
        <f ca="1">IFERROR(__xludf.DUMMYFUNCTION("""COMPUTED_VALUE"""),"1 USD = 98.6139 PKR")</f>
        <v>1 USD = 98.6139 PKR</v>
      </c>
      <c r="H3529" s="9" t="str">
        <f ca="1">IFERROR(__xludf.DUMMYFUNCTION("""COMPUTED_VALUE"""),"USD PKR rate for 19/05/2014")</f>
        <v>USD PKR rate for 19/05/2014</v>
      </c>
      <c r="I3529" s="9"/>
    </row>
    <row r="3530" spans="1:9" ht="14.25" customHeight="1" x14ac:dyDescent="0.3">
      <c r="A3530" s="6">
        <v>43247</v>
      </c>
      <c r="B3530" s="7">
        <v>115.5998</v>
      </c>
      <c r="C3530" s="8">
        <f t="shared" si="27"/>
        <v>148.45446789798009</v>
      </c>
      <c r="D3530" s="9">
        <f t="shared" si="26"/>
        <v>71.399941519891442</v>
      </c>
      <c r="E3530" s="9"/>
      <c r="F3530" s="9">
        <f ca="1">IFERROR(__xludf.DUMMYFUNCTION("""COMPUTED_VALUE"""),41777)</f>
        <v>41777</v>
      </c>
      <c r="G3530" s="9" t="str">
        <f ca="1">IFERROR(__xludf.DUMMYFUNCTION("""COMPUTED_VALUE"""),"1 USD = 98.3506 PKR")</f>
        <v>1 USD = 98.3506 PKR</v>
      </c>
      <c r="H3530" s="9" t="str">
        <f ca="1">IFERROR(__xludf.DUMMYFUNCTION("""COMPUTED_VALUE"""),"USD PKR rate for 18/05/2014")</f>
        <v>USD PKR rate for 18/05/2014</v>
      </c>
      <c r="I3530" s="9"/>
    </row>
    <row r="3531" spans="1:9" ht="14.25" customHeight="1" x14ac:dyDescent="0.3">
      <c r="A3531" s="6">
        <v>43248</v>
      </c>
      <c r="B3531" s="7">
        <v>115.8075</v>
      </c>
      <c r="C3531" s="8">
        <f t="shared" si="27"/>
        <v>148.48101894517538</v>
      </c>
      <c r="D3531" s="9">
        <f t="shared" si="26"/>
        <v>71.402679352688708</v>
      </c>
      <c r="E3531" s="9"/>
      <c r="F3531" s="9">
        <f ca="1">IFERROR(__xludf.DUMMYFUNCTION("""COMPUTED_VALUE"""),41776)</f>
        <v>41776</v>
      </c>
      <c r="G3531" s="9" t="str">
        <f ca="1">IFERROR(__xludf.DUMMYFUNCTION("""COMPUTED_VALUE"""),"1 USD = 98.3362 PKR")</f>
        <v>1 USD = 98.3362 PKR</v>
      </c>
      <c r="H3531" s="9" t="str">
        <f ca="1">IFERROR(__xludf.DUMMYFUNCTION("""COMPUTED_VALUE"""),"USD PKR rate for 17/05/2014")</f>
        <v>USD PKR rate for 17/05/2014</v>
      </c>
      <c r="I3531" s="9"/>
    </row>
    <row r="3532" spans="1:9" ht="14.25" customHeight="1" x14ac:dyDescent="0.3">
      <c r="A3532" s="6">
        <v>43249</v>
      </c>
      <c r="B3532" s="7">
        <v>115.78830000000001</v>
      </c>
      <c r="C3532" s="8">
        <f t="shared" si="27"/>
        <v>148.50757474101931</v>
      </c>
      <c r="D3532" s="9">
        <f t="shared" si="26"/>
        <v>71.405417185485973</v>
      </c>
      <c r="E3532" s="9"/>
      <c r="F3532" s="9">
        <f ca="1">IFERROR(__xludf.DUMMYFUNCTION("""COMPUTED_VALUE"""),41775)</f>
        <v>41775</v>
      </c>
      <c r="G3532" s="9" t="str">
        <f ca="1">IFERROR(__xludf.DUMMYFUNCTION("""COMPUTED_VALUE"""),"1 USD = 98.3599 PKR")</f>
        <v>1 USD = 98.3599 PKR</v>
      </c>
      <c r="H3532" s="9" t="str">
        <f ca="1">IFERROR(__xludf.DUMMYFUNCTION("""COMPUTED_VALUE"""),"USD PKR rate for 16/05/2014")</f>
        <v>USD PKR rate for 16/05/2014</v>
      </c>
      <c r="I3532" s="9"/>
    </row>
    <row r="3533" spans="1:9" ht="14.25" customHeight="1" x14ac:dyDescent="0.3">
      <c r="A3533" s="6">
        <v>43250</v>
      </c>
      <c r="B3533" s="7">
        <v>115.66930000000001</v>
      </c>
      <c r="C3533" s="8">
        <f t="shared" si="27"/>
        <v>148.53413528636116</v>
      </c>
      <c r="D3533" s="9">
        <f t="shared" si="26"/>
        <v>71.408155018283239</v>
      </c>
      <c r="E3533" s="9"/>
      <c r="F3533" s="9">
        <f ca="1">IFERROR(__xludf.DUMMYFUNCTION("""COMPUTED_VALUE"""),41774)</f>
        <v>41774</v>
      </c>
      <c r="G3533" s="9" t="str">
        <f ca="1">IFERROR(__xludf.DUMMYFUNCTION("""COMPUTED_VALUE"""),"1 USD = 98.6547 PKR")</f>
        <v>1 USD = 98.6547 PKR</v>
      </c>
      <c r="H3533" s="9" t="str">
        <f ca="1">IFERROR(__xludf.DUMMYFUNCTION("""COMPUTED_VALUE"""),"USD PKR rate for 15/05/2014")</f>
        <v>USD PKR rate for 15/05/2014</v>
      </c>
      <c r="I3533" s="9"/>
    </row>
    <row r="3534" spans="1:9" ht="14.25" customHeight="1" x14ac:dyDescent="0.3">
      <c r="A3534" s="6">
        <v>43251</v>
      </c>
      <c r="B3534" s="7">
        <v>115.7021</v>
      </c>
      <c r="C3534" s="8">
        <f t="shared" si="27"/>
        <v>148.56070058205043</v>
      </c>
      <c r="D3534" s="9">
        <f t="shared" si="26"/>
        <v>71.410892851080504</v>
      </c>
      <c r="E3534" s="9"/>
      <c r="F3534" s="9">
        <f ca="1">IFERROR(__xludf.DUMMYFUNCTION("""COMPUTED_VALUE"""),41773)</f>
        <v>41773</v>
      </c>
      <c r="G3534" s="9" t="str">
        <f ca="1">IFERROR(__xludf.DUMMYFUNCTION("""COMPUTED_VALUE"""),"1 USD = 98.6772 PKR")</f>
        <v>1 USD = 98.6772 PKR</v>
      </c>
      <c r="H3534" s="9" t="str">
        <f ca="1">IFERROR(__xludf.DUMMYFUNCTION("""COMPUTED_VALUE"""),"USD PKR rate for 14/05/2014")</f>
        <v>USD PKR rate for 14/05/2014</v>
      </c>
      <c r="I3534" s="9"/>
    </row>
    <row r="3535" spans="1:9" ht="14.25" customHeight="1" x14ac:dyDescent="0.3">
      <c r="A3535" s="6">
        <v>43252</v>
      </c>
      <c r="B3535" s="7">
        <v>115.59950000000001</v>
      </c>
      <c r="C3535" s="8">
        <f t="shared" si="27"/>
        <v>148.58727062893664</v>
      </c>
      <c r="D3535" s="9">
        <f t="shared" si="26"/>
        <v>71.41363068387777</v>
      </c>
      <c r="E3535" s="9"/>
      <c r="F3535" s="9">
        <f ca="1">IFERROR(__xludf.DUMMYFUNCTION("""COMPUTED_VALUE"""),41772)</f>
        <v>41772</v>
      </c>
      <c r="G3535" s="9" t="str">
        <f ca="1">IFERROR(__xludf.DUMMYFUNCTION("""COMPUTED_VALUE"""),"1 USD = 98.6741 PKR")</f>
        <v>1 USD = 98.6741 PKR</v>
      </c>
      <c r="H3535" s="9" t="str">
        <f ca="1">IFERROR(__xludf.DUMMYFUNCTION("""COMPUTED_VALUE"""),"USD PKR rate for 13/05/2014")</f>
        <v>USD PKR rate for 13/05/2014</v>
      </c>
      <c r="I3535" s="9"/>
    </row>
    <row r="3536" spans="1:9" ht="14.25" customHeight="1" x14ac:dyDescent="0.3">
      <c r="A3536" s="6">
        <v>43253</v>
      </c>
      <c r="B3536" s="7">
        <v>116.17230000000001</v>
      </c>
      <c r="C3536" s="8">
        <f t="shared" si="27"/>
        <v>148.61384542786962</v>
      </c>
      <c r="D3536" s="9">
        <f t="shared" si="26"/>
        <v>71.416368516675035</v>
      </c>
      <c r="E3536" s="9"/>
      <c r="F3536" s="9">
        <f ca="1">IFERROR(__xludf.DUMMYFUNCTION("""COMPUTED_VALUE"""),41771)</f>
        <v>41771</v>
      </c>
      <c r="G3536" s="9" t="str">
        <f ca="1">IFERROR(__xludf.DUMMYFUNCTION("""COMPUTED_VALUE"""),"1 USD = 98.5386 PKR")</f>
        <v>1 USD = 98.5386 PKR</v>
      </c>
      <c r="H3536" s="9" t="str">
        <f ca="1">IFERROR(__xludf.DUMMYFUNCTION("""COMPUTED_VALUE"""),"USD PKR rate for 12/05/2014")</f>
        <v>USD PKR rate for 12/05/2014</v>
      </c>
      <c r="I3536" s="9"/>
    </row>
    <row r="3537" spans="1:9" ht="14.25" customHeight="1" x14ac:dyDescent="0.3">
      <c r="A3537" s="6">
        <v>43254</v>
      </c>
      <c r="B3537" s="7">
        <v>116.17230000000001</v>
      </c>
      <c r="C3537" s="8">
        <f t="shared" si="27"/>
        <v>148.64042497969919</v>
      </c>
      <c r="D3537" s="9">
        <f t="shared" si="26"/>
        <v>71.419106349472301</v>
      </c>
      <c r="E3537" s="9"/>
      <c r="F3537" s="9">
        <f ca="1">IFERROR(__xludf.DUMMYFUNCTION("""COMPUTED_VALUE"""),41770)</f>
        <v>41770</v>
      </c>
      <c r="G3537" s="9" t="str">
        <f ca="1">IFERROR(__xludf.DUMMYFUNCTION("""COMPUTED_VALUE"""),"1 USD = 98.5895 PKR")</f>
        <v>1 USD = 98.5895 PKR</v>
      </c>
      <c r="H3537" s="9" t="str">
        <f ca="1">IFERROR(__xludf.DUMMYFUNCTION("""COMPUTED_VALUE"""),"USD PKR rate for 11/05/2014")</f>
        <v>USD PKR rate for 11/05/2014</v>
      </c>
      <c r="I3537" s="9"/>
    </row>
    <row r="3538" spans="1:9" ht="14.25" customHeight="1" x14ac:dyDescent="0.3">
      <c r="A3538" s="6">
        <v>43255</v>
      </c>
      <c r="B3538" s="7">
        <v>115.8763</v>
      </c>
      <c r="C3538" s="8">
        <f t="shared" si="27"/>
        <v>148.6670092852755</v>
      </c>
      <c r="D3538" s="9">
        <f t="shared" si="26"/>
        <v>71.421844182269567</v>
      </c>
      <c r="E3538" s="9"/>
      <c r="F3538" s="9">
        <f ca="1">IFERROR(__xludf.DUMMYFUNCTION("""COMPUTED_VALUE"""),41769)</f>
        <v>41769</v>
      </c>
      <c r="G3538" s="9" t="str">
        <f ca="1">IFERROR(__xludf.DUMMYFUNCTION("""COMPUTED_VALUE"""),"1 USD = 98.6317 PKR")</f>
        <v>1 USD = 98.6317 PKR</v>
      </c>
      <c r="H3538" s="9" t="str">
        <f ca="1">IFERROR(__xludf.DUMMYFUNCTION("""COMPUTED_VALUE"""),"USD PKR rate for 10/05/2014")</f>
        <v>USD PKR rate for 10/05/2014</v>
      </c>
      <c r="I3538" s="9"/>
    </row>
    <row r="3539" spans="1:9" ht="14.25" customHeight="1" x14ac:dyDescent="0.3">
      <c r="A3539" s="6">
        <v>43256</v>
      </c>
      <c r="B3539" s="7">
        <v>115.5955</v>
      </c>
      <c r="C3539" s="8">
        <f t="shared" si="27"/>
        <v>148.69359834544852</v>
      </c>
      <c r="D3539" s="9">
        <f t="shared" si="26"/>
        <v>71.424582015066832</v>
      </c>
      <c r="E3539" s="9"/>
      <c r="F3539" s="9">
        <f ca="1">IFERROR(__xludf.DUMMYFUNCTION("""COMPUTED_VALUE"""),41768)</f>
        <v>41768</v>
      </c>
      <c r="G3539" s="9" t="str">
        <f ca="1">IFERROR(__xludf.DUMMYFUNCTION("""COMPUTED_VALUE"""),"1 USD = 98.5276 PKR")</f>
        <v>1 USD = 98.5276 PKR</v>
      </c>
      <c r="H3539" s="9" t="str">
        <f ca="1">IFERROR(__xludf.DUMMYFUNCTION("""COMPUTED_VALUE"""),"USD PKR rate for 09/05/2014")</f>
        <v>USD PKR rate for 09/05/2014</v>
      </c>
      <c r="I3539" s="9"/>
    </row>
    <row r="3540" spans="1:9" ht="14.25" customHeight="1" x14ac:dyDescent="0.3">
      <c r="A3540" s="6">
        <v>43257</v>
      </c>
      <c r="B3540" s="7">
        <v>115.70040000000002</v>
      </c>
      <c r="C3540" s="8">
        <f t="shared" si="27"/>
        <v>148.72019216106895</v>
      </c>
      <c r="D3540" s="9">
        <f t="shared" si="26"/>
        <v>71.427319847864098</v>
      </c>
      <c r="E3540" s="9"/>
      <c r="F3540" s="9">
        <f ca="1">IFERROR(__xludf.DUMMYFUNCTION("""COMPUTED_VALUE"""),41767)</f>
        <v>41767</v>
      </c>
      <c r="G3540" s="9" t="str">
        <f ca="1">IFERROR(__xludf.DUMMYFUNCTION("""COMPUTED_VALUE"""),"1 USD = 98.5934 PKR")</f>
        <v>1 USD = 98.5934 PKR</v>
      </c>
      <c r="H3540" s="9" t="str">
        <f ca="1">IFERROR(__xludf.DUMMYFUNCTION("""COMPUTED_VALUE"""),"USD PKR rate for 08/05/2014")</f>
        <v>USD PKR rate for 08/05/2014</v>
      </c>
      <c r="I3540" s="9"/>
    </row>
    <row r="3541" spans="1:9" ht="14.25" customHeight="1" x14ac:dyDescent="0.3">
      <c r="A3541" s="6">
        <v>43258</v>
      </c>
      <c r="B3541" s="7">
        <v>115.71259999999999</v>
      </c>
      <c r="C3541" s="8">
        <f t="shared" si="27"/>
        <v>148.74679073298714</v>
      </c>
      <c r="D3541" s="9">
        <f t="shared" si="26"/>
        <v>71.430057680661363</v>
      </c>
      <c r="E3541" s="9"/>
      <c r="F3541" s="9">
        <f ca="1">IFERROR(__xludf.DUMMYFUNCTION("""COMPUTED_VALUE"""),41766)</f>
        <v>41766</v>
      </c>
      <c r="G3541" s="9" t="str">
        <f ca="1">IFERROR(__xludf.DUMMYFUNCTION("""COMPUTED_VALUE"""),"1 USD = 98.3599 PKR")</f>
        <v>1 USD = 98.3599 PKR</v>
      </c>
      <c r="H3541" s="9" t="str">
        <f ca="1">IFERROR(__xludf.DUMMYFUNCTION("""COMPUTED_VALUE"""),"USD PKR rate for 07/05/2014")</f>
        <v>USD PKR rate for 07/05/2014</v>
      </c>
      <c r="I3541" s="9"/>
    </row>
    <row r="3542" spans="1:9" ht="14.25" customHeight="1" x14ac:dyDescent="0.3">
      <c r="A3542" s="6">
        <v>43259</v>
      </c>
      <c r="B3542" s="7">
        <v>115.6985</v>
      </c>
      <c r="C3542" s="8">
        <f t="shared" si="27"/>
        <v>148.77339406205374</v>
      </c>
      <c r="D3542" s="9">
        <f t="shared" si="26"/>
        <v>71.432795513458629</v>
      </c>
      <c r="E3542" s="9"/>
      <c r="F3542" s="9">
        <f ca="1">IFERROR(__xludf.DUMMYFUNCTION("""COMPUTED_VALUE"""),41765)</f>
        <v>41765</v>
      </c>
      <c r="G3542" s="9" t="str">
        <f ca="1">IFERROR(__xludf.DUMMYFUNCTION("""COMPUTED_VALUE"""),"1 USD = 98.708 PKR")</f>
        <v>1 USD = 98.708 PKR</v>
      </c>
      <c r="H3542" s="9" t="str">
        <f ca="1">IFERROR(__xludf.DUMMYFUNCTION("""COMPUTED_VALUE"""),"USD PKR rate for 06/05/2014")</f>
        <v>USD PKR rate for 06/05/2014</v>
      </c>
      <c r="I3542" s="9"/>
    </row>
    <row r="3543" spans="1:9" ht="14.25" customHeight="1" x14ac:dyDescent="0.3">
      <c r="A3543" s="6">
        <v>43260</v>
      </c>
      <c r="B3543" s="7">
        <v>115.6955</v>
      </c>
      <c r="C3543" s="8">
        <f t="shared" si="27"/>
        <v>148.80000214911962</v>
      </c>
      <c r="D3543" s="9">
        <f t="shared" si="26"/>
        <v>71.435533346255895</v>
      </c>
      <c r="E3543" s="9"/>
      <c r="F3543" s="9">
        <f ca="1">IFERROR(__xludf.DUMMYFUNCTION("""COMPUTED_VALUE"""),41764)</f>
        <v>41764</v>
      </c>
      <c r="G3543" s="9" t="str">
        <f ca="1">IFERROR(__xludf.DUMMYFUNCTION("""COMPUTED_VALUE"""),"1 USD = 98.8265 PKR")</f>
        <v>1 USD = 98.8265 PKR</v>
      </c>
      <c r="H3543" s="9" t="str">
        <f ca="1">IFERROR(__xludf.DUMMYFUNCTION("""COMPUTED_VALUE"""),"USD PKR rate for 05/05/2014")</f>
        <v>USD PKR rate for 05/05/2014</v>
      </c>
      <c r="I3543" s="9"/>
    </row>
    <row r="3544" spans="1:9" ht="14.25" customHeight="1" x14ac:dyDescent="0.3">
      <c r="A3544" s="6">
        <v>43261</v>
      </c>
      <c r="B3544" s="7">
        <v>115.34780000000001</v>
      </c>
      <c r="C3544" s="8">
        <f t="shared" si="27"/>
        <v>148.8266149950357</v>
      </c>
      <c r="D3544" s="9">
        <f t="shared" si="26"/>
        <v>71.43827117905316</v>
      </c>
      <c r="E3544" s="9"/>
      <c r="F3544" s="9">
        <f ca="1">IFERROR(__xludf.DUMMYFUNCTION("""COMPUTED_VALUE"""),41763)</f>
        <v>41763</v>
      </c>
      <c r="G3544" s="9" t="str">
        <f ca="1">IFERROR(__xludf.DUMMYFUNCTION("""COMPUTED_VALUE"""),"1 USD = 98.8097 PKR")</f>
        <v>1 USD = 98.8097 PKR</v>
      </c>
      <c r="H3544" s="9" t="str">
        <f ca="1">IFERROR(__xludf.DUMMYFUNCTION("""COMPUTED_VALUE"""),"USD PKR rate for 04/05/2014")</f>
        <v>USD PKR rate for 04/05/2014</v>
      </c>
      <c r="I3544" s="9"/>
    </row>
    <row r="3545" spans="1:9" ht="14.25" customHeight="1" x14ac:dyDescent="0.3">
      <c r="A3545" s="6">
        <v>43262</v>
      </c>
      <c r="B3545" s="7">
        <v>115.76230000000001</v>
      </c>
      <c r="C3545" s="8">
        <f t="shared" si="27"/>
        <v>148.85323260065309</v>
      </c>
      <c r="D3545" s="9">
        <f t="shared" si="26"/>
        <v>71.441009011850426</v>
      </c>
      <c r="E3545" s="9"/>
      <c r="F3545" s="9">
        <f ca="1">IFERROR(__xludf.DUMMYFUNCTION("""COMPUTED_VALUE"""),41762)</f>
        <v>41762</v>
      </c>
      <c r="G3545" s="9" t="str">
        <f ca="1">IFERROR(__xludf.DUMMYFUNCTION("""COMPUTED_VALUE"""),"1 USD = 98.7322 PKR")</f>
        <v>1 USD = 98.7322 PKR</v>
      </c>
      <c r="H3545" s="9" t="str">
        <f ca="1">IFERROR(__xludf.DUMMYFUNCTION("""COMPUTED_VALUE"""),"USD PKR rate for 03/05/2014")</f>
        <v>USD PKR rate for 03/05/2014</v>
      </c>
      <c r="I3545" s="9"/>
    </row>
    <row r="3546" spans="1:9" ht="14.25" customHeight="1" x14ac:dyDescent="0.3">
      <c r="A3546" s="6">
        <v>43263</v>
      </c>
      <c r="B3546" s="7">
        <v>115.59950000000001</v>
      </c>
      <c r="C3546" s="8">
        <f t="shared" si="27"/>
        <v>148.87985496682307</v>
      </c>
      <c r="D3546" s="9">
        <f t="shared" si="26"/>
        <v>71.443746844647691</v>
      </c>
      <c r="E3546" s="9"/>
      <c r="F3546" s="9">
        <f ca="1">IFERROR(__xludf.DUMMYFUNCTION("""COMPUTED_VALUE"""),41761)</f>
        <v>41761</v>
      </c>
      <c r="G3546" s="9" t="str">
        <f ca="1">IFERROR(__xludf.DUMMYFUNCTION("""COMPUTED_VALUE"""),"1 USD = 98.7028 PKR")</f>
        <v>1 USD = 98.7028 PKR</v>
      </c>
      <c r="H3546" s="9" t="str">
        <f ca="1">IFERROR(__xludf.DUMMYFUNCTION("""COMPUTED_VALUE"""),"USD PKR rate for 02/05/2014")</f>
        <v>USD PKR rate for 02/05/2014</v>
      </c>
      <c r="I3546" s="9"/>
    </row>
    <row r="3547" spans="1:9" ht="14.25" customHeight="1" x14ac:dyDescent="0.3">
      <c r="A3547" s="6">
        <v>43264</v>
      </c>
      <c r="B3547" s="7">
        <v>118.03090000000002</v>
      </c>
      <c r="C3547" s="8">
        <f t="shared" si="27"/>
        <v>148.90648209439709</v>
      </c>
      <c r="D3547" s="9">
        <f t="shared" si="26"/>
        <v>71.446484677444957</v>
      </c>
      <c r="E3547" s="9"/>
      <c r="F3547" s="9">
        <f ca="1">IFERROR(__xludf.DUMMYFUNCTION("""COMPUTED_VALUE"""),41760)</f>
        <v>41760</v>
      </c>
      <c r="G3547" s="9" t="str">
        <f ca="1">IFERROR(__xludf.DUMMYFUNCTION("""COMPUTED_VALUE"""),"1 USD = 98.6336 PKR")</f>
        <v>1 USD = 98.6336 PKR</v>
      </c>
      <c r="H3547" s="9" t="str">
        <f ca="1">IFERROR(__xludf.DUMMYFUNCTION("""COMPUTED_VALUE"""),"USD PKR rate for 01/05/2014")</f>
        <v>USD PKR rate for 01/05/2014</v>
      </c>
      <c r="I3547" s="9"/>
    </row>
    <row r="3548" spans="1:9" ht="14.25" customHeight="1" x14ac:dyDescent="0.3">
      <c r="A3548" s="6">
        <v>43265</v>
      </c>
      <c r="B3548" s="7">
        <v>117.1591</v>
      </c>
      <c r="C3548" s="8">
        <f t="shared" si="27"/>
        <v>148.93311398422657</v>
      </c>
      <c r="D3548" s="9">
        <f t="shared" si="26"/>
        <v>71.449222510242222</v>
      </c>
      <c r="E3548" s="9"/>
      <c r="F3548" s="9">
        <f ca="1">IFERROR(__xludf.DUMMYFUNCTION("""COMPUTED_VALUE"""),41759)</f>
        <v>41759</v>
      </c>
      <c r="G3548" s="9" t="str">
        <f ca="1">IFERROR(__xludf.DUMMYFUNCTION("""COMPUTED_VALUE"""),"1 USD = 98.5449 PKR")</f>
        <v>1 USD = 98.5449 PKR</v>
      </c>
      <c r="H3548" s="9" t="str">
        <f ca="1">IFERROR(__xludf.DUMMYFUNCTION("""COMPUTED_VALUE"""),"USD PKR rate for 30/04/2014")</f>
        <v>USD PKR rate for 30/04/2014</v>
      </c>
      <c r="I3548" s="9"/>
    </row>
    <row r="3549" spans="1:9" ht="14.25" customHeight="1" x14ac:dyDescent="0.3">
      <c r="A3549" s="6">
        <v>43266</v>
      </c>
      <c r="B3549" s="7">
        <v>119.8745</v>
      </c>
      <c r="C3549" s="8">
        <f t="shared" si="27"/>
        <v>148.95975063716352</v>
      </c>
      <c r="D3549" s="9">
        <f t="shared" si="26"/>
        <v>71.451960343039488</v>
      </c>
      <c r="E3549" s="9"/>
      <c r="F3549" s="9">
        <f ca="1">IFERROR(__xludf.DUMMYFUNCTION("""COMPUTED_VALUE"""),41758)</f>
        <v>41758</v>
      </c>
      <c r="G3549" s="9" t="str">
        <f ca="1">IFERROR(__xludf.DUMMYFUNCTION("""COMPUTED_VALUE"""),"1 USD = 98.3342 PKR")</f>
        <v>1 USD = 98.3342 PKR</v>
      </c>
      <c r="H3549" s="9" t="str">
        <f ca="1">IFERROR(__xludf.DUMMYFUNCTION("""COMPUTED_VALUE"""),"USD PKR rate for 29/04/2014")</f>
        <v>USD PKR rate for 29/04/2014</v>
      </c>
      <c r="I3549" s="9"/>
    </row>
    <row r="3550" spans="1:9" ht="14.25" customHeight="1" x14ac:dyDescent="0.3">
      <c r="A3550" s="6">
        <v>43267</v>
      </c>
      <c r="B3550" s="7">
        <v>119.8745</v>
      </c>
      <c r="C3550" s="8">
        <f t="shared" si="27"/>
        <v>148.98639205405965</v>
      </c>
      <c r="D3550" s="9">
        <f t="shared" si="26"/>
        <v>71.454698175836754</v>
      </c>
      <c r="E3550" s="9"/>
      <c r="F3550" s="9">
        <f ca="1">IFERROR(__xludf.DUMMYFUNCTION("""COMPUTED_VALUE"""),41757)</f>
        <v>41757</v>
      </c>
      <c r="G3550" s="9" t="str">
        <f ca="1">IFERROR(__xludf.DUMMYFUNCTION("""COMPUTED_VALUE"""),"1 USD = 98.1481 PKR")</f>
        <v>1 USD = 98.1481 PKR</v>
      </c>
      <c r="H3550" s="9" t="str">
        <f ca="1">IFERROR(__xludf.DUMMYFUNCTION("""COMPUTED_VALUE"""),"USD PKR rate for 28/04/2014")</f>
        <v>USD PKR rate for 28/04/2014</v>
      </c>
      <c r="I3550" s="9"/>
    </row>
    <row r="3551" spans="1:9" ht="14.25" customHeight="1" x14ac:dyDescent="0.3">
      <c r="A3551" s="6">
        <v>43268</v>
      </c>
      <c r="B3551" s="7">
        <v>119.875</v>
      </c>
      <c r="C3551" s="8">
        <f t="shared" si="27"/>
        <v>149.01303823576706</v>
      </c>
      <c r="D3551" s="9">
        <f t="shared" si="26"/>
        <v>71.457436008634019</v>
      </c>
      <c r="E3551" s="9"/>
      <c r="F3551" s="9">
        <f ca="1">IFERROR(__xludf.DUMMYFUNCTION("""COMPUTED_VALUE"""),41756)</f>
        <v>41756</v>
      </c>
      <c r="G3551" s="9" t="str">
        <f ca="1">IFERROR(__xludf.DUMMYFUNCTION("""COMPUTED_VALUE"""),"1 USD = 98.136 PKR")</f>
        <v>1 USD = 98.136 PKR</v>
      </c>
      <c r="H3551" s="9" t="str">
        <f ca="1">IFERROR(__xludf.DUMMYFUNCTION("""COMPUTED_VALUE"""),"USD PKR rate for 27/04/2014")</f>
        <v>USD PKR rate for 27/04/2014</v>
      </c>
      <c r="I3551" s="9"/>
    </row>
    <row r="3552" spans="1:9" ht="14.25" customHeight="1" x14ac:dyDescent="0.3">
      <c r="A3552" s="6">
        <v>43269</v>
      </c>
      <c r="B3552" s="7">
        <v>119.82850000000001</v>
      </c>
      <c r="C3552" s="8">
        <f t="shared" si="27"/>
        <v>149.03968918313785</v>
      </c>
      <c r="D3552" s="9">
        <f t="shared" si="26"/>
        <v>71.460173841431285</v>
      </c>
      <c r="E3552" s="9"/>
      <c r="F3552" s="9">
        <f ca="1">IFERROR(__xludf.DUMMYFUNCTION("""COMPUTED_VALUE"""),41755)</f>
        <v>41755</v>
      </c>
      <c r="G3552" s="9" t="str">
        <f ca="1">IFERROR(__xludf.DUMMYFUNCTION("""COMPUTED_VALUE"""),"1 USD = 98.0842 PKR")</f>
        <v>1 USD = 98.0842 PKR</v>
      </c>
      <c r="H3552" s="9" t="str">
        <f ca="1">IFERROR(__xludf.DUMMYFUNCTION("""COMPUTED_VALUE"""),"USD PKR rate for 26/04/2014")</f>
        <v>USD PKR rate for 26/04/2014</v>
      </c>
      <c r="I3552" s="9"/>
    </row>
    <row r="3553" spans="1:9" ht="14.25" customHeight="1" x14ac:dyDescent="0.3">
      <c r="A3553" s="6">
        <v>43270</v>
      </c>
      <c r="B3553" s="7">
        <v>121.24760000000001</v>
      </c>
      <c r="C3553" s="8">
        <f t="shared" si="27"/>
        <v>149.06634489702444</v>
      </c>
      <c r="D3553" s="9">
        <f t="shared" si="26"/>
        <v>71.46291167422855</v>
      </c>
      <c r="E3553" s="9"/>
      <c r="F3553" s="9">
        <f ca="1">IFERROR(__xludf.DUMMYFUNCTION("""COMPUTED_VALUE"""),41754)</f>
        <v>41754</v>
      </c>
      <c r="G3553" s="9" t="str">
        <f ca="1">IFERROR(__xludf.DUMMYFUNCTION("""COMPUTED_VALUE"""),"1 USD = 98.0904 PKR")</f>
        <v>1 USD = 98.0904 PKR</v>
      </c>
      <c r="H3553" s="9" t="str">
        <f ca="1">IFERROR(__xludf.DUMMYFUNCTION("""COMPUTED_VALUE"""),"USD PKR rate for 25/04/2014")</f>
        <v>USD PKR rate for 25/04/2014</v>
      </c>
      <c r="I3553" s="9"/>
    </row>
    <row r="3554" spans="1:9" ht="14.25" customHeight="1" x14ac:dyDescent="0.3">
      <c r="A3554" s="6">
        <v>43271</v>
      </c>
      <c r="B3554" s="7">
        <v>121.5308</v>
      </c>
      <c r="C3554" s="8">
        <f t="shared" si="27"/>
        <v>149.09300537827929</v>
      </c>
      <c r="D3554" s="9">
        <f t="shared" si="26"/>
        <v>71.465649507025816</v>
      </c>
      <c r="E3554" s="9"/>
      <c r="F3554" s="9">
        <f ca="1">IFERROR(__xludf.DUMMYFUNCTION("""COMPUTED_VALUE"""),41753)</f>
        <v>41753</v>
      </c>
      <c r="G3554" s="9" t="str">
        <f ca="1">IFERROR(__xludf.DUMMYFUNCTION("""COMPUTED_VALUE"""),"1 USD = 97.9496 PKR")</f>
        <v>1 USD = 97.9496 PKR</v>
      </c>
      <c r="H3554" s="9" t="str">
        <f ca="1">IFERROR(__xludf.DUMMYFUNCTION("""COMPUTED_VALUE"""),"USD PKR rate for 24/04/2014")</f>
        <v>USD PKR rate for 24/04/2014</v>
      </c>
      <c r="I3554" s="9"/>
    </row>
    <row r="3555" spans="1:9" ht="14.25" customHeight="1" x14ac:dyDescent="0.3">
      <c r="A3555" s="6">
        <v>43272</v>
      </c>
      <c r="B3555" s="7">
        <v>121.64630000000001</v>
      </c>
      <c r="C3555" s="8">
        <f t="shared" si="27"/>
        <v>149.119670627755</v>
      </c>
      <c r="D3555" s="9">
        <f t="shared" si="26"/>
        <v>71.468387339823082</v>
      </c>
      <c r="E3555" s="9"/>
      <c r="F3555" s="9">
        <f ca="1">IFERROR(__xludf.DUMMYFUNCTION("""COMPUTED_VALUE"""),41752)</f>
        <v>41752</v>
      </c>
      <c r="G3555" s="9" t="str">
        <f ca="1">IFERROR(__xludf.DUMMYFUNCTION("""COMPUTED_VALUE"""),"1 USD = 97.6169 PKR")</f>
        <v>1 USD = 97.6169 PKR</v>
      </c>
      <c r="H3555" s="9" t="str">
        <f ca="1">IFERROR(__xludf.DUMMYFUNCTION("""COMPUTED_VALUE"""),"USD PKR rate for 23/04/2014")</f>
        <v>USD PKR rate for 23/04/2014</v>
      </c>
      <c r="I3555" s="9"/>
    </row>
    <row r="3556" spans="1:9" ht="14.25" customHeight="1" x14ac:dyDescent="0.3">
      <c r="A3556" s="6">
        <v>43273</v>
      </c>
      <c r="B3556" s="7">
        <v>121.60169999999999</v>
      </c>
      <c r="C3556" s="8">
        <f t="shared" si="27"/>
        <v>149.14634064630442</v>
      </c>
      <c r="D3556" s="9">
        <f t="shared" si="26"/>
        <v>71.471125172620347</v>
      </c>
      <c r="E3556" s="9"/>
      <c r="F3556" s="9">
        <f ca="1">IFERROR(__xludf.DUMMYFUNCTION("""COMPUTED_VALUE"""),41751)</f>
        <v>41751</v>
      </c>
      <c r="G3556" s="9" t="str">
        <f ca="1">IFERROR(__xludf.DUMMYFUNCTION("""COMPUTED_VALUE"""),"1 USD = 97.6354 PKR")</f>
        <v>1 USD = 97.6354 PKR</v>
      </c>
      <c r="H3556" s="9" t="str">
        <f ca="1">IFERROR(__xludf.DUMMYFUNCTION("""COMPUTED_VALUE"""),"USD PKR rate for 22/04/2014")</f>
        <v>USD PKR rate for 22/04/2014</v>
      </c>
      <c r="I3556" s="9"/>
    </row>
    <row r="3557" spans="1:9" ht="14.25" customHeight="1" x14ac:dyDescent="0.3">
      <c r="A3557" s="6">
        <v>43274</v>
      </c>
      <c r="B3557" s="7">
        <v>121.60169999999999</v>
      </c>
      <c r="C3557" s="8">
        <f t="shared" si="27"/>
        <v>149.17301543478035</v>
      </c>
      <c r="D3557" s="9">
        <f t="shared" si="26"/>
        <v>71.473863005417613</v>
      </c>
      <c r="E3557" s="9"/>
      <c r="F3557" s="9">
        <f ca="1">IFERROR(__xludf.DUMMYFUNCTION("""COMPUTED_VALUE"""),41750)</f>
        <v>41750</v>
      </c>
      <c r="G3557" s="9" t="str">
        <f ca="1">IFERROR(__xludf.DUMMYFUNCTION("""COMPUTED_VALUE"""),"1 USD = 97.4349 PKR")</f>
        <v>1 USD = 97.4349 PKR</v>
      </c>
      <c r="H3557" s="9" t="str">
        <f ca="1">IFERROR(__xludf.DUMMYFUNCTION("""COMPUTED_VALUE"""),"USD PKR rate for 21/04/2014")</f>
        <v>USD PKR rate for 21/04/2014</v>
      </c>
      <c r="I3557" s="9"/>
    </row>
    <row r="3558" spans="1:9" ht="14.25" customHeight="1" x14ac:dyDescent="0.3">
      <c r="A3558" s="6">
        <v>43275</v>
      </c>
      <c r="B3558" s="7">
        <v>121.6086</v>
      </c>
      <c r="C3558" s="8">
        <f t="shared" si="27"/>
        <v>149.19969499403615</v>
      </c>
      <c r="D3558" s="9">
        <f t="shared" si="26"/>
        <v>71.476600838214878</v>
      </c>
      <c r="E3558" s="9"/>
      <c r="F3558" s="9">
        <f ca="1">IFERROR(__xludf.DUMMYFUNCTION("""COMPUTED_VALUE"""),41749)</f>
        <v>41749</v>
      </c>
      <c r="G3558" s="9" t="str">
        <f ca="1">IFERROR(__xludf.DUMMYFUNCTION("""COMPUTED_VALUE"""),"1 USD = 97.1997 PKR")</f>
        <v>1 USD = 97.1997 PKR</v>
      </c>
      <c r="H3558" s="9" t="str">
        <f ca="1">IFERROR(__xludf.DUMMYFUNCTION("""COMPUTED_VALUE"""),"USD PKR rate for 20/04/2014")</f>
        <v>USD PKR rate for 20/04/2014</v>
      </c>
      <c r="I3558" s="9"/>
    </row>
    <row r="3559" spans="1:9" ht="14.25" customHeight="1" x14ac:dyDescent="0.3">
      <c r="A3559" s="6">
        <v>43276</v>
      </c>
      <c r="B3559" s="7">
        <v>121.5733</v>
      </c>
      <c r="C3559" s="8">
        <f t="shared" si="27"/>
        <v>149.22637932492495</v>
      </c>
      <c r="D3559" s="9">
        <f t="shared" si="26"/>
        <v>71.479338671012144</v>
      </c>
      <c r="E3559" s="9"/>
      <c r="F3559" s="9">
        <f ca="1">IFERROR(__xludf.DUMMYFUNCTION("""COMPUTED_VALUE"""),41748)</f>
        <v>41748</v>
      </c>
      <c r="G3559" s="9" t="str">
        <f ca="1">IFERROR(__xludf.DUMMYFUNCTION("""COMPUTED_VALUE"""),"1 USD = 97.1383 PKR")</f>
        <v>1 USD = 97.1383 PKR</v>
      </c>
      <c r="H3559" s="9" t="str">
        <f ca="1">IFERROR(__xludf.DUMMYFUNCTION("""COMPUTED_VALUE"""),"USD PKR rate for 19/04/2014")</f>
        <v>USD PKR rate for 19/04/2014</v>
      </c>
      <c r="I3559" s="9"/>
    </row>
    <row r="3560" spans="1:9" ht="14.25" customHeight="1" x14ac:dyDescent="0.3">
      <c r="A3560" s="6">
        <v>43277</v>
      </c>
      <c r="B3560" s="7">
        <v>121.6422</v>
      </c>
      <c r="C3560" s="8">
        <f t="shared" si="27"/>
        <v>149.25306842830014</v>
      </c>
      <c r="D3560" s="9">
        <f t="shared" si="26"/>
        <v>71.482076503809409</v>
      </c>
      <c r="E3560" s="9"/>
      <c r="F3560" s="9">
        <f ca="1">IFERROR(__xludf.DUMMYFUNCTION("""COMPUTED_VALUE"""),41747)</f>
        <v>41747</v>
      </c>
      <c r="G3560" s="9" t="str">
        <f ca="1">IFERROR(__xludf.DUMMYFUNCTION("""COMPUTED_VALUE"""),"1 USD = 97.1726 PKR")</f>
        <v>1 USD = 97.1726 PKR</v>
      </c>
      <c r="H3560" s="9" t="str">
        <f ca="1">IFERROR(__xludf.DUMMYFUNCTION("""COMPUTED_VALUE"""),"USD PKR rate for 18/04/2014")</f>
        <v>USD PKR rate for 18/04/2014</v>
      </c>
      <c r="I3560" s="9"/>
    </row>
    <row r="3561" spans="1:9" ht="14.25" customHeight="1" x14ac:dyDescent="0.3">
      <c r="A3561" s="6">
        <v>43278</v>
      </c>
      <c r="B3561" s="7">
        <v>121.5449</v>
      </c>
      <c r="C3561" s="8">
        <f t="shared" si="27"/>
        <v>149.27976230501528</v>
      </c>
      <c r="D3561" s="9">
        <f t="shared" si="26"/>
        <v>71.484814336606675</v>
      </c>
      <c r="E3561" s="9"/>
      <c r="F3561" s="9">
        <f ca="1">IFERROR(__xludf.DUMMYFUNCTION("""COMPUTED_VALUE"""),41746)</f>
        <v>41746</v>
      </c>
      <c r="G3561" s="9" t="str">
        <f ca="1">IFERROR(__xludf.DUMMYFUNCTION("""COMPUTED_VALUE"""),"1 USD = 96.623 PKR")</f>
        <v>1 USD = 96.623 PKR</v>
      </c>
      <c r="H3561" s="9" t="str">
        <f ca="1">IFERROR(__xludf.DUMMYFUNCTION("""COMPUTED_VALUE"""),"USD PKR rate for 17/04/2014")</f>
        <v>USD PKR rate for 17/04/2014</v>
      </c>
      <c r="I3561" s="9"/>
    </row>
    <row r="3562" spans="1:9" ht="14.25" customHeight="1" x14ac:dyDescent="0.3">
      <c r="A3562" s="6">
        <v>43279</v>
      </c>
      <c r="B3562" s="7">
        <v>121.7285</v>
      </c>
      <c r="C3562" s="8">
        <f t="shared" si="27"/>
        <v>149.30646095592411</v>
      </c>
      <c r="D3562" s="9">
        <f t="shared" si="26"/>
        <v>71.487552169403941</v>
      </c>
      <c r="E3562" s="9"/>
      <c r="F3562" s="9">
        <f ca="1">IFERROR(__xludf.DUMMYFUNCTION("""COMPUTED_VALUE"""),41745)</f>
        <v>41745</v>
      </c>
      <c r="G3562" s="9" t="str">
        <f ca="1">IFERROR(__xludf.DUMMYFUNCTION("""COMPUTED_VALUE"""),"1 USD = 96.3903 PKR")</f>
        <v>1 USD = 96.3903 PKR</v>
      </c>
      <c r="H3562" s="9" t="str">
        <f ca="1">IFERROR(__xludf.DUMMYFUNCTION("""COMPUTED_VALUE"""),"USD PKR rate for 16/04/2014")</f>
        <v>USD PKR rate for 16/04/2014</v>
      </c>
      <c r="I3562" s="9"/>
    </row>
    <row r="3563" spans="1:9" ht="14.25" customHeight="1" x14ac:dyDescent="0.3">
      <c r="A3563" s="6">
        <v>43280</v>
      </c>
      <c r="B3563" s="7">
        <v>121.7375</v>
      </c>
      <c r="C3563" s="8">
        <f t="shared" si="27"/>
        <v>149.33316438188047</v>
      </c>
      <c r="D3563" s="9">
        <f t="shared" si="26"/>
        <v>71.490290002201206</v>
      </c>
      <c r="E3563" s="9"/>
      <c r="F3563" s="9">
        <f ca="1">IFERROR(__xludf.DUMMYFUNCTION("""COMPUTED_VALUE"""),41744)</f>
        <v>41744</v>
      </c>
      <c r="G3563" s="9" t="str">
        <f ca="1">IFERROR(__xludf.DUMMYFUNCTION("""COMPUTED_VALUE"""),"1 USD = 96.1887 PKR")</f>
        <v>1 USD = 96.1887 PKR</v>
      </c>
      <c r="H3563" s="9" t="str">
        <f ca="1">IFERROR(__xludf.DUMMYFUNCTION("""COMPUTED_VALUE"""),"USD PKR rate for 15/04/2014")</f>
        <v>USD PKR rate for 15/04/2014</v>
      </c>
      <c r="I3563" s="9"/>
    </row>
    <row r="3564" spans="1:9" ht="14.25" customHeight="1" x14ac:dyDescent="0.3">
      <c r="A3564" s="6">
        <v>43281</v>
      </c>
      <c r="B3564" s="7">
        <v>121.73309999999999</v>
      </c>
      <c r="C3564" s="8">
        <f t="shared" si="27"/>
        <v>149.35987258373837</v>
      </c>
      <c r="D3564" s="9">
        <f t="shared" si="26"/>
        <v>71.493027834998472</v>
      </c>
      <c r="E3564" s="9"/>
      <c r="F3564" s="9">
        <f ca="1">IFERROR(__xludf.DUMMYFUNCTION("""COMPUTED_VALUE"""),41743)</f>
        <v>41743</v>
      </c>
      <c r="G3564" s="9" t="str">
        <f ca="1">IFERROR(__xludf.DUMMYFUNCTION("""COMPUTED_VALUE"""),"1 USD = 96.1979 PKR")</f>
        <v>1 USD = 96.1979 PKR</v>
      </c>
      <c r="H3564" s="9" t="str">
        <f ca="1">IFERROR(__xludf.DUMMYFUNCTION("""COMPUTED_VALUE"""),"USD PKR rate for 14/04/2014")</f>
        <v>USD PKR rate for 14/04/2014</v>
      </c>
      <c r="I3564" s="9"/>
    </row>
    <row r="3565" spans="1:9" ht="14.25" customHeight="1" x14ac:dyDescent="0.3">
      <c r="A3565" s="6">
        <v>43282</v>
      </c>
      <c r="B3565" s="7">
        <v>121.6576</v>
      </c>
      <c r="C3565" s="8">
        <f t="shared" si="27"/>
        <v>149.38658556235197</v>
      </c>
      <c r="D3565" s="9">
        <f t="shared" si="26"/>
        <v>71.495765667795737</v>
      </c>
      <c r="E3565" s="9"/>
      <c r="F3565" s="9">
        <f ca="1">IFERROR(__xludf.DUMMYFUNCTION("""COMPUTED_VALUE"""),41742)</f>
        <v>41742</v>
      </c>
      <c r="G3565" s="9" t="str">
        <f ca="1">IFERROR(__xludf.DUMMYFUNCTION("""COMPUTED_VALUE"""),"1 USD = 96.6416 PKR")</f>
        <v>1 USD = 96.6416 PKR</v>
      </c>
      <c r="H3565" s="9" t="str">
        <f ca="1">IFERROR(__xludf.DUMMYFUNCTION("""COMPUTED_VALUE"""),"USD PKR rate for 13/04/2014")</f>
        <v>USD PKR rate for 13/04/2014</v>
      </c>
      <c r="I3565" s="9"/>
    </row>
    <row r="3566" spans="1:9" ht="14.25" customHeight="1" x14ac:dyDescent="0.3">
      <c r="A3566" s="6">
        <v>43283</v>
      </c>
      <c r="B3566" s="7">
        <v>121.6824</v>
      </c>
      <c r="C3566" s="8">
        <f t="shared" si="27"/>
        <v>149.4133033185756</v>
      </c>
      <c r="D3566" s="9">
        <f t="shared" si="26"/>
        <v>71.498503500593017</v>
      </c>
      <c r="E3566" s="9"/>
      <c r="F3566" s="9">
        <f ca="1">IFERROR(__xludf.DUMMYFUNCTION("""COMPUTED_VALUE"""),41741)</f>
        <v>41741</v>
      </c>
      <c r="G3566" s="9" t="str">
        <f ca="1">IFERROR(__xludf.DUMMYFUNCTION("""COMPUTED_VALUE"""),"1 USD = 96.978 PKR")</f>
        <v>1 USD = 96.978 PKR</v>
      </c>
      <c r="H3566" s="9" t="str">
        <f ca="1">IFERROR(__xludf.DUMMYFUNCTION("""COMPUTED_VALUE"""),"USD PKR rate for 12/04/2014")</f>
        <v>USD PKR rate for 12/04/2014</v>
      </c>
      <c r="I3566" s="9"/>
    </row>
    <row r="3567" spans="1:9" ht="14.25" customHeight="1" x14ac:dyDescent="0.3">
      <c r="A3567" s="6">
        <v>43284</v>
      </c>
      <c r="B3567" s="7">
        <v>121.7282</v>
      </c>
      <c r="C3567" s="8">
        <f t="shared" si="27"/>
        <v>149.44002585326373</v>
      </c>
      <c r="D3567" s="9">
        <f t="shared" si="26"/>
        <v>71.501241333390283</v>
      </c>
      <c r="E3567" s="9"/>
      <c r="F3567" s="9">
        <f ca="1">IFERROR(__xludf.DUMMYFUNCTION("""COMPUTED_VALUE"""),41740)</f>
        <v>41740</v>
      </c>
      <c r="G3567" s="9" t="str">
        <f ca="1">IFERROR(__xludf.DUMMYFUNCTION("""COMPUTED_VALUE"""),"1 USD = 97.1041 PKR")</f>
        <v>1 USD = 97.1041 PKR</v>
      </c>
      <c r="H3567" s="9" t="str">
        <f ca="1">IFERROR(__xludf.DUMMYFUNCTION("""COMPUTED_VALUE"""),"USD PKR rate for 11/04/2014")</f>
        <v>USD PKR rate for 11/04/2014</v>
      </c>
      <c r="I3567" s="9"/>
    </row>
    <row r="3568" spans="1:9" ht="14.25" customHeight="1" x14ac:dyDescent="0.3">
      <c r="A3568" s="6">
        <v>43285</v>
      </c>
      <c r="B3568" s="7">
        <v>121.755</v>
      </c>
      <c r="C3568" s="8">
        <f t="shared" si="27"/>
        <v>149.46675316727107</v>
      </c>
      <c r="D3568" s="9">
        <f t="shared" si="26"/>
        <v>71.503979166187548</v>
      </c>
      <c r="E3568" s="9"/>
      <c r="F3568" s="9">
        <f ca="1">IFERROR(__xludf.DUMMYFUNCTION("""COMPUTED_VALUE"""),41739)</f>
        <v>41739</v>
      </c>
      <c r="G3568" s="9" t="str">
        <f ca="1">IFERROR(__xludf.DUMMYFUNCTION("""COMPUTED_VALUE"""),"1 USD = 97.2859 PKR")</f>
        <v>1 USD = 97.2859 PKR</v>
      </c>
      <c r="H3568" s="9" t="str">
        <f ca="1">IFERROR(__xludf.DUMMYFUNCTION("""COMPUTED_VALUE"""),"USD PKR rate for 10/04/2014")</f>
        <v>USD PKR rate for 10/04/2014</v>
      </c>
      <c r="I3568" s="9"/>
    </row>
    <row r="3569" spans="1:9" ht="14.25" customHeight="1" x14ac:dyDescent="0.3">
      <c r="A3569" s="6">
        <v>43286</v>
      </c>
      <c r="B3569" s="7">
        <v>121.5956</v>
      </c>
      <c r="C3569" s="8">
        <f t="shared" si="27"/>
        <v>149.49348526145226</v>
      </c>
      <c r="D3569" s="9">
        <f t="shared" si="26"/>
        <v>71.506716998984814</v>
      </c>
      <c r="E3569" s="9"/>
      <c r="F3569" s="9">
        <f ca="1">IFERROR(__xludf.DUMMYFUNCTION("""COMPUTED_VALUE"""),41738)</f>
        <v>41738</v>
      </c>
      <c r="G3569" s="9" t="str">
        <f ca="1">IFERROR(__xludf.DUMMYFUNCTION("""COMPUTED_VALUE"""),"1 USD = 97.525 PKR")</f>
        <v>1 USD = 97.525 PKR</v>
      </c>
      <c r="H3569" s="9" t="str">
        <f ca="1">IFERROR(__xludf.DUMMYFUNCTION("""COMPUTED_VALUE"""),"USD PKR rate for 09/04/2014")</f>
        <v>USD PKR rate for 09/04/2014</v>
      </c>
      <c r="I3569" s="9"/>
    </row>
    <row r="3570" spans="1:9" ht="14.25" customHeight="1" x14ac:dyDescent="0.3">
      <c r="A3570" s="6">
        <v>43287</v>
      </c>
      <c r="B3570" s="7">
        <v>121.6001</v>
      </c>
      <c r="C3570" s="8">
        <f t="shared" si="27"/>
        <v>149.52022213666234</v>
      </c>
      <c r="D3570" s="9">
        <f t="shared" si="26"/>
        <v>71.50945483178208</v>
      </c>
      <c r="E3570" s="9"/>
      <c r="F3570" s="9">
        <f ca="1">IFERROR(__xludf.DUMMYFUNCTION("""COMPUTED_VALUE"""),41737)</f>
        <v>41737</v>
      </c>
      <c r="G3570" s="9" t="str">
        <f ca="1">IFERROR(__xludf.DUMMYFUNCTION("""COMPUTED_VALUE"""),"1 USD = 97.7465 PKR")</f>
        <v>1 USD = 97.7465 PKR</v>
      </c>
      <c r="H3570" s="9" t="str">
        <f ca="1">IFERROR(__xludf.DUMMYFUNCTION("""COMPUTED_VALUE"""),"USD PKR rate for 08/04/2014")</f>
        <v>USD PKR rate for 08/04/2014</v>
      </c>
      <c r="I3570" s="9"/>
    </row>
    <row r="3571" spans="1:9" ht="14.25" customHeight="1" x14ac:dyDescent="0.3">
      <c r="A3571" s="6">
        <v>43288</v>
      </c>
      <c r="B3571" s="7">
        <v>121.5998</v>
      </c>
      <c r="C3571" s="8">
        <f t="shared" si="27"/>
        <v>149.54696379375633</v>
      </c>
      <c r="D3571" s="9">
        <f t="shared" si="26"/>
        <v>71.512192664579345</v>
      </c>
      <c r="E3571" s="9"/>
      <c r="F3571" s="9">
        <f ca="1">IFERROR(__xludf.DUMMYFUNCTION("""COMPUTED_VALUE"""),41736)</f>
        <v>41736</v>
      </c>
      <c r="G3571" s="9" t="str">
        <f ca="1">IFERROR(__xludf.DUMMYFUNCTION("""COMPUTED_VALUE"""),"1 USD = 98.1423 PKR")</f>
        <v>1 USD = 98.1423 PKR</v>
      </c>
      <c r="H3571" s="9" t="str">
        <f ca="1">IFERROR(__xludf.DUMMYFUNCTION("""COMPUTED_VALUE"""),"USD PKR rate for 07/04/2014")</f>
        <v>USD PKR rate for 07/04/2014</v>
      </c>
      <c r="I3571" s="9"/>
    </row>
    <row r="3572" spans="1:9" ht="14.25" customHeight="1" x14ac:dyDescent="0.3">
      <c r="A3572" s="6">
        <v>43289</v>
      </c>
      <c r="B3572" s="7">
        <v>121.22929999999999</v>
      </c>
      <c r="C3572" s="8">
        <f t="shared" si="27"/>
        <v>149.57371023358951</v>
      </c>
      <c r="D3572" s="9">
        <f t="shared" si="26"/>
        <v>71.514930497376611</v>
      </c>
      <c r="E3572" s="9"/>
      <c r="F3572" s="9">
        <f ca="1">IFERROR(__xludf.DUMMYFUNCTION("""COMPUTED_VALUE"""),41735)</f>
        <v>41735</v>
      </c>
      <c r="G3572" s="9" t="str">
        <f ca="1">IFERROR(__xludf.DUMMYFUNCTION("""COMPUTED_VALUE"""),"1 USD = 98.1192 PKR")</f>
        <v>1 USD = 98.1192 PKR</v>
      </c>
      <c r="H3572" s="9" t="str">
        <f ca="1">IFERROR(__xludf.DUMMYFUNCTION("""COMPUTED_VALUE"""),"USD PKR rate for 06/04/2014")</f>
        <v>USD PKR rate for 06/04/2014</v>
      </c>
      <c r="I3572" s="9"/>
    </row>
    <row r="3573" spans="1:9" ht="14.25" customHeight="1" x14ac:dyDescent="0.3">
      <c r="A3573" s="6">
        <v>43290</v>
      </c>
      <c r="B3573" s="7">
        <v>121.55</v>
      </c>
      <c r="C3573" s="8">
        <f t="shared" si="27"/>
        <v>149.60046145701727</v>
      </c>
      <c r="D3573" s="9">
        <f t="shared" ref="D3573:D3827" si="28">(A3573-$A$3)/365.2524</f>
        <v>71.517668330173876</v>
      </c>
      <c r="E3573" s="9"/>
      <c r="F3573" s="9">
        <f ca="1">IFERROR(__xludf.DUMMYFUNCTION("""COMPUTED_VALUE"""),41734)</f>
        <v>41734</v>
      </c>
      <c r="G3573" s="9" t="str">
        <f ca="1">IFERROR(__xludf.DUMMYFUNCTION("""COMPUTED_VALUE"""),"1 USD = 98.1275 PKR")</f>
        <v>1 USD = 98.1275 PKR</v>
      </c>
      <c r="H3573" s="9" t="str">
        <f ca="1">IFERROR(__xludf.DUMMYFUNCTION("""COMPUTED_VALUE"""),"USD PKR rate for 05/04/2014")</f>
        <v>USD PKR rate for 05/04/2014</v>
      </c>
      <c r="I3573" s="9"/>
    </row>
    <row r="3574" spans="1:9" ht="14.25" customHeight="1" x14ac:dyDescent="0.3">
      <c r="A3574" s="6">
        <v>43291</v>
      </c>
      <c r="B3574" s="7">
        <v>121.5932</v>
      </c>
      <c r="C3574" s="8">
        <f t="shared" ref="C3574:C3828" si="29">(1+$C$1)^D3574*$C$3</f>
        <v>149.62721746489515</v>
      </c>
      <c r="D3574" s="9">
        <f t="shared" si="28"/>
        <v>71.520406162971142</v>
      </c>
      <c r="E3574" s="9"/>
      <c r="F3574" s="9">
        <f ca="1">IFERROR(__xludf.DUMMYFUNCTION("""COMPUTED_VALUE"""),41733)</f>
        <v>41733</v>
      </c>
      <c r="G3574" s="9" t="str">
        <f ca="1">IFERROR(__xludf.DUMMYFUNCTION("""COMPUTED_VALUE"""),"1 USD = 98.1432 PKR")</f>
        <v>1 USD = 98.1432 PKR</v>
      </c>
      <c r="H3574" s="9" t="str">
        <f ca="1">IFERROR(__xludf.DUMMYFUNCTION("""COMPUTED_VALUE"""),"USD PKR rate for 04/04/2014")</f>
        <v>USD PKR rate for 04/04/2014</v>
      </c>
      <c r="I3574" s="9"/>
    </row>
    <row r="3575" spans="1:9" ht="14.25" customHeight="1" x14ac:dyDescent="0.3">
      <c r="A3575" s="6">
        <v>43292</v>
      </c>
      <c r="B3575" s="7">
        <v>121.5522</v>
      </c>
      <c r="C3575" s="8">
        <f t="shared" si="29"/>
        <v>149.65397825807869</v>
      </c>
      <c r="D3575" s="9">
        <f t="shared" si="28"/>
        <v>71.523143995768407</v>
      </c>
      <c r="E3575" s="9"/>
      <c r="F3575" s="9">
        <f ca="1">IFERROR(__xludf.DUMMYFUNCTION("""COMPUTED_VALUE"""),41732)</f>
        <v>41732</v>
      </c>
      <c r="G3575" s="9" t="str">
        <f ca="1">IFERROR(__xludf.DUMMYFUNCTION("""COMPUTED_VALUE"""),"1 USD = 98.1601 PKR")</f>
        <v>1 USD = 98.1601 PKR</v>
      </c>
      <c r="H3575" s="9" t="str">
        <f ca="1">IFERROR(__xludf.DUMMYFUNCTION("""COMPUTED_VALUE"""),"USD PKR rate for 03/04/2014")</f>
        <v>USD PKR rate for 03/04/2014</v>
      </c>
      <c r="I3575" s="9"/>
    </row>
    <row r="3576" spans="1:9" ht="14.25" customHeight="1" x14ac:dyDescent="0.3">
      <c r="A3576" s="6">
        <v>43293</v>
      </c>
      <c r="B3576" s="7">
        <v>121.5467</v>
      </c>
      <c r="C3576" s="8">
        <f t="shared" si="29"/>
        <v>149.68074383742402</v>
      </c>
      <c r="D3576" s="9">
        <f t="shared" si="28"/>
        <v>71.525881828565673</v>
      </c>
      <c r="E3576" s="9"/>
      <c r="F3576" s="9">
        <f ca="1">IFERROR(__xludf.DUMMYFUNCTION("""COMPUTED_VALUE"""),41731)</f>
        <v>41731</v>
      </c>
      <c r="G3576" s="9" t="str">
        <f ca="1">IFERROR(__xludf.DUMMYFUNCTION("""COMPUTED_VALUE"""),"1 USD = 98.1823 PKR")</f>
        <v>1 USD = 98.1823 PKR</v>
      </c>
      <c r="H3576" s="9" t="str">
        <f ca="1">IFERROR(__xludf.DUMMYFUNCTION("""COMPUTED_VALUE"""),"USD PKR rate for 02/04/2014")</f>
        <v>USD PKR rate for 02/04/2014</v>
      </c>
      <c r="I3576" s="9"/>
    </row>
    <row r="3577" spans="1:9" ht="14.25" customHeight="1" x14ac:dyDescent="0.3">
      <c r="A3577" s="6">
        <v>43294</v>
      </c>
      <c r="B3577" s="7">
        <v>121.5498</v>
      </c>
      <c r="C3577" s="8">
        <f t="shared" si="29"/>
        <v>149.70751420378701</v>
      </c>
      <c r="D3577" s="9">
        <f t="shared" si="28"/>
        <v>71.528619661362939</v>
      </c>
      <c r="E3577" s="9"/>
      <c r="F3577" s="9">
        <f ca="1">IFERROR(__xludf.DUMMYFUNCTION("""COMPUTED_VALUE"""),41730)</f>
        <v>41730</v>
      </c>
      <c r="G3577" s="9" t="str">
        <f ca="1">IFERROR(__xludf.DUMMYFUNCTION("""COMPUTED_VALUE"""),"1 USD = 98.186 PKR")</f>
        <v>1 USD = 98.186 PKR</v>
      </c>
      <c r="H3577" s="9" t="str">
        <f ca="1">IFERROR(__xludf.DUMMYFUNCTION("""COMPUTED_VALUE"""),"USD PKR rate for 01/04/2014")</f>
        <v>USD PKR rate for 01/04/2014</v>
      </c>
      <c r="I3577" s="9"/>
    </row>
    <row r="3578" spans="1:9" ht="14.25" customHeight="1" x14ac:dyDescent="0.3">
      <c r="A3578" s="6">
        <v>43295</v>
      </c>
      <c r="B3578" s="7">
        <v>121.5479</v>
      </c>
      <c r="C3578" s="8">
        <f t="shared" si="29"/>
        <v>149.73428935802383</v>
      </c>
      <c r="D3578" s="9">
        <f t="shared" si="28"/>
        <v>71.531357494160204</v>
      </c>
      <c r="E3578" s="9"/>
      <c r="F3578" s="9">
        <f ca="1">IFERROR(__xludf.DUMMYFUNCTION("""COMPUTED_VALUE"""),41729)</f>
        <v>41729</v>
      </c>
      <c r="G3578" s="9" t="str">
        <f ca="1">IFERROR(__xludf.DUMMYFUNCTION("""COMPUTED_VALUE"""),"1 USD = 98.1267 PKR")</f>
        <v>1 USD = 98.1267 PKR</v>
      </c>
      <c r="H3578" s="9" t="str">
        <f ca="1">IFERROR(__xludf.DUMMYFUNCTION("""COMPUTED_VALUE"""),"USD PKR rate for 31/03/2014")</f>
        <v>USD PKR rate for 31/03/2014</v>
      </c>
      <c r="I3578" s="9"/>
    </row>
    <row r="3579" spans="1:9" ht="14.25" customHeight="1" x14ac:dyDescent="0.3">
      <c r="A3579" s="6">
        <v>43296</v>
      </c>
      <c r="B3579" s="7">
        <v>121.64700000000001</v>
      </c>
      <c r="C3579" s="8">
        <f t="shared" si="29"/>
        <v>149.76106930099078</v>
      </c>
      <c r="D3579" s="9">
        <f t="shared" si="28"/>
        <v>71.53409532695747</v>
      </c>
      <c r="E3579" s="9"/>
      <c r="F3579" s="9">
        <f ca="1">IFERROR(__xludf.DUMMYFUNCTION("""COMPUTED_VALUE"""),41728)</f>
        <v>41728</v>
      </c>
      <c r="G3579" s="9" t="str">
        <f ca="1">IFERROR(__xludf.DUMMYFUNCTION("""COMPUTED_VALUE"""),"1 USD = 97.9853 PKR")</f>
        <v>1 USD = 97.9853 PKR</v>
      </c>
      <c r="H3579" s="9" t="str">
        <f ca="1">IFERROR(__xludf.DUMMYFUNCTION("""COMPUTED_VALUE"""),"USD PKR rate for 30/03/2014")</f>
        <v>USD PKR rate for 30/03/2014</v>
      </c>
      <c r="I3579" s="9"/>
    </row>
    <row r="3580" spans="1:9" ht="14.25" customHeight="1" x14ac:dyDescent="0.3">
      <c r="A3580" s="6">
        <v>43297</v>
      </c>
      <c r="B3580" s="7">
        <v>121.5121</v>
      </c>
      <c r="C3580" s="8">
        <f t="shared" si="29"/>
        <v>149.78785403354436</v>
      </c>
      <c r="D3580" s="9">
        <f t="shared" si="28"/>
        <v>71.536833159754735</v>
      </c>
      <c r="E3580" s="9"/>
      <c r="F3580" s="9">
        <f ca="1">IFERROR(__xludf.DUMMYFUNCTION("""COMPUTED_VALUE"""),41727)</f>
        <v>41727</v>
      </c>
      <c r="G3580" s="9" t="str">
        <f ca="1">IFERROR(__xludf.DUMMYFUNCTION("""COMPUTED_VALUE"""),"1 USD = 98.0477 PKR")</f>
        <v>1 USD = 98.0477 PKR</v>
      </c>
      <c r="H3580" s="9" t="str">
        <f ca="1">IFERROR(__xludf.DUMMYFUNCTION("""COMPUTED_VALUE"""),"USD PKR rate for 29/03/2014")</f>
        <v>USD PKR rate for 29/03/2014</v>
      </c>
      <c r="I3580" s="9"/>
    </row>
    <row r="3581" spans="1:9" ht="14.25" customHeight="1" x14ac:dyDescent="0.3">
      <c r="A3581" s="6">
        <v>43298</v>
      </c>
      <c r="B3581" s="7">
        <v>127.3635</v>
      </c>
      <c r="C3581" s="8">
        <f t="shared" si="29"/>
        <v>149.81464355654111</v>
      </c>
      <c r="D3581" s="9">
        <f t="shared" si="28"/>
        <v>71.539570992552001</v>
      </c>
      <c r="E3581" s="9"/>
      <c r="F3581" s="9">
        <f ca="1">IFERROR(__xludf.DUMMYFUNCTION("""COMPUTED_VALUE"""),41726)</f>
        <v>41726</v>
      </c>
      <c r="G3581" s="9" t="str">
        <f ca="1">IFERROR(__xludf.DUMMYFUNCTION("""COMPUTED_VALUE"""),"1 USD = 98.0305 PKR")</f>
        <v>1 USD = 98.0305 PKR</v>
      </c>
      <c r="H3581" s="9" t="str">
        <f ca="1">IFERROR(__xludf.DUMMYFUNCTION("""COMPUTED_VALUE"""),"USD PKR rate for 28/03/2014")</f>
        <v>USD PKR rate for 28/03/2014</v>
      </c>
      <c r="I3581" s="9"/>
    </row>
    <row r="3582" spans="1:9" ht="14.25" customHeight="1" x14ac:dyDescent="0.3">
      <c r="A3582" s="6">
        <v>43299</v>
      </c>
      <c r="B3582" s="7">
        <v>127.6551</v>
      </c>
      <c r="C3582" s="8">
        <f t="shared" si="29"/>
        <v>149.84143787083786</v>
      </c>
      <c r="D3582" s="9">
        <f t="shared" si="28"/>
        <v>71.542308825349266</v>
      </c>
      <c r="E3582" s="9"/>
      <c r="F3582" s="9">
        <f ca="1">IFERROR(__xludf.DUMMYFUNCTION("""COMPUTED_VALUE"""),41725)</f>
        <v>41725</v>
      </c>
      <c r="G3582" s="9" t="str">
        <f ca="1">IFERROR(__xludf.DUMMYFUNCTION("""COMPUTED_VALUE"""),"1 USD = 97.8685 PKR")</f>
        <v>1 USD = 97.8685 PKR</v>
      </c>
      <c r="H3582" s="9" t="str">
        <f ca="1">IFERROR(__xludf.DUMMYFUNCTION("""COMPUTED_VALUE"""),"USD PKR rate for 27/03/2014")</f>
        <v>USD PKR rate for 27/03/2014</v>
      </c>
      <c r="I3582" s="9"/>
    </row>
    <row r="3583" spans="1:9" ht="14.25" customHeight="1" x14ac:dyDescent="0.3">
      <c r="A3583" s="6">
        <v>43300</v>
      </c>
      <c r="B3583" s="7">
        <v>128.88</v>
      </c>
      <c r="C3583" s="8">
        <f t="shared" si="29"/>
        <v>149.86823697729153</v>
      </c>
      <c r="D3583" s="9">
        <f t="shared" si="28"/>
        <v>71.545046658146532</v>
      </c>
      <c r="E3583" s="9"/>
      <c r="F3583" s="9">
        <f ca="1">IFERROR(__xludf.DUMMYFUNCTION("""COMPUTED_VALUE"""),41724)</f>
        <v>41724</v>
      </c>
      <c r="G3583" s="9" t="str">
        <f ca="1">IFERROR(__xludf.DUMMYFUNCTION("""COMPUTED_VALUE"""),"1 USD = 97.8658 PKR")</f>
        <v>1 USD = 97.8658 PKR</v>
      </c>
      <c r="H3583" s="9" t="str">
        <f ca="1">IFERROR(__xludf.DUMMYFUNCTION("""COMPUTED_VALUE"""),"USD PKR rate for 26/03/2014")</f>
        <v>USD PKR rate for 26/03/2014</v>
      </c>
      <c r="I3583" s="9"/>
    </row>
    <row r="3584" spans="1:9" ht="14.25" customHeight="1" x14ac:dyDescent="0.3">
      <c r="A3584" s="6">
        <v>43301</v>
      </c>
      <c r="B3584" s="7">
        <v>128.5</v>
      </c>
      <c r="C3584" s="8">
        <f t="shared" si="29"/>
        <v>149.89504087675917</v>
      </c>
      <c r="D3584" s="9">
        <f t="shared" si="28"/>
        <v>71.547784490943798</v>
      </c>
      <c r="E3584" s="9"/>
      <c r="F3584" s="9">
        <f ca="1">IFERROR(__xludf.DUMMYFUNCTION("""COMPUTED_VALUE"""),41723)</f>
        <v>41723</v>
      </c>
      <c r="G3584" s="9" t="str">
        <f ca="1">IFERROR(__xludf.DUMMYFUNCTION("""COMPUTED_VALUE"""),"1 USD = 97.6086 PKR")</f>
        <v>1 USD = 97.6086 PKR</v>
      </c>
      <c r="H3584" s="9" t="str">
        <f ca="1">IFERROR(__xludf.DUMMYFUNCTION("""COMPUTED_VALUE"""),"USD PKR rate for 25/03/2014")</f>
        <v>USD PKR rate for 25/03/2014</v>
      </c>
      <c r="I3584" s="9"/>
    </row>
    <row r="3585" spans="1:9" ht="14.25" customHeight="1" x14ac:dyDescent="0.3">
      <c r="A3585" s="6">
        <v>43302</v>
      </c>
      <c r="B3585" s="7">
        <v>128.31549999999999</v>
      </c>
      <c r="C3585" s="8">
        <f t="shared" si="29"/>
        <v>149.92184957009789</v>
      </c>
      <c r="D3585" s="9">
        <f t="shared" si="28"/>
        <v>71.550522323741063</v>
      </c>
      <c r="E3585" s="9"/>
      <c r="F3585" s="9">
        <f ca="1">IFERROR(__xludf.DUMMYFUNCTION("""COMPUTED_VALUE"""),41722)</f>
        <v>41722</v>
      </c>
      <c r="G3585" s="9" t="str">
        <f ca="1">IFERROR(__xludf.DUMMYFUNCTION("""COMPUTED_VALUE"""),"1 USD = 97.8919 PKR")</f>
        <v>1 USD = 97.8919 PKR</v>
      </c>
      <c r="H3585" s="9" t="str">
        <f ca="1">IFERROR(__xludf.DUMMYFUNCTION("""COMPUTED_VALUE"""),"USD PKR rate for 24/03/2014")</f>
        <v>USD PKR rate for 24/03/2014</v>
      </c>
      <c r="I3585" s="9"/>
    </row>
    <row r="3586" spans="1:9" ht="14.25" customHeight="1" x14ac:dyDescent="0.3">
      <c r="A3586" s="6">
        <v>43303</v>
      </c>
      <c r="B3586" s="7">
        <v>128.3134</v>
      </c>
      <c r="C3586" s="8">
        <f t="shared" si="29"/>
        <v>149.94866305816532</v>
      </c>
      <c r="D3586" s="9">
        <f t="shared" si="28"/>
        <v>71.553260156538329</v>
      </c>
      <c r="E3586" s="9"/>
      <c r="F3586" s="9">
        <f ca="1">IFERROR(__xludf.DUMMYFUNCTION("""COMPUTED_VALUE"""),41721)</f>
        <v>41721</v>
      </c>
      <c r="G3586" s="9" t="str">
        <f ca="1">IFERROR(__xludf.DUMMYFUNCTION("""COMPUTED_VALUE"""),"1 USD = 97.9449 PKR")</f>
        <v>1 USD = 97.9449 PKR</v>
      </c>
      <c r="H3586" s="9" t="str">
        <f ca="1">IFERROR(__xludf.DUMMYFUNCTION("""COMPUTED_VALUE"""),"USD PKR rate for 23/03/2014")</f>
        <v>USD PKR rate for 23/03/2014</v>
      </c>
      <c r="I3586" s="9"/>
    </row>
    <row r="3587" spans="1:9" ht="14.25" customHeight="1" x14ac:dyDescent="0.3">
      <c r="A3587" s="6">
        <v>43304</v>
      </c>
      <c r="B3587" s="7">
        <v>129.1867</v>
      </c>
      <c r="C3587" s="8">
        <f t="shared" si="29"/>
        <v>149.97548134181889</v>
      </c>
      <c r="D3587" s="9">
        <f t="shared" si="28"/>
        <v>71.555997989335594</v>
      </c>
      <c r="E3587" s="9"/>
      <c r="F3587" s="9">
        <f ca="1">IFERROR(__xludf.DUMMYFUNCTION("""COMPUTED_VALUE"""),41720)</f>
        <v>41720</v>
      </c>
      <c r="G3587" s="9" t="str">
        <f ca="1">IFERROR(__xludf.DUMMYFUNCTION("""COMPUTED_VALUE"""),"1 USD = 98.0765 PKR")</f>
        <v>1 USD = 98.0765 PKR</v>
      </c>
      <c r="H3587" s="9" t="str">
        <f ca="1">IFERROR(__xludf.DUMMYFUNCTION("""COMPUTED_VALUE"""),"USD PKR rate for 22/03/2014")</f>
        <v>USD PKR rate for 22/03/2014</v>
      </c>
      <c r="I3587" s="9"/>
    </row>
    <row r="3588" spans="1:9" ht="14.25" customHeight="1" x14ac:dyDescent="0.3">
      <c r="A3588" s="6">
        <v>43305</v>
      </c>
      <c r="B3588" s="7">
        <v>129.1575</v>
      </c>
      <c r="C3588" s="8">
        <f t="shared" si="29"/>
        <v>150.00230442191628</v>
      </c>
      <c r="D3588" s="9">
        <f t="shared" si="28"/>
        <v>71.55873582213286</v>
      </c>
      <c r="E3588" s="9"/>
      <c r="F3588" s="9">
        <f ca="1">IFERROR(__xludf.DUMMYFUNCTION("""COMPUTED_VALUE"""),41719)</f>
        <v>41719</v>
      </c>
      <c r="G3588" s="9" t="str">
        <f ca="1">IFERROR(__xludf.DUMMYFUNCTION("""COMPUTED_VALUE"""),"1 USD = 98.1972 PKR")</f>
        <v>1 USD = 98.1972 PKR</v>
      </c>
      <c r="H3588" s="9" t="str">
        <f ca="1">IFERROR(__xludf.DUMMYFUNCTION("""COMPUTED_VALUE"""),"USD PKR rate for 21/03/2014")</f>
        <v>USD PKR rate for 21/03/2014</v>
      </c>
      <c r="I3588" s="9"/>
    </row>
    <row r="3589" spans="1:9" ht="14.25" customHeight="1" x14ac:dyDescent="0.3">
      <c r="A3589" s="6">
        <v>43306</v>
      </c>
      <c r="B3589" s="7">
        <v>129.1189</v>
      </c>
      <c r="C3589" s="8">
        <f t="shared" si="29"/>
        <v>150.02913229931534</v>
      </c>
      <c r="D3589" s="9">
        <f t="shared" si="28"/>
        <v>71.561473654930126</v>
      </c>
      <c r="E3589" s="9"/>
      <c r="F3589" s="9">
        <f ca="1">IFERROR(__xludf.DUMMYFUNCTION("""COMPUTED_VALUE"""),41718)</f>
        <v>41718</v>
      </c>
      <c r="G3589" s="9" t="str">
        <f ca="1">IFERROR(__xludf.DUMMYFUNCTION("""COMPUTED_VALUE"""),"1 USD = 98.2707 PKR")</f>
        <v>1 USD = 98.2707 PKR</v>
      </c>
      <c r="H3589" s="9" t="str">
        <f ca="1">IFERROR(__xludf.DUMMYFUNCTION("""COMPUTED_VALUE"""),"USD PKR rate for 20/03/2014")</f>
        <v>USD PKR rate for 20/03/2014</v>
      </c>
      <c r="I3589" s="9"/>
    </row>
    <row r="3590" spans="1:9" ht="14.25" customHeight="1" x14ac:dyDescent="0.3">
      <c r="A3590" s="6">
        <v>43307</v>
      </c>
      <c r="B3590" s="7">
        <v>129.0044</v>
      </c>
      <c r="C3590" s="8">
        <f t="shared" si="29"/>
        <v>150.05596497487406</v>
      </c>
      <c r="D3590" s="9">
        <f t="shared" si="28"/>
        <v>71.564211487727391</v>
      </c>
      <c r="E3590" s="9"/>
      <c r="F3590" s="9">
        <f ca="1">IFERROR(__xludf.DUMMYFUNCTION("""COMPUTED_VALUE"""),41717)</f>
        <v>41717</v>
      </c>
      <c r="G3590" s="9" t="str">
        <f ca="1">IFERROR(__xludf.DUMMYFUNCTION("""COMPUTED_VALUE"""),"1 USD = 98.7987 PKR")</f>
        <v>1 USD = 98.7987 PKR</v>
      </c>
      <c r="H3590" s="9" t="str">
        <f ca="1">IFERROR(__xludf.DUMMYFUNCTION("""COMPUTED_VALUE"""),"USD PKR rate for 19/03/2014")</f>
        <v>USD PKR rate for 19/03/2014</v>
      </c>
      <c r="I3590" s="9"/>
    </row>
    <row r="3591" spans="1:9" ht="14.25" customHeight="1" x14ac:dyDescent="0.3">
      <c r="A3591" s="6">
        <v>43308</v>
      </c>
      <c r="B3591" s="7">
        <v>128.99979999999999</v>
      </c>
      <c r="C3591" s="8">
        <f t="shared" si="29"/>
        <v>150.08280244945058</v>
      </c>
      <c r="D3591" s="9">
        <f t="shared" si="28"/>
        <v>71.566949320524657</v>
      </c>
      <c r="E3591" s="9"/>
      <c r="F3591" s="9">
        <f ca="1">IFERROR(__xludf.DUMMYFUNCTION("""COMPUTED_VALUE"""),41716)</f>
        <v>41716</v>
      </c>
      <c r="G3591" s="9" t="str">
        <f ca="1">IFERROR(__xludf.DUMMYFUNCTION("""COMPUTED_VALUE"""),"1 USD = 99.0403 PKR")</f>
        <v>1 USD = 99.0403 PKR</v>
      </c>
      <c r="H3591" s="9" t="str">
        <f ca="1">IFERROR(__xludf.DUMMYFUNCTION("""COMPUTED_VALUE"""),"USD PKR rate for 18/03/2014")</f>
        <v>USD PKR rate for 18/03/2014</v>
      </c>
      <c r="I3591" s="9"/>
    </row>
    <row r="3592" spans="1:9" ht="14.25" customHeight="1" x14ac:dyDescent="0.3">
      <c r="A3592" s="6">
        <v>43309</v>
      </c>
      <c r="B3592" s="7">
        <v>128.99979999999999</v>
      </c>
      <c r="C3592" s="8">
        <f t="shared" si="29"/>
        <v>150.10964472390322</v>
      </c>
      <c r="D3592" s="9">
        <f t="shared" si="28"/>
        <v>71.569687153321922</v>
      </c>
      <c r="E3592" s="9"/>
      <c r="F3592" s="9">
        <f ca="1">IFERROR(__xludf.DUMMYFUNCTION("""COMPUTED_VALUE"""),41715)</f>
        <v>41715</v>
      </c>
      <c r="G3592" s="9" t="str">
        <f ca="1">IFERROR(__xludf.DUMMYFUNCTION("""COMPUTED_VALUE"""),"1 USD = 99.1295 PKR")</f>
        <v>1 USD = 99.1295 PKR</v>
      </c>
      <c r="H3592" s="9" t="str">
        <f ca="1">IFERROR(__xludf.DUMMYFUNCTION("""COMPUTED_VALUE"""),"USD PKR rate for 17/03/2014")</f>
        <v>USD PKR rate for 17/03/2014</v>
      </c>
      <c r="I3592" s="9"/>
    </row>
    <row r="3593" spans="1:9" ht="14.25" customHeight="1" x14ac:dyDescent="0.3">
      <c r="A3593" s="6">
        <v>43310</v>
      </c>
      <c r="B3593" s="7">
        <v>128.5333</v>
      </c>
      <c r="C3593" s="8">
        <f t="shared" si="29"/>
        <v>150.13649179909041</v>
      </c>
      <c r="D3593" s="9">
        <f t="shared" si="28"/>
        <v>71.572424986119188</v>
      </c>
      <c r="E3593" s="9"/>
      <c r="F3593" s="9">
        <f ca="1">IFERROR(__xludf.DUMMYFUNCTION("""COMPUTED_VALUE"""),41714)</f>
        <v>41714</v>
      </c>
      <c r="G3593" s="9" t="str">
        <f ca="1">IFERROR(__xludf.DUMMYFUNCTION("""COMPUTED_VALUE"""),"1 USD = 99.2056 PKR")</f>
        <v>1 USD = 99.2056 PKR</v>
      </c>
      <c r="H3593" s="9" t="str">
        <f ca="1">IFERROR(__xludf.DUMMYFUNCTION("""COMPUTED_VALUE"""),"USD PKR rate for 16/03/2014")</f>
        <v>USD PKR rate for 16/03/2014</v>
      </c>
      <c r="I3593" s="9"/>
    </row>
    <row r="3594" spans="1:9" ht="14.25" customHeight="1" x14ac:dyDescent="0.3">
      <c r="A3594" s="6">
        <v>43311</v>
      </c>
      <c r="B3594" s="7">
        <v>121.5767</v>
      </c>
      <c r="C3594" s="8">
        <f t="shared" si="29"/>
        <v>150.16334367587064</v>
      </c>
      <c r="D3594" s="9">
        <f t="shared" si="28"/>
        <v>71.575162818916453</v>
      </c>
      <c r="E3594" s="9"/>
      <c r="F3594" s="9">
        <f ca="1">IFERROR(__xludf.DUMMYFUNCTION("""COMPUTED_VALUE"""),41713)</f>
        <v>41713</v>
      </c>
      <c r="G3594" s="9" t="str">
        <f ca="1">IFERROR(__xludf.DUMMYFUNCTION("""COMPUTED_VALUE"""),"1 USD = 99.2823 PKR")</f>
        <v>1 USD = 99.2823 PKR</v>
      </c>
      <c r="H3594" s="9" t="str">
        <f ca="1">IFERROR(__xludf.DUMMYFUNCTION("""COMPUTED_VALUE"""),"USD PKR rate for 15/03/2014")</f>
        <v>USD PKR rate for 15/03/2014</v>
      </c>
      <c r="I3594" s="9"/>
    </row>
    <row r="3595" spans="1:9" ht="14.25" customHeight="1" x14ac:dyDescent="0.3">
      <c r="A3595" s="6">
        <v>43312</v>
      </c>
      <c r="B3595" s="7">
        <v>123.48340000000002</v>
      </c>
      <c r="C3595" s="8">
        <f t="shared" si="29"/>
        <v>150.19020035510297</v>
      </c>
      <c r="D3595" s="9">
        <f t="shared" si="28"/>
        <v>71.577900651713719</v>
      </c>
      <c r="E3595" s="9"/>
      <c r="F3595" s="9">
        <f ca="1">IFERROR(__xludf.DUMMYFUNCTION("""COMPUTED_VALUE"""),41712)</f>
        <v>41712</v>
      </c>
      <c r="G3595" s="9" t="str">
        <f ca="1">IFERROR(__xludf.DUMMYFUNCTION("""COMPUTED_VALUE"""),"1 USD = 99.0114 PKR")</f>
        <v>1 USD = 99.0114 PKR</v>
      </c>
      <c r="H3595" s="9" t="str">
        <f ca="1">IFERROR(__xludf.DUMMYFUNCTION("""COMPUTED_VALUE"""),"USD PKR rate for 14/03/2014")</f>
        <v>USD PKR rate for 14/03/2014</v>
      </c>
      <c r="I3595" s="9"/>
    </row>
    <row r="3596" spans="1:9" ht="14.25" customHeight="1" x14ac:dyDescent="0.3">
      <c r="A3596" s="6">
        <v>43313</v>
      </c>
      <c r="B3596" s="7">
        <v>123.4971</v>
      </c>
      <c r="C3596" s="8">
        <f t="shared" si="29"/>
        <v>150.21706183764616</v>
      </c>
      <c r="D3596" s="9">
        <f t="shared" si="28"/>
        <v>71.580638484510985</v>
      </c>
      <c r="E3596" s="9"/>
      <c r="F3596" s="9">
        <f ca="1">IFERROR(__xludf.DUMMYFUNCTION("""COMPUTED_VALUE"""),41711)</f>
        <v>41711</v>
      </c>
      <c r="G3596" s="9" t="str">
        <f ca="1">IFERROR(__xludf.DUMMYFUNCTION("""COMPUTED_VALUE"""),"1 USD = 98.959 PKR")</f>
        <v>1 USD = 98.959 PKR</v>
      </c>
      <c r="H3596" s="9" t="str">
        <f ca="1">IFERROR(__xludf.DUMMYFUNCTION("""COMPUTED_VALUE"""),"USD PKR rate for 13/03/2014")</f>
        <v>USD PKR rate for 13/03/2014</v>
      </c>
      <c r="I3596" s="9"/>
    </row>
    <row r="3597" spans="1:9" ht="14.25" customHeight="1" x14ac:dyDescent="0.3">
      <c r="A3597" s="6">
        <v>43314</v>
      </c>
      <c r="B3597" s="7">
        <v>123.15430000000001</v>
      </c>
      <c r="C3597" s="8">
        <f t="shared" si="29"/>
        <v>150.24392812435926</v>
      </c>
      <c r="D3597" s="9">
        <f t="shared" si="28"/>
        <v>71.58337631730825</v>
      </c>
      <c r="E3597" s="9"/>
      <c r="F3597" s="9">
        <f ca="1">IFERROR(__xludf.DUMMYFUNCTION("""COMPUTED_VALUE"""),41710)</f>
        <v>41710</v>
      </c>
      <c r="G3597" s="9" t="str">
        <f ca="1">IFERROR(__xludf.DUMMYFUNCTION("""COMPUTED_VALUE"""),"1 USD = 98.4954 PKR")</f>
        <v>1 USD = 98.4954 PKR</v>
      </c>
      <c r="H3597" s="9" t="str">
        <f ca="1">IFERROR(__xludf.DUMMYFUNCTION("""COMPUTED_VALUE"""),"USD PKR rate for 12/03/2014")</f>
        <v>USD PKR rate for 12/03/2014</v>
      </c>
      <c r="I3597" s="9"/>
    </row>
    <row r="3598" spans="1:9" ht="14.25" customHeight="1" x14ac:dyDescent="0.3">
      <c r="A3598" s="6">
        <v>43315</v>
      </c>
      <c r="B3598" s="7">
        <v>124.10000000000001</v>
      </c>
      <c r="C3598" s="8">
        <f t="shared" si="29"/>
        <v>150.27079921610152</v>
      </c>
      <c r="D3598" s="9">
        <f t="shared" si="28"/>
        <v>71.586114150105516</v>
      </c>
      <c r="E3598" s="9"/>
      <c r="F3598" s="9">
        <f ca="1">IFERROR(__xludf.DUMMYFUNCTION("""COMPUTED_VALUE"""),41709)</f>
        <v>41709</v>
      </c>
      <c r="G3598" s="9" t="str">
        <f ca="1">IFERROR(__xludf.DUMMYFUNCTION("""COMPUTED_VALUE"""),"1 USD = 100.3519 PKR")</f>
        <v>1 USD = 100.3519 PKR</v>
      </c>
      <c r="H3598" s="9" t="str">
        <f ca="1">IFERROR(__xludf.DUMMYFUNCTION("""COMPUTED_VALUE"""),"USD PKR rate for 11/03/2014")</f>
        <v>USD PKR rate for 11/03/2014</v>
      </c>
      <c r="I3598" s="9"/>
    </row>
    <row r="3599" spans="1:9" ht="14.25" customHeight="1" x14ac:dyDescent="0.3">
      <c r="A3599" s="6">
        <v>43316</v>
      </c>
      <c r="B3599" s="7">
        <v>124.10000000000001</v>
      </c>
      <c r="C3599" s="8">
        <f t="shared" si="29"/>
        <v>150.29767511373231</v>
      </c>
      <c r="D3599" s="9">
        <f t="shared" si="28"/>
        <v>71.588851982902781</v>
      </c>
      <c r="E3599" s="9"/>
      <c r="F3599" s="9">
        <f ca="1">IFERROR(__xludf.DUMMYFUNCTION("""COMPUTED_VALUE"""),41708)</f>
        <v>41708</v>
      </c>
      <c r="G3599" s="9" t="str">
        <f ca="1">IFERROR(__xludf.DUMMYFUNCTION("""COMPUTED_VALUE"""),"1 USD = 101.381 PKR")</f>
        <v>1 USD = 101.381 PKR</v>
      </c>
      <c r="H3599" s="9" t="str">
        <f ca="1">IFERROR(__xludf.DUMMYFUNCTION("""COMPUTED_VALUE"""),"USD PKR rate for 10/03/2014")</f>
        <v>USD PKR rate for 10/03/2014</v>
      </c>
      <c r="I3599" s="9"/>
    </row>
    <row r="3600" spans="1:9" ht="14.25" customHeight="1" x14ac:dyDescent="0.3">
      <c r="A3600" s="6">
        <v>43317</v>
      </c>
      <c r="B3600" s="7">
        <v>123.3475</v>
      </c>
      <c r="C3600" s="8">
        <f t="shared" si="29"/>
        <v>150.32455581811118</v>
      </c>
      <c r="D3600" s="9">
        <f t="shared" si="28"/>
        <v>71.591589815700047</v>
      </c>
      <c r="E3600" s="9"/>
      <c r="F3600" s="9">
        <f ca="1">IFERROR(__xludf.DUMMYFUNCTION("""COMPUTED_VALUE"""),41707)</f>
        <v>41707</v>
      </c>
      <c r="G3600" s="9" t="str">
        <f ca="1">IFERROR(__xludf.DUMMYFUNCTION("""COMPUTED_VALUE"""),"1 USD = 102.9732 PKR")</f>
        <v>1 USD = 102.9732 PKR</v>
      </c>
      <c r="H3600" s="9" t="str">
        <f ca="1">IFERROR(__xludf.DUMMYFUNCTION("""COMPUTED_VALUE"""),"USD PKR rate for 09/03/2014")</f>
        <v>USD PKR rate for 09/03/2014</v>
      </c>
      <c r="I3600" s="9"/>
    </row>
    <row r="3601" spans="1:9" ht="14.25" customHeight="1" x14ac:dyDescent="0.3">
      <c r="A3601" s="6">
        <v>43318</v>
      </c>
      <c r="B3601" s="7">
        <v>124.122</v>
      </c>
      <c r="C3601" s="8">
        <f t="shared" si="29"/>
        <v>150.3514413300978</v>
      </c>
      <c r="D3601" s="9">
        <f t="shared" si="28"/>
        <v>71.594327648497313</v>
      </c>
      <c r="E3601" s="9"/>
      <c r="F3601" s="9">
        <f ca="1">IFERROR(__xludf.DUMMYFUNCTION("""COMPUTED_VALUE"""),41706)</f>
        <v>41706</v>
      </c>
      <c r="G3601" s="9" t="str">
        <f ca="1">IFERROR(__xludf.DUMMYFUNCTION("""COMPUTED_VALUE"""),"1 USD = 102.9812 PKR")</f>
        <v>1 USD = 102.9812 PKR</v>
      </c>
      <c r="H3601" s="9" t="str">
        <f ca="1">IFERROR(__xludf.DUMMYFUNCTION("""COMPUTED_VALUE"""),"USD PKR rate for 08/03/2014")</f>
        <v>USD PKR rate for 08/03/2014</v>
      </c>
      <c r="I3601" s="9"/>
    </row>
    <row r="3602" spans="1:9" ht="14.25" customHeight="1" x14ac:dyDescent="0.3">
      <c r="A3602" s="6">
        <v>43319</v>
      </c>
      <c r="B3602" s="7">
        <v>123.50690000000002</v>
      </c>
      <c r="C3602" s="8">
        <f t="shared" si="29"/>
        <v>150.37833165055198</v>
      </c>
      <c r="D3602" s="9">
        <f t="shared" si="28"/>
        <v>71.597065481294578</v>
      </c>
      <c r="E3602" s="9"/>
      <c r="F3602" s="9">
        <f ca="1">IFERROR(__xludf.DUMMYFUNCTION("""COMPUTED_VALUE"""),41705)</f>
        <v>41705</v>
      </c>
      <c r="G3602" s="9" t="str">
        <f ca="1">IFERROR(__xludf.DUMMYFUNCTION("""COMPUTED_VALUE"""),"1 USD = 103.1895 PKR")</f>
        <v>1 USD = 103.1895 PKR</v>
      </c>
      <c r="H3602" s="9" t="str">
        <f ca="1">IFERROR(__xludf.DUMMYFUNCTION("""COMPUTED_VALUE"""),"USD PKR rate for 07/03/2014")</f>
        <v>USD PKR rate for 07/03/2014</v>
      </c>
      <c r="I3602" s="9"/>
    </row>
    <row r="3603" spans="1:9" ht="14.25" customHeight="1" x14ac:dyDescent="0.3">
      <c r="A3603" s="6">
        <v>43320</v>
      </c>
      <c r="B3603" s="7">
        <v>123.51290000000002</v>
      </c>
      <c r="C3603" s="8">
        <f t="shared" si="29"/>
        <v>150.40522678033363</v>
      </c>
      <c r="D3603" s="9">
        <f t="shared" si="28"/>
        <v>71.599803314091844</v>
      </c>
      <c r="E3603" s="9"/>
      <c r="F3603" s="9">
        <f ca="1">IFERROR(__xludf.DUMMYFUNCTION("""COMPUTED_VALUE"""),41704)</f>
        <v>41704</v>
      </c>
      <c r="G3603" s="9" t="str">
        <f ca="1">IFERROR(__xludf.DUMMYFUNCTION("""COMPUTED_VALUE"""),"1 USD = 104.334 PKR")</f>
        <v>1 USD = 104.334 PKR</v>
      </c>
      <c r="H3603" s="9" t="str">
        <f ca="1">IFERROR(__xludf.DUMMYFUNCTION("""COMPUTED_VALUE"""),"USD PKR rate for 06/03/2014")</f>
        <v>USD PKR rate for 06/03/2014</v>
      </c>
      <c r="I3603" s="9"/>
    </row>
    <row r="3604" spans="1:9" ht="14.25" customHeight="1" x14ac:dyDescent="0.3">
      <c r="A3604" s="6">
        <v>43321</v>
      </c>
      <c r="B3604" s="7">
        <v>123.39830000000001</v>
      </c>
      <c r="C3604" s="8">
        <f t="shared" si="29"/>
        <v>150.43212672030316</v>
      </c>
      <c r="D3604" s="9">
        <f t="shared" si="28"/>
        <v>71.602541146889109</v>
      </c>
      <c r="E3604" s="9"/>
      <c r="F3604" s="9">
        <f ca="1">IFERROR(__xludf.DUMMYFUNCTION("""COMPUTED_VALUE"""),41703)</f>
        <v>41703</v>
      </c>
      <c r="G3604" s="9" t="str">
        <f ca="1">IFERROR(__xludf.DUMMYFUNCTION("""COMPUTED_VALUE"""),"1 USD = 104.4916 PKR")</f>
        <v>1 USD = 104.4916 PKR</v>
      </c>
      <c r="H3604" s="9" t="str">
        <f ca="1">IFERROR(__xludf.DUMMYFUNCTION("""COMPUTED_VALUE"""),"USD PKR rate for 05/03/2014")</f>
        <v>USD PKR rate for 05/03/2014</v>
      </c>
      <c r="I3604" s="9"/>
    </row>
    <row r="3605" spans="1:9" ht="14.25" customHeight="1" x14ac:dyDescent="0.3">
      <c r="A3605" s="6">
        <v>43322</v>
      </c>
      <c r="B3605" s="7">
        <v>123.95</v>
      </c>
      <c r="C3605" s="8">
        <f t="shared" si="29"/>
        <v>150.45903147132074</v>
      </c>
      <c r="D3605" s="9">
        <f t="shared" si="28"/>
        <v>71.605278979686375</v>
      </c>
      <c r="E3605" s="9"/>
      <c r="F3605" s="9">
        <f ca="1">IFERROR(__xludf.DUMMYFUNCTION("""COMPUTED_VALUE"""),41702)</f>
        <v>41702</v>
      </c>
      <c r="G3605" s="9" t="str">
        <f ca="1">IFERROR(__xludf.DUMMYFUNCTION("""COMPUTED_VALUE"""),"1 USD = 104.8941 PKR")</f>
        <v>1 USD = 104.8941 PKR</v>
      </c>
      <c r="H3605" s="9" t="str">
        <f ca="1">IFERROR(__xludf.DUMMYFUNCTION("""COMPUTED_VALUE"""),"USD PKR rate for 04/03/2014")</f>
        <v>USD PKR rate for 04/03/2014</v>
      </c>
      <c r="I3605" s="9"/>
    </row>
    <row r="3606" spans="1:9" ht="14.25" customHeight="1" x14ac:dyDescent="0.3">
      <c r="A3606" s="6">
        <v>43323</v>
      </c>
      <c r="B3606" s="7">
        <v>123.95</v>
      </c>
      <c r="C3606" s="8">
        <f t="shared" si="29"/>
        <v>150.48594103424676</v>
      </c>
      <c r="D3606" s="9">
        <f t="shared" si="28"/>
        <v>71.60801681248364</v>
      </c>
      <c r="E3606" s="9"/>
      <c r="F3606" s="9">
        <f ca="1">IFERROR(__xludf.DUMMYFUNCTION("""COMPUTED_VALUE"""),41701)</f>
        <v>41701</v>
      </c>
      <c r="G3606" s="9" t="str">
        <f ca="1">IFERROR(__xludf.DUMMYFUNCTION("""COMPUTED_VALUE"""),"1 USD = 104.9165 PKR")</f>
        <v>1 USD = 104.9165 PKR</v>
      </c>
      <c r="H3606" s="9" t="str">
        <f ca="1">IFERROR(__xludf.DUMMYFUNCTION("""COMPUTED_VALUE"""),"USD PKR rate for 03/03/2014")</f>
        <v>USD PKR rate for 03/03/2014</v>
      </c>
      <c r="I3606" s="9"/>
    </row>
    <row r="3607" spans="1:9" ht="14.25" customHeight="1" x14ac:dyDescent="0.3">
      <c r="A3607" s="6">
        <v>43324</v>
      </c>
      <c r="B3607" s="7">
        <v>123.3111</v>
      </c>
      <c r="C3607" s="8">
        <f t="shared" si="29"/>
        <v>150.51285540994192</v>
      </c>
      <c r="D3607" s="9">
        <f t="shared" si="28"/>
        <v>71.610754645280906</v>
      </c>
      <c r="E3607" s="9"/>
      <c r="F3607" s="9">
        <f ca="1">IFERROR(__xludf.DUMMYFUNCTION("""COMPUTED_VALUE"""),41700)</f>
        <v>41700</v>
      </c>
      <c r="G3607" s="9" t="str">
        <f ca="1">IFERROR(__xludf.DUMMYFUNCTION("""COMPUTED_VALUE"""),"1 USD = 104.9157 PKR")</f>
        <v>1 USD = 104.9157 PKR</v>
      </c>
      <c r="H3607" s="9" t="str">
        <f ca="1">IFERROR(__xludf.DUMMYFUNCTION("""COMPUTED_VALUE"""),"USD PKR rate for 02/03/2014")</f>
        <v>USD PKR rate for 02/03/2014</v>
      </c>
      <c r="I3607" s="9"/>
    </row>
    <row r="3608" spans="1:9" ht="14.25" customHeight="1" x14ac:dyDescent="0.3">
      <c r="A3608" s="6">
        <v>43325</v>
      </c>
      <c r="B3608" s="7">
        <v>123.75810000000001</v>
      </c>
      <c r="C3608" s="8">
        <f t="shared" si="29"/>
        <v>150.53977459926691</v>
      </c>
      <c r="D3608" s="9">
        <f t="shared" si="28"/>
        <v>71.613492478078172</v>
      </c>
      <c r="E3608" s="9"/>
      <c r="F3608" s="9">
        <f ca="1">IFERROR(__xludf.DUMMYFUNCTION("""COMPUTED_VALUE"""),41699)</f>
        <v>41699</v>
      </c>
      <c r="G3608" s="9" t="str">
        <f ca="1">IFERROR(__xludf.DUMMYFUNCTION("""COMPUTED_VALUE"""),"1 USD = 104.8864 PKR")</f>
        <v>1 USD = 104.8864 PKR</v>
      </c>
      <c r="H3608" s="9" t="str">
        <f ca="1">IFERROR(__xludf.DUMMYFUNCTION("""COMPUTED_VALUE"""),"USD PKR rate for 01/03/2014")</f>
        <v>USD PKR rate for 01/03/2014</v>
      </c>
      <c r="I3608" s="9"/>
    </row>
    <row r="3609" spans="1:9" ht="14.25" customHeight="1" x14ac:dyDescent="0.3">
      <c r="A3609" s="6">
        <v>43326</v>
      </c>
      <c r="B3609" s="7">
        <v>124</v>
      </c>
      <c r="C3609" s="8">
        <f t="shared" si="29"/>
        <v>150.56669860308267</v>
      </c>
      <c r="D3609" s="9">
        <f t="shared" si="28"/>
        <v>71.616230310875437</v>
      </c>
      <c r="E3609" s="9"/>
      <c r="F3609" s="9">
        <f ca="1">IFERROR(__xludf.DUMMYFUNCTION("""COMPUTED_VALUE"""),41698)</f>
        <v>41698</v>
      </c>
      <c r="G3609" s="9" t="str">
        <f ca="1">IFERROR(__xludf.DUMMYFUNCTION("""COMPUTED_VALUE"""),"1 USD = 104.9782 PKR")</f>
        <v>1 USD = 104.9782 PKR</v>
      </c>
      <c r="H3609" s="9" t="str">
        <f ca="1">IFERROR(__xludf.DUMMYFUNCTION("""COMPUTED_VALUE"""),"USD PKR rate for 28/02/2014")</f>
        <v>USD PKR rate for 28/02/2014</v>
      </c>
      <c r="I3609" s="9"/>
    </row>
    <row r="3610" spans="1:9" ht="14.25" customHeight="1" x14ac:dyDescent="0.3">
      <c r="A3610" s="6">
        <v>43327</v>
      </c>
      <c r="B3610" s="7">
        <v>123.5287</v>
      </c>
      <c r="C3610" s="8">
        <f t="shared" si="29"/>
        <v>150.59362742225031</v>
      </c>
      <c r="D3610" s="9">
        <f t="shared" si="28"/>
        <v>71.618968143672703</v>
      </c>
      <c r="E3610" s="9"/>
      <c r="F3610" s="9">
        <f ca="1">IFERROR(__xludf.DUMMYFUNCTION("""COMPUTED_VALUE"""),41697)</f>
        <v>41697</v>
      </c>
      <c r="G3610" s="9" t="str">
        <f ca="1">IFERROR(__xludf.DUMMYFUNCTION("""COMPUTED_VALUE"""),"1 USD = 104.9351 PKR")</f>
        <v>1 USD = 104.9351 PKR</v>
      </c>
      <c r="H3610" s="9" t="str">
        <f ca="1">IFERROR(__xludf.DUMMYFUNCTION("""COMPUTED_VALUE"""),"USD PKR rate for 27/02/2014")</f>
        <v>USD PKR rate for 27/02/2014</v>
      </c>
      <c r="I3610" s="9"/>
    </row>
    <row r="3611" spans="1:9" ht="14.25" customHeight="1" x14ac:dyDescent="0.3">
      <c r="A3611" s="6">
        <v>43328</v>
      </c>
      <c r="B3611" s="7">
        <v>122.75560000000002</v>
      </c>
      <c r="C3611" s="8">
        <f t="shared" si="29"/>
        <v>150.62056105763097</v>
      </c>
      <c r="D3611" s="9">
        <f t="shared" si="28"/>
        <v>71.621705976469968</v>
      </c>
      <c r="E3611" s="9"/>
      <c r="F3611" s="9">
        <f ca="1">IFERROR(__xludf.DUMMYFUNCTION("""COMPUTED_VALUE"""),41696)</f>
        <v>41696</v>
      </c>
      <c r="G3611" s="9" t="str">
        <f ca="1">IFERROR(__xludf.DUMMYFUNCTION("""COMPUTED_VALUE"""),"1 USD = 104.9633 PKR")</f>
        <v>1 USD = 104.9633 PKR</v>
      </c>
      <c r="H3611" s="9" t="str">
        <f ca="1">IFERROR(__xludf.DUMMYFUNCTION("""COMPUTED_VALUE"""),"USD PKR rate for 26/02/2014")</f>
        <v>USD PKR rate for 26/02/2014</v>
      </c>
      <c r="I3611" s="9"/>
    </row>
    <row r="3612" spans="1:9" ht="14.25" customHeight="1" x14ac:dyDescent="0.3">
      <c r="A3612" s="6">
        <v>43329</v>
      </c>
      <c r="B3612" s="7">
        <v>123.68340000000001</v>
      </c>
      <c r="C3612" s="8">
        <f t="shared" si="29"/>
        <v>150.64749951008599</v>
      </c>
      <c r="D3612" s="9">
        <f t="shared" si="28"/>
        <v>71.624443809267234</v>
      </c>
      <c r="E3612" s="9"/>
      <c r="F3612" s="9">
        <f ca="1">IFERROR(__xludf.DUMMYFUNCTION("""COMPUTED_VALUE"""),41695)</f>
        <v>41695</v>
      </c>
      <c r="G3612" s="9" t="str">
        <f ca="1">IFERROR(__xludf.DUMMYFUNCTION("""COMPUTED_VALUE"""),"1 USD = 105.0361 PKR")</f>
        <v>1 USD = 105.0361 PKR</v>
      </c>
      <c r="H3612" s="9" t="str">
        <f ca="1">IFERROR(__xludf.DUMMYFUNCTION("""COMPUTED_VALUE"""),"USD PKR rate for 25/02/2014")</f>
        <v>USD PKR rate for 25/02/2014</v>
      </c>
      <c r="I3612" s="9"/>
    </row>
    <row r="3613" spans="1:9" ht="14.25" customHeight="1" x14ac:dyDescent="0.3">
      <c r="A3613" s="6">
        <v>43330</v>
      </c>
      <c r="B3613" s="7">
        <v>123.68340000000001</v>
      </c>
      <c r="C3613" s="8">
        <f t="shared" si="29"/>
        <v>150.67444278047711</v>
      </c>
      <c r="D3613" s="9">
        <f t="shared" si="28"/>
        <v>71.6271816420645</v>
      </c>
      <c r="E3613" s="9"/>
      <c r="F3613" s="9">
        <f ca="1">IFERROR(__xludf.DUMMYFUNCTION("""COMPUTED_VALUE"""),41694)</f>
        <v>41694</v>
      </c>
      <c r="G3613" s="9" t="str">
        <f ca="1">IFERROR(__xludf.DUMMYFUNCTION("""COMPUTED_VALUE"""),"1 USD = 104.9038 PKR")</f>
        <v>1 USD = 104.9038 PKR</v>
      </c>
      <c r="H3613" s="9" t="str">
        <f ca="1">IFERROR(__xludf.DUMMYFUNCTION("""COMPUTED_VALUE"""),"USD PKR rate for 24/02/2014")</f>
        <v>USD PKR rate for 24/02/2014</v>
      </c>
      <c r="I3613" s="9"/>
    </row>
    <row r="3614" spans="1:9" ht="14.25" customHeight="1" x14ac:dyDescent="0.3">
      <c r="A3614" s="6">
        <v>43331</v>
      </c>
      <c r="B3614" s="7">
        <v>122.9538</v>
      </c>
      <c r="C3614" s="8">
        <f t="shared" si="29"/>
        <v>150.70139086966589</v>
      </c>
      <c r="D3614" s="9">
        <f t="shared" si="28"/>
        <v>71.629919474861765</v>
      </c>
      <c r="E3614" s="9"/>
      <c r="F3614" s="9">
        <f ca="1">IFERROR(__xludf.DUMMYFUNCTION("""COMPUTED_VALUE"""),41693)</f>
        <v>41693</v>
      </c>
      <c r="G3614" s="9" t="str">
        <f ca="1">IFERROR(__xludf.DUMMYFUNCTION("""COMPUTED_VALUE"""),"1 USD = 104.8041 PKR")</f>
        <v>1 USD = 104.8041 PKR</v>
      </c>
      <c r="H3614" s="9" t="str">
        <f ca="1">IFERROR(__xludf.DUMMYFUNCTION("""COMPUTED_VALUE"""),"USD PKR rate for 23/02/2014")</f>
        <v>USD PKR rate for 23/02/2014</v>
      </c>
      <c r="I3614" s="9"/>
    </row>
    <row r="3615" spans="1:9" ht="14.25" customHeight="1" x14ac:dyDescent="0.3">
      <c r="A3615" s="6">
        <v>43332</v>
      </c>
      <c r="B3615" s="7">
        <v>123.10339999999999</v>
      </c>
      <c r="C3615" s="8">
        <f t="shared" si="29"/>
        <v>150.72834377851416</v>
      </c>
      <c r="D3615" s="9">
        <f t="shared" si="28"/>
        <v>71.632657307659031</v>
      </c>
      <c r="E3615" s="9"/>
      <c r="F3615" s="9">
        <f ca="1">IFERROR(__xludf.DUMMYFUNCTION("""COMPUTED_VALUE"""),41692)</f>
        <v>41692</v>
      </c>
      <c r="G3615" s="9" t="str">
        <f ca="1">IFERROR(__xludf.DUMMYFUNCTION("""COMPUTED_VALUE"""),"1 USD = 104.8445 PKR")</f>
        <v>1 USD = 104.8445 PKR</v>
      </c>
      <c r="H3615" s="9" t="str">
        <f ca="1">IFERROR(__xludf.DUMMYFUNCTION("""COMPUTED_VALUE"""),"USD PKR rate for 22/02/2014")</f>
        <v>USD PKR rate for 22/02/2014</v>
      </c>
      <c r="I3615" s="9"/>
    </row>
    <row r="3616" spans="1:9" ht="14.25" customHeight="1" x14ac:dyDescent="0.3">
      <c r="A3616" s="6">
        <v>43333</v>
      </c>
      <c r="B3616" s="7">
        <v>122.7717</v>
      </c>
      <c r="C3616" s="8">
        <f t="shared" si="29"/>
        <v>150.75530150788398</v>
      </c>
      <c r="D3616" s="9">
        <f t="shared" si="28"/>
        <v>71.635395140456296</v>
      </c>
      <c r="E3616" s="9"/>
      <c r="F3616" s="9">
        <f ca="1">IFERROR(__xludf.DUMMYFUNCTION("""COMPUTED_VALUE"""),41691)</f>
        <v>41691</v>
      </c>
      <c r="G3616" s="9" t="str">
        <f ca="1">IFERROR(__xludf.DUMMYFUNCTION("""COMPUTED_VALUE"""),"1 USD = 104.8751 PKR")</f>
        <v>1 USD = 104.8751 PKR</v>
      </c>
      <c r="H3616" s="9" t="str">
        <f ca="1">IFERROR(__xludf.DUMMYFUNCTION("""COMPUTED_VALUE"""),"USD PKR rate for 21/02/2014")</f>
        <v>USD PKR rate for 21/02/2014</v>
      </c>
      <c r="I3616" s="9"/>
    </row>
    <row r="3617" spans="1:9" ht="14.25" customHeight="1" x14ac:dyDescent="0.3">
      <c r="A3617" s="6">
        <v>43334</v>
      </c>
      <c r="B3617" s="7">
        <v>122.7433</v>
      </c>
      <c r="C3617" s="8">
        <f t="shared" si="29"/>
        <v>150.78226405863742</v>
      </c>
      <c r="D3617" s="9">
        <f t="shared" si="28"/>
        <v>71.638132973253562</v>
      </c>
      <c r="E3617" s="9"/>
      <c r="F3617" s="9">
        <f ca="1">IFERROR(__xludf.DUMMYFUNCTION("""COMPUTED_VALUE"""),41690)</f>
        <v>41690</v>
      </c>
      <c r="G3617" s="9" t="str">
        <f ca="1">IFERROR(__xludf.DUMMYFUNCTION("""COMPUTED_VALUE"""),"1 USD = 104.8323 PKR")</f>
        <v>1 USD = 104.8323 PKR</v>
      </c>
      <c r="H3617" s="9" t="str">
        <f ca="1">IFERROR(__xludf.DUMMYFUNCTION("""COMPUTED_VALUE"""),"USD PKR rate for 20/02/2014")</f>
        <v>USD PKR rate for 20/02/2014</v>
      </c>
      <c r="I3617" s="9"/>
    </row>
    <row r="3618" spans="1:9" ht="14.25" customHeight="1" x14ac:dyDescent="0.3">
      <c r="A3618" s="6">
        <v>43335</v>
      </c>
      <c r="B3618" s="7">
        <v>123.131</v>
      </c>
      <c r="C3618" s="8">
        <f t="shared" si="29"/>
        <v>150.80923143163682</v>
      </c>
      <c r="D3618" s="9">
        <f t="shared" si="28"/>
        <v>71.640870806050827</v>
      </c>
      <c r="E3618" s="9"/>
      <c r="F3618" s="9">
        <f ca="1">IFERROR(__xludf.DUMMYFUNCTION("""COMPUTED_VALUE"""),41689)</f>
        <v>41689</v>
      </c>
      <c r="G3618" s="9" t="str">
        <f ca="1">IFERROR(__xludf.DUMMYFUNCTION("""COMPUTED_VALUE"""),"1 USD = 104.9641 PKR")</f>
        <v>1 USD = 104.9641 PKR</v>
      </c>
      <c r="H3618" s="9" t="str">
        <f ca="1">IFERROR(__xludf.DUMMYFUNCTION("""COMPUTED_VALUE"""),"USD PKR rate for 19/02/2014")</f>
        <v>USD PKR rate for 19/02/2014</v>
      </c>
      <c r="I3618" s="9"/>
    </row>
    <row r="3619" spans="1:9" ht="14.25" customHeight="1" x14ac:dyDescent="0.3">
      <c r="A3619" s="6">
        <v>43336</v>
      </c>
      <c r="B3619" s="7">
        <v>122.07600000000001</v>
      </c>
      <c r="C3619" s="8">
        <f t="shared" si="29"/>
        <v>150.83620362774468</v>
      </c>
      <c r="D3619" s="9">
        <f t="shared" si="28"/>
        <v>71.643608638848093</v>
      </c>
      <c r="E3619" s="9"/>
      <c r="F3619" s="9">
        <f ca="1">IFERROR(__xludf.DUMMYFUNCTION("""COMPUTED_VALUE"""),41688)</f>
        <v>41688</v>
      </c>
      <c r="G3619" s="9" t="str">
        <f ca="1">IFERROR(__xludf.DUMMYFUNCTION("""COMPUTED_VALUE"""),"1 USD = 104.8817 PKR")</f>
        <v>1 USD = 104.8817 PKR</v>
      </c>
      <c r="H3619" s="9" t="str">
        <f ca="1">IFERROR(__xludf.DUMMYFUNCTION("""COMPUTED_VALUE"""),"USD PKR rate for 18/02/2014")</f>
        <v>USD PKR rate for 18/02/2014</v>
      </c>
      <c r="I3619" s="9"/>
    </row>
    <row r="3620" spans="1:9" ht="14.25" customHeight="1" x14ac:dyDescent="0.3">
      <c r="A3620" s="6">
        <v>43337</v>
      </c>
      <c r="B3620" s="7">
        <v>122.07600000000001</v>
      </c>
      <c r="C3620" s="8">
        <f t="shared" si="29"/>
        <v>150.8631806478235</v>
      </c>
      <c r="D3620" s="9">
        <f t="shared" si="28"/>
        <v>71.646346471645359</v>
      </c>
      <c r="E3620" s="9"/>
      <c r="F3620" s="9">
        <f ca="1">IFERROR(__xludf.DUMMYFUNCTION("""COMPUTED_VALUE"""),41687)</f>
        <v>41687</v>
      </c>
      <c r="G3620" s="9" t="str">
        <f ca="1">IFERROR(__xludf.DUMMYFUNCTION("""COMPUTED_VALUE"""),"1 USD = 104.8725 PKR")</f>
        <v>1 USD = 104.8725 PKR</v>
      </c>
      <c r="H3620" s="9" t="str">
        <f ca="1">IFERROR(__xludf.DUMMYFUNCTION("""COMPUTED_VALUE"""),"USD PKR rate for 17/02/2014")</f>
        <v>USD PKR rate for 17/02/2014</v>
      </c>
      <c r="I3620" s="9"/>
    </row>
    <row r="3621" spans="1:9" ht="14.25" customHeight="1" x14ac:dyDescent="0.3">
      <c r="A3621" s="6">
        <v>43338</v>
      </c>
      <c r="B3621" s="7">
        <v>122.07559999999999</v>
      </c>
      <c r="C3621" s="8">
        <f t="shared" si="29"/>
        <v>150.89016249273601</v>
      </c>
      <c r="D3621" s="9">
        <f t="shared" si="28"/>
        <v>71.649084304442624</v>
      </c>
      <c r="E3621" s="9"/>
      <c r="F3621" s="9">
        <f ca="1">IFERROR(__xludf.DUMMYFUNCTION("""COMPUTED_VALUE"""),41686)</f>
        <v>41686</v>
      </c>
      <c r="G3621" s="9" t="str">
        <f ca="1">IFERROR(__xludf.DUMMYFUNCTION("""COMPUTED_VALUE"""),"1 USD = 104.8337 PKR")</f>
        <v>1 USD = 104.8337 PKR</v>
      </c>
      <c r="H3621" s="9" t="str">
        <f ca="1">IFERROR(__xludf.DUMMYFUNCTION("""COMPUTED_VALUE"""),"USD PKR rate for 16/02/2014")</f>
        <v>USD PKR rate for 16/02/2014</v>
      </c>
      <c r="I3621" s="9"/>
    </row>
    <row r="3622" spans="1:9" ht="14.25" customHeight="1" x14ac:dyDescent="0.3">
      <c r="A3622" s="6">
        <v>43339</v>
      </c>
      <c r="B3622" s="7">
        <v>123.05110000000001</v>
      </c>
      <c r="C3622" s="8">
        <f t="shared" si="29"/>
        <v>150.91714916334539</v>
      </c>
      <c r="D3622" s="9">
        <f t="shared" si="28"/>
        <v>71.65182213723989</v>
      </c>
      <c r="E3622" s="9"/>
      <c r="F3622" s="9">
        <f ca="1">IFERROR(__xludf.DUMMYFUNCTION("""COMPUTED_VALUE"""),41685)</f>
        <v>41685</v>
      </c>
      <c r="G3622" s="9" t="str">
        <f ca="1">IFERROR(__xludf.DUMMYFUNCTION("""COMPUTED_VALUE"""),"1 USD = 104.8498 PKR")</f>
        <v>1 USD = 104.8498 PKR</v>
      </c>
      <c r="H3622" s="9" t="str">
        <f ca="1">IFERROR(__xludf.DUMMYFUNCTION("""COMPUTED_VALUE"""),"USD PKR rate for 15/02/2014")</f>
        <v>USD PKR rate for 15/02/2014</v>
      </c>
      <c r="I3622" s="9"/>
    </row>
    <row r="3623" spans="1:9" ht="14.25" customHeight="1" x14ac:dyDescent="0.3">
      <c r="A3623" s="6">
        <v>43340</v>
      </c>
      <c r="B3623" s="7">
        <v>123.08440000000002</v>
      </c>
      <c r="C3623" s="8">
        <f t="shared" si="29"/>
        <v>150.94414066051451</v>
      </c>
      <c r="D3623" s="9">
        <f t="shared" si="28"/>
        <v>71.654559970037155</v>
      </c>
      <c r="E3623" s="9"/>
      <c r="F3623" s="9">
        <f ca="1">IFERROR(__xludf.DUMMYFUNCTION("""COMPUTED_VALUE"""),41684)</f>
        <v>41684</v>
      </c>
      <c r="G3623" s="9" t="str">
        <f ca="1">IFERROR(__xludf.DUMMYFUNCTION("""COMPUTED_VALUE"""),"1 USD = 104.8756 PKR")</f>
        <v>1 USD = 104.8756 PKR</v>
      </c>
      <c r="H3623" s="9" t="str">
        <f ca="1">IFERROR(__xludf.DUMMYFUNCTION("""COMPUTED_VALUE"""),"USD PKR rate for 14/02/2014")</f>
        <v>USD PKR rate for 14/02/2014</v>
      </c>
      <c r="I3623" s="9"/>
    </row>
    <row r="3624" spans="1:9" ht="14.25" customHeight="1" x14ac:dyDescent="0.3">
      <c r="A3624" s="6">
        <v>43341</v>
      </c>
      <c r="B3624" s="7">
        <v>123.10550000000001</v>
      </c>
      <c r="C3624" s="8">
        <f t="shared" si="29"/>
        <v>150.97113698510668</v>
      </c>
      <c r="D3624" s="9">
        <f t="shared" si="28"/>
        <v>71.657297802834421</v>
      </c>
      <c r="E3624" s="9"/>
      <c r="F3624" s="9">
        <f ca="1">IFERROR(__xludf.DUMMYFUNCTION("""COMPUTED_VALUE"""),41683)</f>
        <v>41683</v>
      </c>
      <c r="G3624" s="9" t="str">
        <f ca="1">IFERROR(__xludf.DUMMYFUNCTION("""COMPUTED_VALUE"""),"1 USD = 105.1507 PKR")</f>
        <v>1 USD = 105.1507 PKR</v>
      </c>
      <c r="H3624" s="9" t="str">
        <f ca="1">IFERROR(__xludf.DUMMYFUNCTION("""COMPUTED_VALUE"""),"USD PKR rate for 13/02/2014")</f>
        <v>USD PKR rate for 13/02/2014</v>
      </c>
      <c r="I3624" s="9"/>
    </row>
    <row r="3625" spans="1:9" ht="14.25" customHeight="1" x14ac:dyDescent="0.3">
      <c r="A3625" s="6">
        <v>43342</v>
      </c>
      <c r="B3625" s="7">
        <v>123.0316</v>
      </c>
      <c r="C3625" s="8">
        <f t="shared" si="29"/>
        <v>150.99813813798522</v>
      </c>
      <c r="D3625" s="9">
        <f t="shared" si="28"/>
        <v>71.660035635631687</v>
      </c>
      <c r="E3625" s="9"/>
      <c r="F3625" s="9">
        <f ca="1">IFERROR(__xludf.DUMMYFUNCTION("""COMPUTED_VALUE"""),41682)</f>
        <v>41682</v>
      </c>
      <c r="G3625" s="9" t="str">
        <f ca="1">IFERROR(__xludf.DUMMYFUNCTION("""COMPUTED_VALUE"""),"1 USD = 105.251 PKR")</f>
        <v>1 USD = 105.251 PKR</v>
      </c>
      <c r="H3625" s="9" t="str">
        <f ca="1">IFERROR(__xludf.DUMMYFUNCTION("""COMPUTED_VALUE"""),"USD PKR rate for 12/02/2014")</f>
        <v>USD PKR rate for 12/02/2014</v>
      </c>
      <c r="I3625" s="9"/>
    </row>
    <row r="3626" spans="1:9" ht="14.25" customHeight="1" x14ac:dyDescent="0.3">
      <c r="A3626" s="6">
        <v>43343</v>
      </c>
      <c r="B3626" s="7">
        <v>122.99000000000001</v>
      </c>
      <c r="C3626" s="8">
        <f t="shared" si="29"/>
        <v>151.02514412001372</v>
      </c>
      <c r="D3626" s="9">
        <f t="shared" si="28"/>
        <v>71.662773468428952</v>
      </c>
      <c r="E3626" s="9"/>
      <c r="F3626" s="9">
        <f ca="1">IFERROR(__xludf.DUMMYFUNCTION("""COMPUTED_VALUE"""),41681)</f>
        <v>41681</v>
      </c>
      <c r="G3626" s="9" t="str">
        <f ca="1">IFERROR(__xludf.DUMMYFUNCTION("""COMPUTED_VALUE"""),"1 USD = 105.3885 PKR")</f>
        <v>1 USD = 105.3885 PKR</v>
      </c>
      <c r="H3626" s="9" t="str">
        <f ca="1">IFERROR(__xludf.DUMMYFUNCTION("""COMPUTED_VALUE"""),"USD PKR rate for 11/02/2014")</f>
        <v>USD PKR rate for 11/02/2014</v>
      </c>
      <c r="I3626" s="9"/>
    </row>
    <row r="3627" spans="1:9" ht="14.25" customHeight="1" x14ac:dyDescent="0.3">
      <c r="A3627" s="6">
        <v>43344</v>
      </c>
      <c r="B3627" s="7">
        <v>122.99000000000001</v>
      </c>
      <c r="C3627" s="8">
        <f t="shared" si="29"/>
        <v>151.05215493205583</v>
      </c>
      <c r="D3627" s="9">
        <f t="shared" si="28"/>
        <v>71.665511301226218</v>
      </c>
      <c r="E3627" s="9"/>
      <c r="F3627" s="9">
        <f ca="1">IFERROR(__xludf.DUMMYFUNCTION("""COMPUTED_VALUE"""),41680)</f>
        <v>41680</v>
      </c>
      <c r="G3627" s="9" t="str">
        <f ca="1">IFERROR(__xludf.DUMMYFUNCTION("""COMPUTED_VALUE"""),"1 USD = 105.3972 PKR")</f>
        <v>1 USD = 105.3972 PKR</v>
      </c>
      <c r="H3627" s="9" t="str">
        <f ca="1">IFERROR(__xludf.DUMMYFUNCTION("""COMPUTED_VALUE"""),"USD PKR rate for 10/02/2014")</f>
        <v>USD PKR rate for 10/02/2014</v>
      </c>
      <c r="I3627" s="9"/>
    </row>
    <row r="3628" spans="1:9" ht="14.25" customHeight="1" x14ac:dyDescent="0.3">
      <c r="A3628" s="6">
        <v>43345</v>
      </c>
      <c r="B3628" s="7">
        <v>123.0753</v>
      </c>
      <c r="C3628" s="8">
        <f t="shared" si="29"/>
        <v>151.07917057497545</v>
      </c>
      <c r="D3628" s="9">
        <f t="shared" si="28"/>
        <v>71.668249134023483</v>
      </c>
      <c r="E3628" s="9"/>
      <c r="F3628" s="9">
        <f ca="1">IFERROR(__xludf.DUMMYFUNCTION("""COMPUTED_VALUE"""),41679)</f>
        <v>41679</v>
      </c>
      <c r="G3628" s="9" t="str">
        <f ca="1">IFERROR(__xludf.DUMMYFUNCTION("""COMPUTED_VALUE"""),"1 USD = 105.2129 PKR")</f>
        <v>1 USD = 105.2129 PKR</v>
      </c>
      <c r="H3628" s="9" t="str">
        <f ca="1">IFERROR(__xludf.DUMMYFUNCTION("""COMPUTED_VALUE"""),"USD PKR rate for 09/02/2014")</f>
        <v>USD PKR rate for 09/02/2014</v>
      </c>
      <c r="I3628" s="9"/>
    </row>
    <row r="3629" spans="1:9" ht="14.25" customHeight="1" x14ac:dyDescent="0.3">
      <c r="A3629" s="6">
        <v>43346</v>
      </c>
      <c r="B3629" s="7">
        <v>123.1056</v>
      </c>
      <c r="C3629" s="8">
        <f t="shared" si="29"/>
        <v>151.10619104963652</v>
      </c>
      <c r="D3629" s="9">
        <f t="shared" si="28"/>
        <v>71.670986966820749</v>
      </c>
      <c r="E3629" s="9"/>
      <c r="F3629" s="9">
        <f ca="1">IFERROR(__xludf.DUMMYFUNCTION("""COMPUTED_VALUE"""),41678)</f>
        <v>41678</v>
      </c>
      <c r="G3629" s="9" t="str">
        <f ca="1">IFERROR(__xludf.DUMMYFUNCTION("""COMPUTED_VALUE"""),"1 USD = 105.369 PKR")</f>
        <v>1 USD = 105.369 PKR</v>
      </c>
      <c r="H3629" s="9" t="str">
        <f ca="1">IFERROR(__xludf.DUMMYFUNCTION("""COMPUTED_VALUE"""),"USD PKR rate for 08/02/2014")</f>
        <v>USD PKR rate for 08/02/2014</v>
      </c>
      <c r="I3629" s="9"/>
    </row>
    <row r="3630" spans="1:9" ht="14.25" customHeight="1" x14ac:dyDescent="0.3">
      <c r="A3630" s="6">
        <v>43347</v>
      </c>
      <c r="B3630" s="7">
        <v>123.1814</v>
      </c>
      <c r="C3630" s="8">
        <f t="shared" si="29"/>
        <v>151.13321635690312</v>
      </c>
      <c r="D3630" s="9">
        <f t="shared" si="28"/>
        <v>71.673724799618014</v>
      </c>
      <c r="E3630" s="9"/>
      <c r="F3630" s="9">
        <f ca="1">IFERROR(__xludf.DUMMYFUNCTION("""COMPUTED_VALUE"""),41677)</f>
        <v>41677</v>
      </c>
      <c r="G3630" s="9" t="str">
        <f ca="1">IFERROR(__xludf.DUMMYFUNCTION("""COMPUTED_VALUE"""),"1 USD = 105.4136 PKR")</f>
        <v>1 USD = 105.4136 PKR</v>
      </c>
      <c r="H3630" s="9" t="str">
        <f ca="1">IFERROR(__xludf.DUMMYFUNCTION("""COMPUTED_VALUE"""),"USD PKR rate for 07/02/2014")</f>
        <v>USD PKR rate for 07/02/2014</v>
      </c>
      <c r="I3630" s="9"/>
    </row>
    <row r="3631" spans="1:9" ht="14.25" customHeight="1" x14ac:dyDescent="0.3">
      <c r="A3631" s="6">
        <v>43348</v>
      </c>
      <c r="B3631" s="7">
        <v>123.1807</v>
      </c>
      <c r="C3631" s="8">
        <f t="shared" si="29"/>
        <v>151.16024649763978</v>
      </c>
      <c r="D3631" s="9">
        <f t="shared" si="28"/>
        <v>71.67646263241528</v>
      </c>
      <c r="E3631" s="9"/>
      <c r="F3631" s="9">
        <f ca="1">IFERROR(__xludf.DUMMYFUNCTION("""COMPUTED_VALUE"""),41676)</f>
        <v>41676</v>
      </c>
      <c r="G3631" s="9" t="str">
        <f ca="1">IFERROR(__xludf.DUMMYFUNCTION("""COMPUTED_VALUE"""),"1 USD = 105.4444 PKR")</f>
        <v>1 USD = 105.4444 PKR</v>
      </c>
      <c r="H3631" s="9" t="str">
        <f ca="1">IFERROR(__xludf.DUMMYFUNCTION("""COMPUTED_VALUE"""),"USD PKR rate for 06/02/2014")</f>
        <v>USD PKR rate for 06/02/2014</v>
      </c>
      <c r="I3631" s="9"/>
    </row>
    <row r="3632" spans="1:9" ht="14.25" customHeight="1" x14ac:dyDescent="0.3">
      <c r="A3632" s="6">
        <v>43349</v>
      </c>
      <c r="B3632" s="7">
        <v>123.11060000000001</v>
      </c>
      <c r="C3632" s="8">
        <f t="shared" si="29"/>
        <v>151.18728147271085</v>
      </c>
      <c r="D3632" s="9">
        <f t="shared" si="28"/>
        <v>71.679200465212546</v>
      </c>
      <c r="E3632" s="9"/>
      <c r="F3632" s="9">
        <f ca="1">IFERROR(__xludf.DUMMYFUNCTION("""COMPUTED_VALUE"""),41675)</f>
        <v>41675</v>
      </c>
      <c r="G3632" s="9" t="str">
        <f ca="1">IFERROR(__xludf.DUMMYFUNCTION("""COMPUTED_VALUE"""),"1 USD = 105.4152 PKR")</f>
        <v>1 USD = 105.4152 PKR</v>
      </c>
      <c r="H3632" s="9" t="str">
        <f ca="1">IFERROR(__xludf.DUMMYFUNCTION("""COMPUTED_VALUE"""),"USD PKR rate for 05/02/2014")</f>
        <v>USD PKR rate for 05/02/2014</v>
      </c>
      <c r="I3632" s="9"/>
    </row>
    <row r="3633" spans="1:9" ht="14.25" customHeight="1" x14ac:dyDescent="0.3">
      <c r="A3633" s="6">
        <v>43350</v>
      </c>
      <c r="B3633" s="7">
        <v>123.2174</v>
      </c>
      <c r="C3633" s="8">
        <f t="shared" si="29"/>
        <v>151.21432128298093</v>
      </c>
      <c r="D3633" s="9">
        <f t="shared" si="28"/>
        <v>71.681938298009811</v>
      </c>
      <c r="E3633" s="9"/>
      <c r="F3633" s="9">
        <f ca="1">IFERROR(__xludf.DUMMYFUNCTION("""COMPUTED_VALUE"""),41674)</f>
        <v>41674</v>
      </c>
      <c r="G3633" s="9" t="str">
        <f ca="1">IFERROR(__xludf.DUMMYFUNCTION("""COMPUTED_VALUE"""),"1 USD = 105.4601 PKR")</f>
        <v>1 USD = 105.4601 PKR</v>
      </c>
      <c r="H3633" s="9" t="str">
        <f ca="1">IFERROR(__xludf.DUMMYFUNCTION("""COMPUTED_VALUE"""),"USD PKR rate for 04/02/2014")</f>
        <v>USD PKR rate for 04/02/2014</v>
      </c>
      <c r="I3633" s="9"/>
    </row>
    <row r="3634" spans="1:9" ht="14.25" customHeight="1" x14ac:dyDescent="0.3">
      <c r="A3634" s="6">
        <v>43351</v>
      </c>
      <c r="B3634" s="7">
        <v>123.21900000000001</v>
      </c>
      <c r="C3634" s="8">
        <f t="shared" si="29"/>
        <v>151.24136592931484</v>
      </c>
      <c r="D3634" s="9">
        <f t="shared" si="28"/>
        <v>71.684676130807077</v>
      </c>
      <c r="E3634" s="9"/>
      <c r="F3634" s="9">
        <f ca="1">IFERROR(__xludf.DUMMYFUNCTION("""COMPUTED_VALUE"""),41673)</f>
        <v>41673</v>
      </c>
      <c r="G3634" s="9" t="str">
        <f ca="1">IFERROR(__xludf.DUMMYFUNCTION("""COMPUTED_VALUE"""),"1 USD = 105.6187 PKR")</f>
        <v>1 USD = 105.6187 PKR</v>
      </c>
      <c r="H3634" s="9" t="str">
        <f ca="1">IFERROR(__xludf.DUMMYFUNCTION("""COMPUTED_VALUE"""),"USD PKR rate for 03/02/2014")</f>
        <v>USD PKR rate for 03/02/2014</v>
      </c>
      <c r="I3634" s="9"/>
    </row>
    <row r="3635" spans="1:9" ht="14.25" customHeight="1" x14ac:dyDescent="0.3">
      <c r="A3635" s="6">
        <v>43352</v>
      </c>
      <c r="B3635" s="7">
        <v>123.23580000000001</v>
      </c>
      <c r="C3635" s="8">
        <f t="shared" si="29"/>
        <v>151.26841541257747</v>
      </c>
      <c r="D3635" s="9">
        <f t="shared" si="28"/>
        <v>71.687413963604342</v>
      </c>
      <c r="E3635" s="9"/>
      <c r="F3635" s="9">
        <f ca="1">IFERROR(__xludf.DUMMYFUNCTION("""COMPUTED_VALUE"""),41672)</f>
        <v>41672</v>
      </c>
      <c r="G3635" s="9" t="str">
        <f ca="1">IFERROR(__xludf.DUMMYFUNCTION("""COMPUTED_VALUE"""),"1 USD = 105.6922 PKR")</f>
        <v>1 USD = 105.6922 PKR</v>
      </c>
      <c r="H3635" s="9" t="str">
        <f ca="1">IFERROR(__xludf.DUMMYFUNCTION("""COMPUTED_VALUE"""),"USD PKR rate for 02/02/2014")</f>
        <v>USD PKR rate for 02/02/2014</v>
      </c>
      <c r="I3635" s="9"/>
    </row>
    <row r="3636" spans="1:9" ht="14.25" customHeight="1" x14ac:dyDescent="0.3">
      <c r="A3636" s="6">
        <v>43353</v>
      </c>
      <c r="B3636" s="7">
        <v>123.4255</v>
      </c>
      <c r="C3636" s="8">
        <f t="shared" si="29"/>
        <v>151.29546973363392</v>
      </c>
      <c r="D3636" s="9">
        <f t="shared" si="28"/>
        <v>71.690151796401608</v>
      </c>
      <c r="E3636" s="9"/>
      <c r="F3636" s="9">
        <f ca="1">IFERROR(__xludf.DUMMYFUNCTION("""COMPUTED_VALUE"""),41671)</f>
        <v>41671</v>
      </c>
      <c r="G3636" s="9" t="str">
        <f ca="1">IFERROR(__xludf.DUMMYFUNCTION("""COMPUTED_VALUE"""),"1 USD = 105.5518 PKR")</f>
        <v>1 USD = 105.5518 PKR</v>
      </c>
      <c r="H3636" s="9" t="str">
        <f ca="1">IFERROR(__xludf.DUMMYFUNCTION("""COMPUTED_VALUE"""),"USD PKR rate for 01/02/2014")</f>
        <v>USD PKR rate for 01/02/2014</v>
      </c>
      <c r="I3636" s="9"/>
    </row>
    <row r="3637" spans="1:9" ht="14.25" customHeight="1" x14ac:dyDescent="0.3">
      <c r="A3637" s="6">
        <v>43354</v>
      </c>
      <c r="B3637" s="7">
        <v>123.1113</v>
      </c>
      <c r="C3637" s="8">
        <f t="shared" si="29"/>
        <v>151.32252889334941</v>
      </c>
      <c r="D3637" s="9">
        <f t="shared" si="28"/>
        <v>71.692889629198874</v>
      </c>
      <c r="E3637" s="9"/>
      <c r="F3637" s="9">
        <f ca="1">IFERROR(__xludf.DUMMYFUNCTION("""COMPUTED_VALUE"""),41670)</f>
        <v>41670</v>
      </c>
      <c r="G3637" s="9" t="str">
        <f ca="1">IFERROR(__xludf.DUMMYFUNCTION("""COMPUTED_VALUE"""),"1 USD = 105.5012 PKR")</f>
        <v>1 USD = 105.5012 PKR</v>
      </c>
      <c r="H3637" s="9" t="str">
        <f ca="1">IFERROR(__xludf.DUMMYFUNCTION("""COMPUTED_VALUE"""),"USD PKR rate for 31/01/2014")</f>
        <v>USD PKR rate for 31/01/2014</v>
      </c>
      <c r="I3637" s="9"/>
    </row>
    <row r="3638" spans="1:9" ht="14.25" customHeight="1" x14ac:dyDescent="0.3">
      <c r="A3638" s="6">
        <v>43355</v>
      </c>
      <c r="B3638" s="7">
        <v>123.1155</v>
      </c>
      <c r="C3638" s="8">
        <f t="shared" si="29"/>
        <v>151.34959289258936</v>
      </c>
      <c r="D3638" s="9">
        <f t="shared" si="28"/>
        <v>71.695627461996139</v>
      </c>
      <c r="E3638" s="9"/>
      <c r="F3638" s="9">
        <f ca="1">IFERROR(__xludf.DUMMYFUNCTION("""COMPUTED_VALUE"""),41669)</f>
        <v>41669</v>
      </c>
      <c r="G3638" s="9" t="str">
        <f ca="1">IFERROR(__xludf.DUMMYFUNCTION("""COMPUTED_VALUE"""),"1 USD = 105.4215 PKR")</f>
        <v>1 USD = 105.4215 PKR</v>
      </c>
      <c r="H3638" s="9" t="str">
        <f ca="1">IFERROR(__xludf.DUMMYFUNCTION("""COMPUTED_VALUE"""),"USD PKR rate for 30/01/2014")</f>
        <v>USD PKR rate for 30/01/2014</v>
      </c>
      <c r="I3638" s="9"/>
    </row>
    <row r="3639" spans="1:9" ht="14.25" customHeight="1" x14ac:dyDescent="0.3">
      <c r="A3639" s="6">
        <v>43356</v>
      </c>
      <c r="B3639" s="7">
        <v>123.53930000000001</v>
      </c>
      <c r="C3639" s="8">
        <f t="shared" si="29"/>
        <v>151.37666173221916</v>
      </c>
      <c r="D3639" s="9">
        <f t="shared" si="28"/>
        <v>71.698365294793405</v>
      </c>
      <c r="E3639" s="9"/>
      <c r="F3639" s="9">
        <f ca="1">IFERROR(__xludf.DUMMYFUNCTION("""COMPUTED_VALUE"""),41668)</f>
        <v>41668</v>
      </c>
      <c r="G3639" s="9" t="str">
        <f ca="1">IFERROR(__xludf.DUMMYFUNCTION("""COMPUTED_VALUE"""),"1 USD = 105.3872 PKR")</f>
        <v>1 USD = 105.3872 PKR</v>
      </c>
      <c r="H3639" s="9" t="str">
        <f ca="1">IFERROR(__xludf.DUMMYFUNCTION("""COMPUTED_VALUE"""),"USD PKR rate for 29/01/2014")</f>
        <v>USD PKR rate for 29/01/2014</v>
      </c>
      <c r="I3639" s="9"/>
    </row>
    <row r="3640" spans="1:9" ht="14.25" customHeight="1" x14ac:dyDescent="0.3">
      <c r="A3640" s="6">
        <v>43357</v>
      </c>
      <c r="B3640" s="7">
        <v>123.87439999999999</v>
      </c>
      <c r="C3640" s="8">
        <f t="shared" si="29"/>
        <v>151.40373541310481</v>
      </c>
      <c r="D3640" s="9">
        <f t="shared" si="28"/>
        <v>71.70110312759067</v>
      </c>
      <c r="E3640" s="9"/>
      <c r="F3640" s="9">
        <f ca="1">IFERROR(__xludf.DUMMYFUNCTION("""COMPUTED_VALUE"""),41667)</f>
        <v>41667</v>
      </c>
      <c r="G3640" s="9" t="str">
        <f ca="1">IFERROR(__xludf.DUMMYFUNCTION("""COMPUTED_VALUE"""),"1 USD = 105.4889 PKR")</f>
        <v>1 USD = 105.4889 PKR</v>
      </c>
      <c r="H3640" s="9" t="str">
        <f ca="1">IFERROR(__xludf.DUMMYFUNCTION("""COMPUTED_VALUE"""),"USD PKR rate for 28/01/2014")</f>
        <v>USD PKR rate for 28/01/2014</v>
      </c>
      <c r="I3640" s="9"/>
    </row>
    <row r="3641" spans="1:9" ht="14.25" customHeight="1" x14ac:dyDescent="0.3">
      <c r="A3641" s="6">
        <v>43358</v>
      </c>
      <c r="B3641" s="7">
        <v>123.87439999999999</v>
      </c>
      <c r="C3641" s="8">
        <f t="shared" si="29"/>
        <v>151.430813936112</v>
      </c>
      <c r="D3641" s="9">
        <f t="shared" si="28"/>
        <v>71.703840960387936</v>
      </c>
      <c r="E3641" s="9"/>
      <c r="F3641" s="9">
        <f ca="1">IFERROR(__xludf.DUMMYFUNCTION("""COMPUTED_VALUE"""),41666)</f>
        <v>41666</v>
      </c>
      <c r="G3641" s="9" t="str">
        <f ca="1">IFERROR(__xludf.DUMMYFUNCTION("""COMPUTED_VALUE"""),"1 USD = 105.542 PKR")</f>
        <v>1 USD = 105.542 PKR</v>
      </c>
      <c r="H3641" s="9" t="str">
        <f ca="1">IFERROR(__xludf.DUMMYFUNCTION("""COMPUTED_VALUE"""),"USD PKR rate for 27/01/2014")</f>
        <v>USD PKR rate for 27/01/2014</v>
      </c>
      <c r="I3641" s="9"/>
    </row>
    <row r="3642" spans="1:9" ht="14.25" customHeight="1" x14ac:dyDescent="0.3">
      <c r="A3642" s="6">
        <v>43359</v>
      </c>
      <c r="B3642" s="7">
        <v>123.4002</v>
      </c>
      <c r="C3642" s="8">
        <f t="shared" si="29"/>
        <v>151.45789730210677</v>
      </c>
      <c r="D3642" s="9">
        <f t="shared" si="28"/>
        <v>71.706578793185201</v>
      </c>
      <c r="E3642" s="9"/>
      <c r="F3642" s="9">
        <f ca="1">IFERROR(__xludf.DUMMYFUNCTION("""COMPUTED_VALUE"""),41665)</f>
        <v>41665</v>
      </c>
      <c r="G3642" s="9" t="str">
        <f ca="1">IFERROR(__xludf.DUMMYFUNCTION("""COMPUTED_VALUE"""),"1 USD = 105.531 PKR")</f>
        <v>1 USD = 105.531 PKR</v>
      </c>
      <c r="H3642" s="9" t="str">
        <f ca="1">IFERROR(__xludf.DUMMYFUNCTION("""COMPUTED_VALUE"""),"USD PKR rate for 26/01/2014")</f>
        <v>USD PKR rate for 26/01/2014</v>
      </c>
      <c r="I3642" s="9"/>
    </row>
    <row r="3643" spans="1:9" ht="14.25" customHeight="1" x14ac:dyDescent="0.3">
      <c r="A3643" s="6">
        <v>43360</v>
      </c>
      <c r="B3643" s="7">
        <v>123.51650000000001</v>
      </c>
      <c r="C3643" s="8">
        <f t="shared" si="29"/>
        <v>151.48498551195527</v>
      </c>
      <c r="D3643" s="9">
        <f t="shared" si="28"/>
        <v>71.709316625982467</v>
      </c>
      <c r="E3643" s="9"/>
      <c r="F3643" s="9">
        <f ca="1">IFERROR(__xludf.DUMMYFUNCTION("""COMPUTED_VALUE"""),41664)</f>
        <v>41664</v>
      </c>
      <c r="G3643" s="9" t="str">
        <f ca="1">IFERROR(__xludf.DUMMYFUNCTION("""COMPUTED_VALUE"""),"1 USD = 105.4165 PKR")</f>
        <v>1 USD = 105.4165 PKR</v>
      </c>
      <c r="H3643" s="9" t="str">
        <f ca="1">IFERROR(__xludf.DUMMYFUNCTION("""COMPUTED_VALUE"""),"USD PKR rate for 25/01/2014")</f>
        <v>USD PKR rate for 25/01/2014</v>
      </c>
      <c r="I3643" s="9"/>
    </row>
    <row r="3644" spans="1:9" ht="14.25" customHeight="1" x14ac:dyDescent="0.3">
      <c r="A3644" s="6">
        <v>43361</v>
      </c>
      <c r="B3644" s="7">
        <v>123.30410000000001</v>
      </c>
      <c r="C3644" s="8">
        <f t="shared" si="29"/>
        <v>151.51207856652383</v>
      </c>
      <c r="D3644" s="9">
        <f t="shared" si="28"/>
        <v>71.712054458779733</v>
      </c>
      <c r="E3644" s="9"/>
      <c r="F3644" s="9">
        <f ca="1">IFERROR(__xludf.DUMMYFUNCTION("""COMPUTED_VALUE"""),41663)</f>
        <v>41663</v>
      </c>
      <c r="G3644" s="9" t="str">
        <f ca="1">IFERROR(__xludf.DUMMYFUNCTION("""COMPUTED_VALUE"""),"1 USD = 105.4662 PKR")</f>
        <v>1 USD = 105.4662 PKR</v>
      </c>
      <c r="H3644" s="9" t="str">
        <f ca="1">IFERROR(__xludf.DUMMYFUNCTION("""COMPUTED_VALUE"""),"USD PKR rate for 24/01/2014")</f>
        <v>USD PKR rate for 24/01/2014</v>
      </c>
      <c r="I3644" s="9"/>
    </row>
    <row r="3645" spans="1:9" ht="14.25" customHeight="1" x14ac:dyDescent="0.3">
      <c r="A3645" s="6">
        <v>43362</v>
      </c>
      <c r="B3645" s="7">
        <v>123.3762</v>
      </c>
      <c r="C3645" s="8">
        <f t="shared" si="29"/>
        <v>151.53917646667892</v>
      </c>
      <c r="D3645" s="9">
        <f t="shared" si="28"/>
        <v>71.714792291576998</v>
      </c>
      <c r="E3645" s="9"/>
      <c r="F3645" s="9">
        <f ca="1">IFERROR(__xludf.DUMMYFUNCTION("""COMPUTED_VALUE"""),41662)</f>
        <v>41662</v>
      </c>
      <c r="G3645" s="9" t="str">
        <f ca="1">IFERROR(__xludf.DUMMYFUNCTION("""COMPUTED_VALUE"""),"1 USD = 105.3555 PKR")</f>
        <v>1 USD = 105.3555 PKR</v>
      </c>
      <c r="H3645" s="9" t="str">
        <f ca="1">IFERROR(__xludf.DUMMYFUNCTION("""COMPUTED_VALUE"""),"USD PKR rate for 23/01/2014")</f>
        <v>USD PKR rate for 23/01/2014</v>
      </c>
      <c r="I3645" s="9"/>
    </row>
    <row r="3646" spans="1:9" ht="14.25" customHeight="1" x14ac:dyDescent="0.3">
      <c r="A3646" s="6">
        <v>43363</v>
      </c>
      <c r="B3646" s="7">
        <v>123.4477</v>
      </c>
      <c r="C3646" s="8">
        <f t="shared" si="29"/>
        <v>151.56627921328717</v>
      </c>
      <c r="D3646" s="9">
        <f t="shared" si="28"/>
        <v>71.717530124374264</v>
      </c>
      <c r="E3646" s="9"/>
      <c r="F3646" s="9">
        <f ca="1">IFERROR(__xludf.DUMMYFUNCTION("""COMPUTED_VALUE"""),41661)</f>
        <v>41661</v>
      </c>
      <c r="G3646" s="9" t="str">
        <f ca="1">IFERROR(__xludf.DUMMYFUNCTION("""COMPUTED_VALUE"""),"1 USD = 105.4794 PKR")</f>
        <v>1 USD = 105.4794 PKR</v>
      </c>
      <c r="H3646" s="9" t="str">
        <f ca="1">IFERROR(__xludf.DUMMYFUNCTION("""COMPUTED_VALUE"""),"USD PKR rate for 22/01/2014")</f>
        <v>USD PKR rate for 22/01/2014</v>
      </c>
      <c r="I3646" s="9"/>
    </row>
    <row r="3647" spans="1:9" ht="14.25" customHeight="1" x14ac:dyDescent="0.3">
      <c r="A3647" s="6">
        <v>43364</v>
      </c>
      <c r="B3647" s="7">
        <v>123.74979999999999</v>
      </c>
      <c r="C3647" s="8">
        <f t="shared" si="29"/>
        <v>151.59338680721538</v>
      </c>
      <c r="D3647" s="9">
        <f t="shared" si="28"/>
        <v>71.720267957171529</v>
      </c>
      <c r="E3647" s="9"/>
      <c r="F3647" s="9">
        <f ca="1">IFERROR(__xludf.DUMMYFUNCTION("""COMPUTED_VALUE"""),41660)</f>
        <v>41660</v>
      </c>
      <c r="G3647" s="9" t="str">
        <f ca="1">IFERROR(__xludf.DUMMYFUNCTION("""COMPUTED_VALUE"""),"1 USD = 105.5497 PKR")</f>
        <v>1 USD = 105.5497 PKR</v>
      </c>
      <c r="H3647" s="9" t="str">
        <f ca="1">IFERROR(__xludf.DUMMYFUNCTION("""COMPUTED_VALUE"""),"USD PKR rate for 21/01/2014")</f>
        <v>USD PKR rate for 21/01/2014</v>
      </c>
      <c r="I3647" s="9"/>
    </row>
    <row r="3648" spans="1:9" ht="14.25" customHeight="1" x14ac:dyDescent="0.3">
      <c r="A3648" s="6">
        <v>43365</v>
      </c>
      <c r="B3648" s="7">
        <v>123.1495</v>
      </c>
      <c r="C3648" s="8">
        <f t="shared" si="29"/>
        <v>151.62049924933035</v>
      </c>
      <c r="D3648" s="9">
        <f t="shared" si="28"/>
        <v>71.723005789968795</v>
      </c>
      <c r="E3648" s="9"/>
      <c r="F3648" s="9">
        <f ca="1">IFERROR(__xludf.DUMMYFUNCTION("""COMPUTED_VALUE"""),41659)</f>
        <v>41659</v>
      </c>
      <c r="G3648" s="9" t="str">
        <f ca="1">IFERROR(__xludf.DUMMYFUNCTION("""COMPUTED_VALUE"""),"1 USD = 105.4193 PKR")</f>
        <v>1 USD = 105.4193 PKR</v>
      </c>
      <c r="H3648" s="9" t="str">
        <f ca="1">IFERROR(__xludf.DUMMYFUNCTION("""COMPUTED_VALUE"""),"USD PKR rate for 20/01/2014")</f>
        <v>USD PKR rate for 20/01/2014</v>
      </c>
      <c r="I3648" s="9"/>
    </row>
    <row r="3649" spans="1:9" ht="14.25" customHeight="1" x14ac:dyDescent="0.3">
      <c r="A3649" s="6">
        <v>43366</v>
      </c>
      <c r="B3649" s="7">
        <v>123.154</v>
      </c>
      <c r="C3649" s="8">
        <f t="shared" si="29"/>
        <v>151.64761654049943</v>
      </c>
      <c r="D3649" s="9">
        <f t="shared" si="28"/>
        <v>71.725743622766061</v>
      </c>
      <c r="E3649" s="9"/>
      <c r="F3649" s="9">
        <f ca="1">IFERROR(__xludf.DUMMYFUNCTION("""COMPUTED_VALUE"""),41658)</f>
        <v>41658</v>
      </c>
      <c r="G3649" s="9" t="str">
        <f ca="1">IFERROR(__xludf.DUMMYFUNCTION("""COMPUTED_VALUE"""),"1 USD = 105.5527 PKR")</f>
        <v>1 USD = 105.5527 PKR</v>
      </c>
      <c r="H3649" s="9" t="str">
        <f ca="1">IFERROR(__xludf.DUMMYFUNCTION("""COMPUTED_VALUE"""),"USD PKR rate for 19/01/2014")</f>
        <v>USD PKR rate for 19/01/2014</v>
      </c>
      <c r="I3649" s="9"/>
    </row>
    <row r="3650" spans="1:9" ht="14.25" customHeight="1" x14ac:dyDescent="0.3">
      <c r="A3650" s="6">
        <v>43367</v>
      </c>
      <c r="B3650" s="7">
        <v>123.298</v>
      </c>
      <c r="C3650" s="8">
        <f t="shared" si="29"/>
        <v>151.67473868158979</v>
      </c>
      <c r="D3650" s="9">
        <f t="shared" si="28"/>
        <v>71.728481455563326</v>
      </c>
      <c r="E3650" s="9"/>
      <c r="F3650" s="9">
        <f ca="1">IFERROR(__xludf.DUMMYFUNCTION("""COMPUTED_VALUE"""),41657)</f>
        <v>41657</v>
      </c>
      <c r="G3650" s="9" t="str">
        <f ca="1">IFERROR(__xludf.DUMMYFUNCTION("""COMPUTED_VALUE"""),"1 USD = 105.345 PKR")</f>
        <v>1 USD = 105.345 PKR</v>
      </c>
      <c r="H3650" s="9" t="str">
        <f ca="1">IFERROR(__xludf.DUMMYFUNCTION("""COMPUTED_VALUE"""),"USD PKR rate for 18/01/2014")</f>
        <v>USD PKR rate for 18/01/2014</v>
      </c>
      <c r="I3650" s="9"/>
    </row>
    <row r="3651" spans="1:9" ht="14.25" customHeight="1" x14ac:dyDescent="0.3">
      <c r="A3651" s="6">
        <v>43368</v>
      </c>
      <c r="B3651" s="7">
        <v>123.7542</v>
      </c>
      <c r="C3651" s="8">
        <f t="shared" si="29"/>
        <v>151.70186567346877</v>
      </c>
      <c r="D3651" s="9">
        <f t="shared" si="28"/>
        <v>71.731219288360592</v>
      </c>
      <c r="E3651" s="9"/>
      <c r="F3651" s="9">
        <f ca="1">IFERROR(__xludf.DUMMYFUNCTION("""COMPUTED_VALUE"""),41656)</f>
        <v>41656</v>
      </c>
      <c r="G3651" s="9" t="str">
        <f ca="1">IFERROR(__xludf.DUMMYFUNCTION("""COMPUTED_VALUE"""),"1 USD = 105.3807 PKR")</f>
        <v>1 USD = 105.3807 PKR</v>
      </c>
      <c r="H3651" s="9" t="str">
        <f ca="1">IFERROR(__xludf.DUMMYFUNCTION("""COMPUTED_VALUE"""),"USD PKR rate for 17/01/2014")</f>
        <v>USD PKR rate for 17/01/2014</v>
      </c>
      <c r="I3651" s="9"/>
    </row>
    <row r="3652" spans="1:9" ht="14.25" customHeight="1" x14ac:dyDescent="0.3">
      <c r="A3652" s="6">
        <v>43369</v>
      </c>
      <c r="B3652" s="7">
        <v>123.4237</v>
      </c>
      <c r="C3652" s="8">
        <f t="shared" si="29"/>
        <v>151.72899751700396</v>
      </c>
      <c r="D3652" s="9">
        <f t="shared" si="28"/>
        <v>71.733957121157857</v>
      </c>
      <c r="E3652" s="9"/>
      <c r="F3652" s="9">
        <f ca="1">IFERROR(__xludf.DUMMYFUNCTION("""COMPUTED_VALUE"""),41655)</f>
        <v>41655</v>
      </c>
      <c r="G3652" s="9" t="str">
        <f ca="1">IFERROR(__xludf.DUMMYFUNCTION("""COMPUTED_VALUE"""),"1 USD = 105.5009 PKR")</f>
        <v>1 USD = 105.5009 PKR</v>
      </c>
      <c r="H3652" s="9" t="str">
        <f ca="1">IFERROR(__xludf.DUMMYFUNCTION("""COMPUTED_VALUE"""),"USD PKR rate for 16/01/2014")</f>
        <v>USD PKR rate for 16/01/2014</v>
      </c>
      <c r="I3652" s="9"/>
    </row>
    <row r="3653" spans="1:9" ht="14.25" customHeight="1" x14ac:dyDescent="0.3">
      <c r="A3653" s="6">
        <v>43370</v>
      </c>
      <c r="B3653" s="7">
        <v>123.44260000000001</v>
      </c>
      <c r="C3653" s="8">
        <f t="shared" si="29"/>
        <v>151.75613421306309</v>
      </c>
      <c r="D3653" s="9">
        <f t="shared" si="28"/>
        <v>71.736694953955123</v>
      </c>
      <c r="E3653" s="9"/>
      <c r="F3653" s="9">
        <f ca="1">IFERROR(__xludf.DUMMYFUNCTION("""COMPUTED_VALUE"""),41654)</f>
        <v>41654</v>
      </c>
      <c r="G3653" s="9" t="str">
        <f ca="1">IFERROR(__xludf.DUMMYFUNCTION("""COMPUTED_VALUE"""),"1 USD = 105.4786 PKR")</f>
        <v>1 USD = 105.4786 PKR</v>
      </c>
      <c r="H3653" s="9" t="str">
        <f ca="1">IFERROR(__xludf.DUMMYFUNCTION("""COMPUTED_VALUE"""),"USD PKR rate for 15/01/2014")</f>
        <v>USD PKR rate for 15/01/2014</v>
      </c>
      <c r="I3653" s="9"/>
    </row>
    <row r="3654" spans="1:9" ht="14.25" customHeight="1" x14ac:dyDescent="0.3">
      <c r="A3654" s="6">
        <v>43371</v>
      </c>
      <c r="B3654" s="7">
        <v>123.6001</v>
      </c>
      <c r="C3654" s="8">
        <f t="shared" si="29"/>
        <v>151.78327576251405</v>
      </c>
      <c r="D3654" s="9">
        <f t="shared" si="28"/>
        <v>71.739432786752388</v>
      </c>
      <c r="E3654" s="9"/>
      <c r="F3654" s="9">
        <f ca="1">IFERROR(__xludf.DUMMYFUNCTION("""COMPUTED_VALUE"""),41653)</f>
        <v>41653</v>
      </c>
      <c r="G3654" s="9" t="str">
        <f ca="1">IFERROR(__xludf.DUMMYFUNCTION("""COMPUTED_VALUE"""),"1 USD = 105.6972 PKR")</f>
        <v>1 USD = 105.6972 PKR</v>
      </c>
      <c r="H3654" s="9" t="str">
        <f ca="1">IFERROR(__xludf.DUMMYFUNCTION("""COMPUTED_VALUE"""),"USD PKR rate for 14/01/2014")</f>
        <v>USD PKR rate for 14/01/2014</v>
      </c>
      <c r="I3654" s="9"/>
    </row>
    <row r="3655" spans="1:9" ht="14.25" customHeight="1" x14ac:dyDescent="0.3">
      <c r="A3655" s="6">
        <v>43372</v>
      </c>
      <c r="B3655" s="7">
        <v>123.6001</v>
      </c>
      <c r="C3655" s="8">
        <f t="shared" si="29"/>
        <v>151.81042216622481</v>
      </c>
      <c r="D3655" s="9">
        <f t="shared" si="28"/>
        <v>71.742170619549654</v>
      </c>
      <c r="E3655" s="9"/>
      <c r="F3655" s="9">
        <f ca="1">IFERROR(__xludf.DUMMYFUNCTION("""COMPUTED_VALUE"""),41652)</f>
        <v>41652</v>
      </c>
      <c r="G3655" s="9" t="str">
        <f ca="1">IFERROR(__xludf.DUMMYFUNCTION("""COMPUTED_VALUE"""),"1 USD = 105.4534 PKR")</f>
        <v>1 USD = 105.4534 PKR</v>
      </c>
      <c r="H3655" s="9" t="str">
        <f ca="1">IFERROR(__xludf.DUMMYFUNCTION("""COMPUTED_VALUE"""),"USD PKR rate for 13/01/2014")</f>
        <v>USD PKR rate for 13/01/2014</v>
      </c>
      <c r="I3655" s="9"/>
    </row>
    <row r="3656" spans="1:9" ht="14.25" customHeight="1" x14ac:dyDescent="0.3">
      <c r="A3656" s="6">
        <v>43373</v>
      </c>
      <c r="B3656" s="7">
        <v>123.30010000000001</v>
      </c>
      <c r="C3656" s="8">
        <f t="shared" si="29"/>
        <v>151.8375734250636</v>
      </c>
      <c r="D3656" s="9">
        <f t="shared" si="28"/>
        <v>71.74490845234692</v>
      </c>
      <c r="E3656" s="9"/>
      <c r="F3656" s="9">
        <f ca="1">IFERROR(__xludf.DUMMYFUNCTION("""COMPUTED_VALUE"""),41651)</f>
        <v>41651</v>
      </c>
      <c r="G3656" s="9" t="str">
        <f ca="1">IFERROR(__xludf.DUMMYFUNCTION("""COMPUTED_VALUE"""),"1 USD = 105.2236 PKR")</f>
        <v>1 USD = 105.2236 PKR</v>
      </c>
      <c r="H3656" s="9" t="str">
        <f ca="1">IFERROR(__xludf.DUMMYFUNCTION("""COMPUTED_VALUE"""),"USD PKR rate for 12/01/2014")</f>
        <v>USD PKR rate for 12/01/2014</v>
      </c>
      <c r="I3656" s="9"/>
    </row>
    <row r="3657" spans="1:9" ht="14.25" customHeight="1" x14ac:dyDescent="0.3">
      <c r="A3657" s="6">
        <v>43374</v>
      </c>
      <c r="B3657" s="7">
        <v>123.19750000000001</v>
      </c>
      <c r="C3657" s="8">
        <f t="shared" si="29"/>
        <v>151.8647295398986</v>
      </c>
      <c r="D3657" s="9">
        <f t="shared" si="28"/>
        <v>71.747646285144185</v>
      </c>
      <c r="E3657" s="9"/>
      <c r="F3657" s="9">
        <f ca="1">IFERROR(__xludf.DUMMYFUNCTION("""COMPUTED_VALUE"""),41650)</f>
        <v>41650</v>
      </c>
      <c r="G3657" s="9" t="str">
        <f ca="1">IFERROR(__xludf.DUMMYFUNCTION("""COMPUTED_VALUE"""),"1 USD = 105.5165 PKR")</f>
        <v>1 USD = 105.5165 PKR</v>
      </c>
      <c r="H3657" s="9" t="str">
        <f ca="1">IFERROR(__xludf.DUMMYFUNCTION("""COMPUTED_VALUE"""),"USD PKR rate for 11/01/2014")</f>
        <v>USD PKR rate for 11/01/2014</v>
      </c>
      <c r="I3657" s="9"/>
    </row>
    <row r="3658" spans="1:9" ht="14.25" customHeight="1" x14ac:dyDescent="0.3">
      <c r="A3658" s="6">
        <v>43375</v>
      </c>
      <c r="B3658" s="7">
        <v>123.357</v>
      </c>
      <c r="C3658" s="8">
        <f t="shared" si="29"/>
        <v>151.8918905115986</v>
      </c>
      <c r="D3658" s="9">
        <f t="shared" si="28"/>
        <v>71.750384117941451</v>
      </c>
      <c r="E3658" s="9"/>
      <c r="F3658" s="9">
        <f ca="1">IFERROR(__xludf.DUMMYFUNCTION("""COMPUTED_VALUE"""),41649)</f>
        <v>41649</v>
      </c>
      <c r="G3658" s="9" t="str">
        <f ca="1">IFERROR(__xludf.DUMMYFUNCTION("""COMPUTED_VALUE"""),"1 USD = 105.5182 PKR")</f>
        <v>1 USD = 105.5182 PKR</v>
      </c>
      <c r="H3658" s="9" t="str">
        <f ca="1">IFERROR(__xludf.DUMMYFUNCTION("""COMPUTED_VALUE"""),"USD PKR rate for 10/01/2014")</f>
        <v>USD PKR rate for 10/01/2014</v>
      </c>
      <c r="I3658" s="9"/>
    </row>
    <row r="3659" spans="1:9" ht="14.25" customHeight="1" x14ac:dyDescent="0.3">
      <c r="A3659" s="6">
        <v>43376</v>
      </c>
      <c r="B3659" s="7">
        <v>123.5535</v>
      </c>
      <c r="C3659" s="8">
        <f t="shared" si="29"/>
        <v>151.91905634103207</v>
      </c>
      <c r="D3659" s="9">
        <f t="shared" si="28"/>
        <v>71.753121950738716</v>
      </c>
      <c r="E3659" s="9"/>
      <c r="F3659" s="9">
        <f ca="1">IFERROR(__xludf.DUMMYFUNCTION("""COMPUTED_VALUE"""),41648)</f>
        <v>41648</v>
      </c>
      <c r="G3659" s="9" t="str">
        <f ca="1">IFERROR(__xludf.DUMMYFUNCTION("""COMPUTED_VALUE"""),"1 USD = 105.5341 PKR")</f>
        <v>1 USD = 105.5341 PKR</v>
      </c>
      <c r="H3659" s="9" t="str">
        <f ca="1">IFERROR(__xludf.DUMMYFUNCTION("""COMPUTED_VALUE"""),"USD PKR rate for 09/01/2014")</f>
        <v>USD PKR rate for 09/01/2014</v>
      </c>
      <c r="I3659" s="9"/>
    </row>
    <row r="3660" spans="1:9" ht="14.25" customHeight="1" x14ac:dyDescent="0.3">
      <c r="A3660" s="6">
        <v>43377</v>
      </c>
      <c r="B3660" s="7">
        <v>123.5005</v>
      </c>
      <c r="C3660" s="8">
        <f t="shared" si="29"/>
        <v>151.94622702906787</v>
      </c>
      <c r="D3660" s="9">
        <f t="shared" si="28"/>
        <v>71.755859783535982</v>
      </c>
      <c r="E3660" s="9"/>
      <c r="F3660" s="9">
        <f ca="1">IFERROR(__xludf.DUMMYFUNCTION("""COMPUTED_VALUE"""),41647)</f>
        <v>41647</v>
      </c>
      <c r="G3660" s="9" t="str">
        <f ca="1">IFERROR(__xludf.DUMMYFUNCTION("""COMPUTED_VALUE"""),"1 USD = 105.4569 PKR")</f>
        <v>1 USD = 105.4569 PKR</v>
      </c>
      <c r="H3660" s="9" t="str">
        <f ca="1">IFERROR(__xludf.DUMMYFUNCTION("""COMPUTED_VALUE"""),"USD PKR rate for 08/01/2014")</f>
        <v>USD PKR rate for 08/01/2014</v>
      </c>
      <c r="I3660" s="9"/>
    </row>
    <row r="3661" spans="1:9" ht="14.25" customHeight="1" x14ac:dyDescent="0.3">
      <c r="A3661" s="6">
        <v>43378</v>
      </c>
      <c r="B3661" s="7">
        <v>123.5599</v>
      </c>
      <c r="C3661" s="8">
        <f t="shared" si="29"/>
        <v>151.9734025765749</v>
      </c>
      <c r="D3661" s="9">
        <f t="shared" si="28"/>
        <v>71.758597616333248</v>
      </c>
      <c r="E3661" s="9"/>
      <c r="F3661" s="9">
        <f ca="1">IFERROR(__xludf.DUMMYFUNCTION("""COMPUTED_VALUE"""),41646)</f>
        <v>41646</v>
      </c>
      <c r="G3661" s="9" t="str">
        <f ca="1">IFERROR(__xludf.DUMMYFUNCTION("""COMPUTED_VALUE"""),"1 USD = 105.6158 PKR")</f>
        <v>1 USD = 105.6158 PKR</v>
      </c>
      <c r="H3661" s="9" t="str">
        <f ca="1">IFERROR(__xludf.DUMMYFUNCTION("""COMPUTED_VALUE"""),"USD PKR rate for 07/01/2014")</f>
        <v>USD PKR rate for 07/01/2014</v>
      </c>
      <c r="I3661" s="9"/>
    </row>
    <row r="3662" spans="1:9" ht="14.25" customHeight="1" x14ac:dyDescent="0.3">
      <c r="A3662" s="6">
        <v>43379</v>
      </c>
      <c r="B3662" s="7">
        <v>122.84</v>
      </c>
      <c r="C3662" s="8">
        <f t="shared" si="29"/>
        <v>152.00058298442235</v>
      </c>
      <c r="D3662" s="9">
        <f t="shared" si="28"/>
        <v>71.761335449130513</v>
      </c>
      <c r="E3662" s="9"/>
      <c r="F3662" s="9">
        <f ca="1">IFERROR(__xludf.DUMMYFUNCTION("""COMPUTED_VALUE"""),41645)</f>
        <v>41645</v>
      </c>
      <c r="G3662" s="9" t="str">
        <f ca="1">IFERROR(__xludf.DUMMYFUNCTION("""COMPUTED_VALUE"""),"1 USD = 105.4817 PKR")</f>
        <v>1 USD = 105.4817 PKR</v>
      </c>
      <c r="H3662" s="9" t="str">
        <f ca="1">IFERROR(__xludf.DUMMYFUNCTION("""COMPUTED_VALUE"""),"USD PKR rate for 06/01/2014")</f>
        <v>USD PKR rate for 06/01/2014</v>
      </c>
      <c r="I3662" s="9"/>
    </row>
    <row r="3663" spans="1:9" ht="14.25" customHeight="1" x14ac:dyDescent="0.3">
      <c r="A3663" s="6">
        <v>43380</v>
      </c>
      <c r="B3663" s="7">
        <v>122.9855</v>
      </c>
      <c r="C3663" s="8">
        <f t="shared" si="29"/>
        <v>152.02776825347942</v>
      </c>
      <c r="D3663" s="9">
        <f t="shared" si="28"/>
        <v>71.764073281927779</v>
      </c>
      <c r="E3663" s="9"/>
      <c r="F3663" s="9">
        <f ca="1">IFERROR(__xludf.DUMMYFUNCTION("""COMPUTED_VALUE"""),41644)</f>
        <v>41644</v>
      </c>
      <c r="G3663" s="9" t="str">
        <f ca="1">IFERROR(__xludf.DUMMYFUNCTION("""COMPUTED_VALUE"""),"1 USD = 105.4918 PKR")</f>
        <v>1 USD = 105.4918 PKR</v>
      </c>
      <c r="H3663" s="9" t="str">
        <f ca="1">IFERROR(__xludf.DUMMYFUNCTION("""COMPUTED_VALUE"""),"USD PKR rate for 05/01/2014")</f>
        <v>USD PKR rate for 05/01/2014</v>
      </c>
      <c r="I3663" s="9"/>
    </row>
    <row r="3664" spans="1:9" ht="14.25" customHeight="1" x14ac:dyDescent="0.3">
      <c r="A3664" s="6">
        <v>43381</v>
      </c>
      <c r="B3664" s="7">
        <v>123.1982</v>
      </c>
      <c r="C3664" s="8">
        <f t="shared" si="29"/>
        <v>152.05495838461556</v>
      </c>
      <c r="D3664" s="9">
        <f t="shared" si="28"/>
        <v>71.766811114725044</v>
      </c>
      <c r="E3664" s="9"/>
      <c r="F3664" s="9">
        <f ca="1">IFERROR(__xludf.DUMMYFUNCTION("""COMPUTED_VALUE"""),41643)</f>
        <v>41643</v>
      </c>
      <c r="G3664" s="9" t="str">
        <f ca="1">IFERROR(__xludf.DUMMYFUNCTION("""COMPUTED_VALUE"""),"1 USD = 105.3161 PKR")</f>
        <v>1 USD = 105.3161 PKR</v>
      </c>
      <c r="H3664" s="9" t="str">
        <f ca="1">IFERROR(__xludf.DUMMYFUNCTION("""COMPUTED_VALUE"""),"USD PKR rate for 04/01/2014")</f>
        <v>USD PKR rate for 04/01/2014</v>
      </c>
      <c r="I3664" s="9"/>
    </row>
    <row r="3665" spans="1:9" ht="14.25" customHeight="1" x14ac:dyDescent="0.3">
      <c r="A3665" s="6">
        <v>43382</v>
      </c>
      <c r="B3665" s="7">
        <v>122.9496</v>
      </c>
      <c r="C3665" s="8">
        <f t="shared" si="29"/>
        <v>152.08215337870035</v>
      </c>
      <c r="D3665" s="9">
        <f t="shared" si="28"/>
        <v>71.76954894752231</v>
      </c>
      <c r="E3665" s="9"/>
      <c r="F3665" s="9">
        <f ca="1">IFERROR(__xludf.DUMMYFUNCTION("""COMPUTED_VALUE"""),41642)</f>
        <v>41642</v>
      </c>
      <c r="G3665" s="9" t="str">
        <f ca="1">IFERROR(__xludf.DUMMYFUNCTION("""COMPUTED_VALUE"""),"1 USD = 105.2999 PKR")</f>
        <v>1 USD = 105.2999 PKR</v>
      </c>
      <c r="H3665" s="9" t="str">
        <f ca="1">IFERROR(__xludf.DUMMYFUNCTION("""COMPUTED_VALUE"""),"USD PKR rate for 03/01/2014")</f>
        <v>USD PKR rate for 03/01/2014</v>
      </c>
      <c r="I3665" s="9"/>
    </row>
    <row r="3666" spans="1:9" ht="14.25" customHeight="1" x14ac:dyDescent="0.3">
      <c r="A3666" s="6">
        <v>43383</v>
      </c>
      <c r="B3666" s="7">
        <v>127.9863</v>
      </c>
      <c r="C3666" s="8">
        <f t="shared" si="29"/>
        <v>152.10935323660343</v>
      </c>
      <c r="D3666" s="9">
        <f t="shared" si="28"/>
        <v>71.772286780319575</v>
      </c>
      <c r="E3666" s="9"/>
      <c r="F3666" s="9">
        <f ca="1">IFERROR(__xludf.DUMMYFUNCTION("""COMPUTED_VALUE"""),41641)</f>
        <v>41641</v>
      </c>
      <c r="G3666" s="9" t="str">
        <f ca="1">IFERROR(__xludf.DUMMYFUNCTION("""COMPUTED_VALUE"""),"1 USD = 105.4983 PKR")</f>
        <v>1 USD = 105.4983 PKR</v>
      </c>
      <c r="H3666" s="9" t="str">
        <f ca="1">IFERROR(__xludf.DUMMYFUNCTION("""COMPUTED_VALUE"""),"USD PKR rate for 02/01/2014")</f>
        <v>USD PKR rate for 02/01/2014</v>
      </c>
      <c r="I3666" s="9"/>
    </row>
    <row r="3667" spans="1:9" ht="14.25" customHeight="1" x14ac:dyDescent="0.3">
      <c r="A3667" s="6">
        <v>43384</v>
      </c>
      <c r="B3667" s="7">
        <v>131.91679999999999</v>
      </c>
      <c r="C3667" s="8">
        <f t="shared" si="29"/>
        <v>152.13655795919487</v>
      </c>
      <c r="D3667" s="9">
        <f t="shared" si="28"/>
        <v>71.775024613116841</v>
      </c>
      <c r="E3667" s="9"/>
      <c r="F3667" s="9">
        <f ca="1">IFERROR(__xludf.DUMMYFUNCTION("""COMPUTED_VALUE"""),41640)</f>
        <v>41640</v>
      </c>
      <c r="G3667" s="9" t="str">
        <f ca="1">IFERROR(__xludf.DUMMYFUNCTION("""COMPUTED_VALUE"""),"1 USD = 105.4708 PKR")</f>
        <v>1 USD = 105.4708 PKR</v>
      </c>
      <c r="H3667" s="9" t="str">
        <f ca="1">IFERROR(__xludf.DUMMYFUNCTION("""COMPUTED_VALUE"""),"USD PKR rate for 01/01/2014")</f>
        <v>USD PKR rate for 01/01/2014</v>
      </c>
      <c r="I3667" s="9"/>
    </row>
    <row r="3668" spans="1:9" ht="14.25" customHeight="1" x14ac:dyDescent="0.3">
      <c r="A3668" s="6">
        <v>43385</v>
      </c>
      <c r="B3668" s="7">
        <v>133.2499</v>
      </c>
      <c r="C3668" s="8">
        <f t="shared" si="29"/>
        <v>152.16376754734472</v>
      </c>
      <c r="D3668" s="9">
        <f t="shared" si="28"/>
        <v>71.777762445914107</v>
      </c>
      <c r="E3668" s="9"/>
      <c r="F3668" s="9">
        <f ca="1">IFERROR(__xludf.DUMMYFUNCTION("""COMPUTED_VALUE"""),41639)</f>
        <v>41639</v>
      </c>
      <c r="G3668" s="9" t="str">
        <f ca="1">IFERROR(__xludf.DUMMYFUNCTION("""COMPUTED_VALUE"""),"1 USD = 105.4775 PKR")</f>
        <v>1 USD = 105.4775 PKR</v>
      </c>
      <c r="H3668" s="9" t="str">
        <f ca="1">IFERROR(__xludf.DUMMYFUNCTION("""COMPUTED_VALUE"""),"USD PKR rate for 31/12/2013")</f>
        <v>USD PKR rate for 31/12/2013</v>
      </c>
      <c r="I3668" s="9"/>
    </row>
    <row r="3669" spans="1:9" ht="14.25" customHeight="1" x14ac:dyDescent="0.3">
      <c r="A3669" s="6">
        <v>43386</v>
      </c>
      <c r="B3669" s="7">
        <v>133.2499</v>
      </c>
      <c r="C3669" s="8">
        <f t="shared" si="29"/>
        <v>152.19098200192306</v>
      </c>
      <c r="D3669" s="9">
        <f t="shared" si="28"/>
        <v>71.780500278711372</v>
      </c>
      <c r="E3669" s="9"/>
      <c r="F3669" s="9">
        <f ca="1">IFERROR(__xludf.DUMMYFUNCTION("""COMPUTED_VALUE"""),41638)</f>
        <v>41638</v>
      </c>
      <c r="G3669" s="9" t="str">
        <f ca="1">IFERROR(__xludf.DUMMYFUNCTION("""COMPUTED_VALUE"""),"1 USD = 105.8576 PKR")</f>
        <v>1 USD = 105.8576 PKR</v>
      </c>
      <c r="H3669" s="9" t="str">
        <f ca="1">IFERROR(__xludf.DUMMYFUNCTION("""COMPUTED_VALUE"""),"USD PKR rate for 30/12/2013")</f>
        <v>USD PKR rate for 30/12/2013</v>
      </c>
      <c r="I3669" s="9"/>
    </row>
    <row r="3670" spans="1:9" ht="14.25" customHeight="1" x14ac:dyDescent="0.3">
      <c r="A3670" s="6">
        <v>43387</v>
      </c>
      <c r="B3670" s="7">
        <v>133.08600000000001</v>
      </c>
      <c r="C3670" s="8">
        <f t="shared" si="29"/>
        <v>152.21820132380032</v>
      </c>
      <c r="D3670" s="9">
        <f t="shared" si="28"/>
        <v>71.783238111508638</v>
      </c>
      <c r="E3670" s="9"/>
      <c r="F3670" s="9">
        <f ca="1">IFERROR(__xludf.DUMMYFUNCTION("""COMPUTED_VALUE"""),41637)</f>
        <v>41637</v>
      </c>
      <c r="G3670" s="9" t="str">
        <f ca="1">IFERROR(__xludf.DUMMYFUNCTION("""COMPUTED_VALUE"""),"1 USD = 105.9471 PKR")</f>
        <v>1 USD = 105.9471 PKR</v>
      </c>
      <c r="H3670" s="9" t="str">
        <f ca="1">IFERROR(__xludf.DUMMYFUNCTION("""COMPUTED_VALUE"""),"USD PKR rate for 29/12/2013")</f>
        <v>USD PKR rate for 29/12/2013</v>
      </c>
      <c r="I3670" s="9"/>
    </row>
    <row r="3671" spans="1:9" ht="14.25" customHeight="1" x14ac:dyDescent="0.3">
      <c r="A3671" s="6">
        <v>43388</v>
      </c>
      <c r="B3671" s="7">
        <v>131.99119999999999</v>
      </c>
      <c r="C3671" s="8">
        <f t="shared" si="29"/>
        <v>152.24542551384695</v>
      </c>
      <c r="D3671" s="9">
        <f t="shared" si="28"/>
        <v>71.785975944305903</v>
      </c>
      <c r="E3671" s="9"/>
      <c r="F3671" s="9">
        <f ca="1">IFERROR(__xludf.DUMMYFUNCTION("""COMPUTED_VALUE"""),41636)</f>
        <v>41636</v>
      </c>
      <c r="G3671" s="9" t="str">
        <f ca="1">IFERROR(__xludf.DUMMYFUNCTION("""COMPUTED_VALUE"""),"1 USD = 105.4955 PKR")</f>
        <v>1 USD = 105.4955 PKR</v>
      </c>
      <c r="H3671" s="9" t="str">
        <f ca="1">IFERROR(__xludf.DUMMYFUNCTION("""COMPUTED_VALUE"""),"USD PKR rate for 28/12/2013")</f>
        <v>USD PKR rate for 28/12/2013</v>
      </c>
      <c r="I3671" s="9"/>
    </row>
    <row r="3672" spans="1:9" ht="14.25" customHeight="1" x14ac:dyDescent="0.3">
      <c r="A3672" s="6">
        <v>43389</v>
      </c>
      <c r="B3672" s="7">
        <v>132.08160000000001</v>
      </c>
      <c r="C3672" s="8">
        <f t="shared" si="29"/>
        <v>152.2726545729337</v>
      </c>
      <c r="D3672" s="9">
        <f t="shared" si="28"/>
        <v>71.788713777103169</v>
      </c>
      <c r="E3672" s="9"/>
      <c r="F3672" s="9">
        <f ca="1">IFERROR(__xludf.DUMMYFUNCTION("""COMPUTED_VALUE"""),41635)</f>
        <v>41635</v>
      </c>
      <c r="G3672" s="9" t="str">
        <f ca="1">IFERROR(__xludf.DUMMYFUNCTION("""COMPUTED_VALUE"""),"1 USD = 105.6545 PKR")</f>
        <v>1 USD = 105.6545 PKR</v>
      </c>
      <c r="H3672" s="9" t="str">
        <f ca="1">IFERROR(__xludf.DUMMYFUNCTION("""COMPUTED_VALUE"""),"USD PKR rate for 27/12/2013")</f>
        <v>USD PKR rate for 27/12/2013</v>
      </c>
      <c r="I3672" s="9"/>
    </row>
    <row r="3673" spans="1:9" ht="14.25" customHeight="1" x14ac:dyDescent="0.3">
      <c r="A3673" s="6">
        <v>43390</v>
      </c>
      <c r="B3673" s="7">
        <v>132.77879999999999</v>
      </c>
      <c r="C3673" s="8">
        <f t="shared" si="29"/>
        <v>152.29988850193135</v>
      </c>
      <c r="D3673" s="9">
        <f t="shared" si="28"/>
        <v>71.791451609900435</v>
      </c>
      <c r="E3673" s="9"/>
      <c r="F3673" s="9">
        <f ca="1">IFERROR(__xludf.DUMMYFUNCTION("""COMPUTED_VALUE"""),41634)</f>
        <v>41634</v>
      </c>
      <c r="G3673" s="9" t="str">
        <f ca="1">IFERROR(__xludf.DUMMYFUNCTION("""COMPUTED_VALUE"""),"1 USD = 105.6794 PKR")</f>
        <v>1 USD = 105.6794 PKR</v>
      </c>
      <c r="H3673" s="9" t="str">
        <f ca="1">IFERROR(__xludf.DUMMYFUNCTION("""COMPUTED_VALUE"""),"USD PKR rate for 26/12/2013")</f>
        <v>USD PKR rate for 26/12/2013</v>
      </c>
      <c r="I3673" s="9"/>
    </row>
    <row r="3674" spans="1:9" ht="14.25" customHeight="1" x14ac:dyDescent="0.3">
      <c r="A3674" s="6">
        <v>43391</v>
      </c>
      <c r="B3674" s="7">
        <v>132.91990000000001</v>
      </c>
      <c r="C3674" s="8">
        <f t="shared" si="29"/>
        <v>152.3271273017109</v>
      </c>
      <c r="D3674" s="9">
        <f t="shared" si="28"/>
        <v>71.7941894426977</v>
      </c>
      <c r="E3674" s="9"/>
      <c r="F3674" s="9">
        <f ca="1">IFERROR(__xludf.DUMMYFUNCTION("""COMPUTED_VALUE"""),41633)</f>
        <v>41633</v>
      </c>
      <c r="G3674" s="9" t="str">
        <f ca="1">IFERROR(__xludf.DUMMYFUNCTION("""COMPUTED_VALUE"""),"1 USD = 105.6593 PKR")</f>
        <v>1 USD = 105.6593 PKR</v>
      </c>
      <c r="H3674" s="9" t="str">
        <f ca="1">IFERROR(__xludf.DUMMYFUNCTION("""COMPUTED_VALUE"""),"USD PKR rate for 25/12/2013")</f>
        <v>USD PKR rate for 25/12/2013</v>
      </c>
      <c r="I3674" s="9"/>
    </row>
    <row r="3675" spans="1:9" ht="14.25" customHeight="1" x14ac:dyDescent="0.3">
      <c r="A3675" s="6">
        <v>43392</v>
      </c>
      <c r="B3675" s="7">
        <v>133.34479999999999</v>
      </c>
      <c r="C3675" s="8">
        <f t="shared" si="29"/>
        <v>152.35437097314335</v>
      </c>
      <c r="D3675" s="9">
        <f t="shared" si="28"/>
        <v>71.796927275494966</v>
      </c>
      <c r="E3675" s="9"/>
      <c r="F3675" s="9">
        <f ca="1">IFERROR(__xludf.DUMMYFUNCTION("""COMPUTED_VALUE"""),41632)</f>
        <v>41632</v>
      </c>
      <c r="G3675" s="9" t="str">
        <f ca="1">IFERROR(__xludf.DUMMYFUNCTION("""COMPUTED_VALUE"""),"1 USD = 105.6899 PKR")</f>
        <v>1 USD = 105.6899 PKR</v>
      </c>
      <c r="H3675" s="9" t="str">
        <f ca="1">IFERROR(__xludf.DUMMYFUNCTION("""COMPUTED_VALUE"""),"USD PKR rate for 24/12/2013")</f>
        <v>USD PKR rate for 24/12/2013</v>
      </c>
      <c r="I3675" s="9"/>
    </row>
    <row r="3676" spans="1:9" ht="14.25" customHeight="1" x14ac:dyDescent="0.3">
      <c r="A3676" s="6">
        <v>43393</v>
      </c>
      <c r="B3676" s="7">
        <v>133.34479999999999</v>
      </c>
      <c r="C3676" s="8">
        <f t="shared" si="29"/>
        <v>152.38161951710026</v>
      </c>
      <c r="D3676" s="9">
        <f t="shared" si="28"/>
        <v>71.799665108292231</v>
      </c>
      <c r="E3676" s="9"/>
      <c r="F3676" s="9">
        <f ca="1">IFERROR(__xludf.DUMMYFUNCTION("""COMPUTED_VALUE"""),41631)</f>
        <v>41631</v>
      </c>
      <c r="G3676" s="9" t="str">
        <f ca="1">IFERROR(__xludf.DUMMYFUNCTION("""COMPUTED_VALUE"""),"1 USD = 106.0906 PKR")</f>
        <v>1 USD = 106.0906 PKR</v>
      </c>
      <c r="H3676" s="9" t="str">
        <f ca="1">IFERROR(__xludf.DUMMYFUNCTION("""COMPUTED_VALUE"""),"USD PKR rate for 23/12/2013")</f>
        <v>USD PKR rate for 23/12/2013</v>
      </c>
      <c r="I3676" s="9"/>
    </row>
    <row r="3677" spans="1:9" ht="14.25" customHeight="1" x14ac:dyDescent="0.3">
      <c r="A3677" s="6">
        <v>43394</v>
      </c>
      <c r="B3677" s="7">
        <v>133.34</v>
      </c>
      <c r="C3677" s="8">
        <f t="shared" si="29"/>
        <v>152.40887293445294</v>
      </c>
      <c r="D3677" s="9">
        <f t="shared" si="28"/>
        <v>71.802402941089497</v>
      </c>
      <c r="E3677" s="9"/>
      <c r="F3677" s="9">
        <f ca="1">IFERROR(__xludf.DUMMYFUNCTION("""COMPUTED_VALUE"""),41630)</f>
        <v>41630</v>
      </c>
      <c r="G3677" s="9" t="str">
        <f ca="1">IFERROR(__xludf.DUMMYFUNCTION("""COMPUTED_VALUE"""),"1 USD = 106.0919 PKR")</f>
        <v>1 USD = 106.0919 PKR</v>
      </c>
      <c r="H3677" s="9" t="str">
        <f ca="1">IFERROR(__xludf.DUMMYFUNCTION("""COMPUTED_VALUE"""),"USD PKR rate for 22/12/2013")</f>
        <v>USD PKR rate for 22/12/2013</v>
      </c>
      <c r="I3677" s="9"/>
    </row>
    <row r="3678" spans="1:9" ht="14.25" customHeight="1" x14ac:dyDescent="0.3">
      <c r="A3678" s="6">
        <v>43395</v>
      </c>
      <c r="B3678" s="7">
        <v>132.9425</v>
      </c>
      <c r="C3678" s="8">
        <f t="shared" si="29"/>
        <v>152.43613122607297</v>
      </c>
      <c r="D3678" s="9">
        <f t="shared" si="28"/>
        <v>71.805140773886762</v>
      </c>
      <c r="E3678" s="9"/>
      <c r="F3678" s="9">
        <f ca="1">IFERROR(__xludf.DUMMYFUNCTION("""COMPUTED_VALUE"""),41629)</f>
        <v>41629</v>
      </c>
      <c r="G3678" s="9" t="str">
        <f ca="1">IFERROR(__xludf.DUMMYFUNCTION("""COMPUTED_VALUE"""),"1 USD = 106.2746 PKR")</f>
        <v>1 USD = 106.2746 PKR</v>
      </c>
      <c r="H3678" s="9" t="str">
        <f ca="1">IFERROR(__xludf.DUMMYFUNCTION("""COMPUTED_VALUE"""),"USD PKR rate for 21/12/2013")</f>
        <v>USD PKR rate for 21/12/2013</v>
      </c>
      <c r="I3678" s="9"/>
    </row>
    <row r="3679" spans="1:9" ht="14.25" customHeight="1" x14ac:dyDescent="0.3">
      <c r="A3679" s="6">
        <v>43396</v>
      </c>
      <c r="B3679" s="7">
        <v>133.62129999999999</v>
      </c>
      <c r="C3679" s="8">
        <f t="shared" si="29"/>
        <v>152.46339439283219</v>
      </c>
      <c r="D3679" s="9">
        <f t="shared" si="28"/>
        <v>71.807878606684028</v>
      </c>
      <c r="E3679" s="9"/>
      <c r="F3679" s="9">
        <f ca="1">IFERROR(__xludf.DUMMYFUNCTION("""COMPUTED_VALUE"""),41628)</f>
        <v>41628</v>
      </c>
      <c r="G3679" s="9" t="str">
        <f ca="1">IFERROR(__xludf.DUMMYFUNCTION("""COMPUTED_VALUE"""),"1 USD = 106.3293 PKR")</f>
        <v>1 USD = 106.3293 PKR</v>
      </c>
      <c r="H3679" s="9" t="str">
        <f ca="1">IFERROR(__xludf.DUMMYFUNCTION("""COMPUTED_VALUE"""),"USD PKR rate for 20/12/2013")</f>
        <v>USD PKR rate for 20/12/2013</v>
      </c>
      <c r="I3679" s="9"/>
    </row>
    <row r="3680" spans="1:9" ht="14.25" customHeight="1" x14ac:dyDescent="0.3">
      <c r="A3680" s="6">
        <v>43397</v>
      </c>
      <c r="B3680" s="7">
        <v>133.54990000000001</v>
      </c>
      <c r="C3680" s="8">
        <f t="shared" si="29"/>
        <v>152.49066243560245</v>
      </c>
      <c r="D3680" s="9">
        <f t="shared" si="28"/>
        <v>71.810616439481294</v>
      </c>
      <c r="E3680" s="9"/>
      <c r="F3680" s="9">
        <f ca="1">IFERROR(__xludf.DUMMYFUNCTION("""COMPUTED_VALUE"""),41627)</f>
        <v>41627</v>
      </c>
      <c r="G3680" s="9" t="str">
        <f ca="1">IFERROR(__xludf.DUMMYFUNCTION("""COMPUTED_VALUE"""),"1 USD = 106.3865 PKR")</f>
        <v>1 USD = 106.3865 PKR</v>
      </c>
      <c r="H3680" s="9" t="str">
        <f ca="1">IFERROR(__xludf.DUMMYFUNCTION("""COMPUTED_VALUE"""),"USD PKR rate for 19/12/2013")</f>
        <v>USD PKR rate for 19/12/2013</v>
      </c>
      <c r="I3680" s="9"/>
    </row>
    <row r="3681" spans="1:9" ht="14.25" customHeight="1" x14ac:dyDescent="0.3">
      <c r="A3681" s="6">
        <v>43398</v>
      </c>
      <c r="B3681" s="7">
        <v>132.05340000000004</v>
      </c>
      <c r="C3681" s="8">
        <f t="shared" si="29"/>
        <v>152.51793535525584</v>
      </c>
      <c r="D3681" s="9">
        <f t="shared" si="28"/>
        <v>71.813354272278559</v>
      </c>
      <c r="E3681" s="9"/>
      <c r="F3681" s="9">
        <f ca="1">IFERROR(__xludf.DUMMYFUNCTION("""COMPUTED_VALUE"""),41626)</f>
        <v>41626</v>
      </c>
      <c r="G3681" s="9" t="str">
        <f ca="1">IFERROR(__xludf.DUMMYFUNCTION("""COMPUTED_VALUE"""),"1 USD = 106.6992 PKR")</f>
        <v>1 USD = 106.6992 PKR</v>
      </c>
      <c r="H3681" s="9" t="str">
        <f ca="1">IFERROR(__xludf.DUMMYFUNCTION("""COMPUTED_VALUE"""),"USD PKR rate for 18/12/2013")</f>
        <v>USD PKR rate for 18/12/2013</v>
      </c>
      <c r="I3681" s="9"/>
    </row>
    <row r="3682" spans="1:9" ht="14.25" customHeight="1" x14ac:dyDescent="0.3">
      <c r="A3682" s="6">
        <v>43399</v>
      </c>
      <c r="B3682" s="7">
        <v>133.51010000000002</v>
      </c>
      <c r="C3682" s="8">
        <f t="shared" si="29"/>
        <v>152.54521315266459</v>
      </c>
      <c r="D3682" s="9">
        <f t="shared" si="28"/>
        <v>71.816092105075825</v>
      </c>
      <c r="E3682" s="9"/>
      <c r="F3682" s="9">
        <f ca="1">IFERROR(__xludf.DUMMYFUNCTION("""COMPUTED_VALUE"""),41625)</f>
        <v>41625</v>
      </c>
      <c r="G3682" s="9" t="str">
        <f ca="1">IFERROR(__xludf.DUMMYFUNCTION("""COMPUTED_VALUE"""),"1 USD = 106.8266 PKR")</f>
        <v>1 USD = 106.8266 PKR</v>
      </c>
      <c r="H3682" s="9" t="str">
        <f ca="1">IFERROR(__xludf.DUMMYFUNCTION("""COMPUTED_VALUE"""),"USD PKR rate for 17/12/2013")</f>
        <v>USD PKR rate for 17/12/2013</v>
      </c>
      <c r="I3682" s="9"/>
    </row>
    <row r="3683" spans="1:9" ht="14.25" customHeight="1" x14ac:dyDescent="0.3">
      <c r="A3683" s="6">
        <v>43400</v>
      </c>
      <c r="B3683" s="7">
        <v>133.51400000000001</v>
      </c>
      <c r="C3683" s="8">
        <f t="shared" si="29"/>
        <v>152.57249582870108</v>
      </c>
      <c r="D3683" s="9">
        <f t="shared" si="28"/>
        <v>71.81882993787309</v>
      </c>
      <c r="E3683" s="9"/>
      <c r="F3683" s="9">
        <f ca="1">IFERROR(__xludf.DUMMYFUNCTION("""COMPUTED_VALUE"""),41624)</f>
        <v>41624</v>
      </c>
      <c r="G3683" s="9" t="str">
        <f ca="1">IFERROR(__xludf.DUMMYFUNCTION("""COMPUTED_VALUE"""),"1 USD = 107.0511 PKR")</f>
        <v>1 USD = 107.0511 PKR</v>
      </c>
      <c r="H3683" s="9" t="str">
        <f ca="1">IFERROR(__xludf.DUMMYFUNCTION("""COMPUTED_VALUE"""),"USD PKR rate for 16/12/2013")</f>
        <v>USD PKR rate for 16/12/2013</v>
      </c>
      <c r="I3683" s="9"/>
    </row>
    <row r="3684" spans="1:9" ht="14.25" customHeight="1" x14ac:dyDescent="0.3">
      <c r="A3684" s="6">
        <v>43401</v>
      </c>
      <c r="B3684" s="7">
        <v>132.8903</v>
      </c>
      <c r="C3684" s="8">
        <f t="shared" si="29"/>
        <v>152.59978338423775</v>
      </c>
      <c r="D3684" s="9">
        <f t="shared" si="28"/>
        <v>71.821567770670356</v>
      </c>
      <c r="E3684" s="9"/>
      <c r="F3684" s="9">
        <f ca="1">IFERROR(__xludf.DUMMYFUNCTION("""COMPUTED_VALUE"""),41623)</f>
        <v>41623</v>
      </c>
      <c r="G3684" s="9" t="str">
        <f ca="1">IFERROR(__xludf.DUMMYFUNCTION("""COMPUTED_VALUE"""),"1 USD = 107.1543 PKR")</f>
        <v>1 USD = 107.1543 PKR</v>
      </c>
      <c r="H3684" s="9" t="str">
        <f ca="1">IFERROR(__xludf.DUMMYFUNCTION("""COMPUTED_VALUE"""),"USD PKR rate for 15/12/2013")</f>
        <v>USD PKR rate for 15/12/2013</v>
      </c>
      <c r="I3684" s="9"/>
    </row>
    <row r="3685" spans="1:9" ht="14.25" customHeight="1" x14ac:dyDescent="0.3">
      <c r="A3685" s="6">
        <v>43402</v>
      </c>
      <c r="B3685" s="7">
        <v>132.86619999999999</v>
      </c>
      <c r="C3685" s="8">
        <f t="shared" si="29"/>
        <v>152.62707582014752</v>
      </c>
      <c r="D3685" s="9">
        <f t="shared" si="28"/>
        <v>71.824305603467621</v>
      </c>
      <c r="E3685" s="9"/>
      <c r="F3685" s="9">
        <f ca="1">IFERROR(__xludf.DUMMYFUNCTION("""COMPUTED_VALUE"""),41622)</f>
        <v>41622</v>
      </c>
      <c r="G3685" s="9" t="str">
        <f ca="1">IFERROR(__xludf.DUMMYFUNCTION("""COMPUTED_VALUE"""),"1 USD = 107.2499 PKR")</f>
        <v>1 USD = 107.2499 PKR</v>
      </c>
      <c r="H3685" s="9" t="str">
        <f ca="1">IFERROR(__xludf.DUMMYFUNCTION("""COMPUTED_VALUE"""),"USD PKR rate for 14/12/2013")</f>
        <v>USD PKR rate for 14/12/2013</v>
      </c>
      <c r="I3685" s="9"/>
    </row>
    <row r="3686" spans="1:9" ht="14.25" customHeight="1" x14ac:dyDescent="0.3">
      <c r="A3686" s="6">
        <v>43403</v>
      </c>
      <c r="B3686" s="7">
        <v>132.5487</v>
      </c>
      <c r="C3686" s="8">
        <f t="shared" si="29"/>
        <v>152.65437313730317</v>
      </c>
      <c r="D3686" s="9">
        <f t="shared" si="28"/>
        <v>71.827043436264887</v>
      </c>
      <c r="E3686" s="9"/>
      <c r="F3686" s="9">
        <f ca="1">IFERROR(__xludf.DUMMYFUNCTION("""COMPUTED_VALUE"""),41621)</f>
        <v>41621</v>
      </c>
      <c r="G3686" s="9" t="str">
        <f ca="1">IFERROR(__xludf.DUMMYFUNCTION("""COMPUTED_VALUE"""),"1 USD = 107.1972 PKR")</f>
        <v>1 USD = 107.1972 PKR</v>
      </c>
      <c r="H3686" s="9" t="str">
        <f ca="1">IFERROR(__xludf.DUMMYFUNCTION("""COMPUTED_VALUE"""),"USD PKR rate for 13/12/2013")</f>
        <v>USD PKR rate for 13/12/2013</v>
      </c>
      <c r="I3686" s="9"/>
    </row>
    <row r="3687" spans="1:9" ht="14.25" customHeight="1" x14ac:dyDescent="0.3">
      <c r="A3687" s="6">
        <v>43404</v>
      </c>
      <c r="B3687" s="7">
        <v>133.52209999999999</v>
      </c>
      <c r="C3687" s="8">
        <f t="shared" si="29"/>
        <v>152.68167533657763</v>
      </c>
      <c r="D3687" s="9">
        <f t="shared" si="28"/>
        <v>71.829781269062153</v>
      </c>
      <c r="E3687" s="9"/>
      <c r="F3687" s="9">
        <f ca="1">IFERROR(__xludf.DUMMYFUNCTION("""COMPUTED_VALUE"""),41620)</f>
        <v>41620</v>
      </c>
      <c r="G3687" s="9" t="str">
        <f ca="1">IFERROR(__xludf.DUMMYFUNCTION("""COMPUTED_VALUE"""),"1 USD = 107.3536 PKR")</f>
        <v>1 USD = 107.3536 PKR</v>
      </c>
      <c r="H3687" s="9" t="str">
        <f ca="1">IFERROR(__xludf.DUMMYFUNCTION("""COMPUTED_VALUE"""),"USD PKR rate for 12/12/2013")</f>
        <v>USD PKR rate for 12/12/2013</v>
      </c>
      <c r="I3687" s="9"/>
    </row>
    <row r="3688" spans="1:9" ht="14.25" customHeight="1" x14ac:dyDescent="0.3">
      <c r="A3688" s="6">
        <v>43405</v>
      </c>
      <c r="B3688" s="7">
        <v>133.32030000000003</v>
      </c>
      <c r="C3688" s="8">
        <f t="shared" si="29"/>
        <v>152.7089824188441</v>
      </c>
      <c r="D3688" s="9">
        <f t="shared" si="28"/>
        <v>71.832519101859418</v>
      </c>
      <c r="E3688" s="9"/>
      <c r="F3688" s="9">
        <f ca="1">IFERROR(__xludf.DUMMYFUNCTION("""COMPUTED_VALUE"""),41619)</f>
        <v>41619</v>
      </c>
      <c r="G3688" s="9" t="str">
        <f ca="1">IFERROR(__xludf.DUMMYFUNCTION("""COMPUTED_VALUE"""),"1 USD = 107.3509 PKR")</f>
        <v>1 USD = 107.3509 PKR</v>
      </c>
      <c r="H3688" s="9" t="str">
        <f ca="1">IFERROR(__xludf.DUMMYFUNCTION("""COMPUTED_VALUE"""),"USD PKR rate for 11/12/2013")</f>
        <v>USD PKR rate for 11/12/2013</v>
      </c>
      <c r="I3688" s="9"/>
    </row>
    <row r="3689" spans="1:9" ht="14.25" customHeight="1" x14ac:dyDescent="0.3">
      <c r="A3689" s="6">
        <v>43406</v>
      </c>
      <c r="B3689" s="7">
        <v>133.3502</v>
      </c>
      <c r="C3689" s="8">
        <f t="shared" si="29"/>
        <v>152.73629438497593</v>
      </c>
      <c r="D3689" s="9">
        <f t="shared" si="28"/>
        <v>71.835256934656684</v>
      </c>
      <c r="E3689" s="9"/>
      <c r="F3689" s="9">
        <f ca="1">IFERROR(__xludf.DUMMYFUNCTION("""COMPUTED_VALUE"""),41618)</f>
        <v>41618</v>
      </c>
      <c r="G3689" s="9" t="str">
        <f ca="1">IFERROR(__xludf.DUMMYFUNCTION("""COMPUTED_VALUE"""),"1 USD = 107.9243 PKR")</f>
        <v>1 USD = 107.9243 PKR</v>
      </c>
      <c r="H3689" s="9" t="str">
        <f ca="1">IFERROR(__xludf.DUMMYFUNCTION("""COMPUTED_VALUE"""),"USD PKR rate for 10/12/2013")</f>
        <v>USD PKR rate for 10/12/2013</v>
      </c>
      <c r="I3689" s="9"/>
    </row>
    <row r="3690" spans="1:9" ht="14.25" customHeight="1" x14ac:dyDescent="0.3">
      <c r="A3690" s="6">
        <v>43407</v>
      </c>
      <c r="B3690" s="7">
        <v>133.3502</v>
      </c>
      <c r="C3690" s="8">
        <f t="shared" si="29"/>
        <v>152.76361123584658</v>
      </c>
      <c r="D3690" s="9">
        <f t="shared" si="28"/>
        <v>71.837994767453949</v>
      </c>
      <c r="E3690" s="9"/>
      <c r="F3690" s="9">
        <f ca="1">IFERROR(__xludf.DUMMYFUNCTION("""COMPUTED_VALUE"""),41617)</f>
        <v>41617</v>
      </c>
      <c r="G3690" s="9" t="str">
        <f ca="1">IFERROR(__xludf.DUMMYFUNCTION("""COMPUTED_VALUE"""),"1 USD = 108.1707 PKR")</f>
        <v>1 USD = 108.1707 PKR</v>
      </c>
      <c r="H3690" s="9" t="str">
        <f ca="1">IFERROR(__xludf.DUMMYFUNCTION("""COMPUTED_VALUE"""),"USD PKR rate for 09/12/2013")</f>
        <v>USD PKR rate for 09/12/2013</v>
      </c>
      <c r="I3690" s="9"/>
    </row>
    <row r="3691" spans="1:9" ht="14.25" customHeight="1" x14ac:dyDescent="0.3">
      <c r="A3691" s="6">
        <v>43408</v>
      </c>
      <c r="B3691" s="7">
        <v>133.51779999999999</v>
      </c>
      <c r="C3691" s="8">
        <f t="shared" si="29"/>
        <v>152.79093297232967</v>
      </c>
      <c r="D3691" s="9">
        <f t="shared" si="28"/>
        <v>71.840732600251215</v>
      </c>
      <c r="E3691" s="9"/>
      <c r="F3691" s="9">
        <f ca="1">IFERROR(__xludf.DUMMYFUNCTION("""COMPUTED_VALUE"""),41616)</f>
        <v>41616</v>
      </c>
      <c r="G3691" s="9" t="str">
        <f ca="1">IFERROR(__xludf.DUMMYFUNCTION("""COMPUTED_VALUE"""),"1 USD = 108.3255 PKR")</f>
        <v>1 USD = 108.3255 PKR</v>
      </c>
      <c r="H3691" s="9" t="str">
        <f ca="1">IFERROR(__xludf.DUMMYFUNCTION("""COMPUTED_VALUE"""),"USD PKR rate for 08/12/2013")</f>
        <v>USD PKR rate for 08/12/2013</v>
      </c>
      <c r="I3691" s="9"/>
    </row>
    <row r="3692" spans="1:9" ht="14.25" customHeight="1" x14ac:dyDescent="0.3">
      <c r="A3692" s="6">
        <v>43409</v>
      </c>
      <c r="B3692" s="7">
        <v>133.60329999999999</v>
      </c>
      <c r="C3692" s="8">
        <f t="shared" si="29"/>
        <v>152.818259595299</v>
      </c>
      <c r="D3692" s="9">
        <f t="shared" si="28"/>
        <v>71.843470433048481</v>
      </c>
      <c r="E3692" s="9"/>
      <c r="F3692" s="9">
        <f ca="1">IFERROR(__xludf.DUMMYFUNCTION("""COMPUTED_VALUE"""),41615)</f>
        <v>41615</v>
      </c>
      <c r="G3692" s="9" t="str">
        <f ca="1">IFERROR(__xludf.DUMMYFUNCTION("""COMPUTED_VALUE"""),"1 USD = 108.3171 PKR")</f>
        <v>1 USD = 108.3171 PKR</v>
      </c>
      <c r="H3692" s="9" t="str">
        <f ca="1">IFERROR(__xludf.DUMMYFUNCTION("""COMPUTED_VALUE"""),"USD PKR rate for 07/12/2013")</f>
        <v>USD PKR rate for 07/12/2013</v>
      </c>
      <c r="I3692" s="9"/>
    </row>
    <row r="3693" spans="1:9" ht="14.25" customHeight="1" x14ac:dyDescent="0.3">
      <c r="A3693" s="6">
        <v>43410</v>
      </c>
      <c r="B3693" s="7">
        <v>133.6319</v>
      </c>
      <c r="C3693" s="8">
        <f t="shared" si="29"/>
        <v>152.84559110562836</v>
      </c>
      <c r="D3693" s="9">
        <f t="shared" si="28"/>
        <v>71.846208265845746</v>
      </c>
      <c r="E3693" s="9"/>
      <c r="F3693" s="9">
        <f ca="1">IFERROR(__xludf.DUMMYFUNCTION("""COMPUTED_VALUE"""),41614)</f>
        <v>41614</v>
      </c>
      <c r="G3693" s="9" t="str">
        <f ca="1">IFERROR(__xludf.DUMMYFUNCTION("""COMPUTED_VALUE"""),"1 USD = 108.4063 PKR")</f>
        <v>1 USD = 108.4063 PKR</v>
      </c>
      <c r="H3693" s="9" t="str">
        <f ca="1">IFERROR(__xludf.DUMMYFUNCTION("""COMPUTED_VALUE"""),"USD PKR rate for 06/12/2013")</f>
        <v>USD PKR rate for 06/12/2013</v>
      </c>
      <c r="I3693" s="9"/>
    </row>
    <row r="3694" spans="1:9" ht="14.25" customHeight="1" x14ac:dyDescent="0.3">
      <c r="A3694" s="6">
        <v>43411</v>
      </c>
      <c r="B3694" s="7">
        <v>133.65479999999999</v>
      </c>
      <c r="C3694" s="8">
        <f t="shared" si="29"/>
        <v>152.87292750419218</v>
      </c>
      <c r="D3694" s="9">
        <f t="shared" si="28"/>
        <v>71.848946098643012</v>
      </c>
      <c r="E3694" s="9"/>
      <c r="F3694" s="9">
        <f ca="1">IFERROR(__xludf.DUMMYFUNCTION("""COMPUTED_VALUE"""),41613)</f>
        <v>41613</v>
      </c>
      <c r="G3694" s="9" t="str">
        <f ca="1">IFERROR(__xludf.DUMMYFUNCTION("""COMPUTED_VALUE"""),"1 USD = 108.5593 PKR")</f>
        <v>1 USD = 108.5593 PKR</v>
      </c>
      <c r="H3694" s="9" t="str">
        <f ca="1">IFERROR(__xludf.DUMMYFUNCTION("""COMPUTED_VALUE"""),"USD PKR rate for 05/12/2013")</f>
        <v>USD PKR rate for 05/12/2013</v>
      </c>
      <c r="I3694" s="9"/>
    </row>
    <row r="3695" spans="1:9" ht="14.25" customHeight="1" x14ac:dyDescent="0.3">
      <c r="A3695" s="6">
        <v>43412</v>
      </c>
      <c r="B3695" s="7">
        <v>133.18719999999999</v>
      </c>
      <c r="C3695" s="8">
        <f t="shared" si="29"/>
        <v>152.90026879186456</v>
      </c>
      <c r="D3695" s="9">
        <f t="shared" si="28"/>
        <v>71.851683931440277</v>
      </c>
      <c r="E3695" s="9"/>
      <c r="F3695" s="9">
        <f ca="1">IFERROR(__xludf.DUMMYFUNCTION("""COMPUTED_VALUE"""),41612)</f>
        <v>41612</v>
      </c>
      <c r="G3695" s="9" t="str">
        <f ca="1">IFERROR(__xludf.DUMMYFUNCTION("""COMPUTED_VALUE"""),"1 USD = 108.5666 PKR")</f>
        <v>1 USD = 108.5666 PKR</v>
      </c>
      <c r="H3695" s="9" t="str">
        <f ca="1">IFERROR(__xludf.DUMMYFUNCTION("""COMPUTED_VALUE"""),"USD PKR rate for 04/12/2013")</f>
        <v>USD PKR rate for 04/12/2013</v>
      </c>
      <c r="I3695" s="9"/>
    </row>
    <row r="3696" spans="1:9" ht="14.25" customHeight="1" x14ac:dyDescent="0.3">
      <c r="A3696" s="6">
        <v>43413</v>
      </c>
      <c r="B3696" s="7">
        <v>133.9999</v>
      </c>
      <c r="C3696" s="8">
        <f t="shared" si="29"/>
        <v>152.92761496951988</v>
      </c>
      <c r="D3696" s="9">
        <f t="shared" si="28"/>
        <v>71.854421764237543</v>
      </c>
      <c r="E3696" s="9"/>
      <c r="F3696" s="9">
        <f ca="1">IFERROR(__xludf.DUMMYFUNCTION("""COMPUTED_VALUE"""),41611)</f>
        <v>41611</v>
      </c>
      <c r="G3696" s="9" t="str">
        <f ca="1">IFERROR(__xludf.DUMMYFUNCTION("""COMPUTED_VALUE"""),"1 USD = 108.5827 PKR")</f>
        <v>1 USD = 108.5827 PKR</v>
      </c>
      <c r="H3696" s="9" t="str">
        <f ca="1">IFERROR(__xludf.DUMMYFUNCTION("""COMPUTED_VALUE"""),"USD PKR rate for 03/12/2013")</f>
        <v>USD PKR rate for 03/12/2013</v>
      </c>
      <c r="I3696" s="9"/>
    </row>
    <row r="3697" spans="1:9" ht="14.25" customHeight="1" x14ac:dyDescent="0.3">
      <c r="A3697" s="6">
        <v>43414</v>
      </c>
      <c r="B3697" s="7">
        <v>134.00219999999999</v>
      </c>
      <c r="C3697" s="8">
        <f t="shared" si="29"/>
        <v>152.95496603803275</v>
      </c>
      <c r="D3697" s="9">
        <f t="shared" si="28"/>
        <v>71.857159597034808</v>
      </c>
      <c r="E3697" s="9"/>
      <c r="F3697" s="9">
        <f ca="1">IFERROR(__xludf.DUMMYFUNCTION("""COMPUTED_VALUE"""),41610)</f>
        <v>41610</v>
      </c>
      <c r="G3697" s="9" t="str">
        <f ca="1">IFERROR(__xludf.DUMMYFUNCTION("""COMPUTED_VALUE"""),"1 USD = 108.5131 PKR")</f>
        <v>1 USD = 108.5131 PKR</v>
      </c>
      <c r="H3697" s="9" t="str">
        <f ca="1">IFERROR(__xludf.DUMMYFUNCTION("""COMPUTED_VALUE"""),"USD PKR rate for 02/12/2013")</f>
        <v>USD PKR rate for 02/12/2013</v>
      </c>
      <c r="I3697" s="9"/>
    </row>
    <row r="3698" spans="1:9" ht="14.25" customHeight="1" x14ac:dyDescent="0.3">
      <c r="A3698" s="6">
        <v>43415</v>
      </c>
      <c r="B3698" s="7">
        <v>133.92120000000003</v>
      </c>
      <c r="C3698" s="8">
        <f t="shared" si="29"/>
        <v>152.98232199827788</v>
      </c>
      <c r="D3698" s="9">
        <f t="shared" si="28"/>
        <v>71.859897429832074</v>
      </c>
      <c r="E3698" s="9"/>
      <c r="F3698" s="9">
        <f ca="1">IFERROR(__xludf.DUMMYFUNCTION("""COMPUTED_VALUE"""),41609)</f>
        <v>41609</v>
      </c>
      <c r="G3698" s="9" t="str">
        <f ca="1">IFERROR(__xludf.DUMMYFUNCTION("""COMPUTED_VALUE"""),"1 USD = 108.5392 PKR")</f>
        <v>1 USD = 108.5392 PKR</v>
      </c>
      <c r="H3698" s="9" t="str">
        <f ca="1">IFERROR(__xludf.DUMMYFUNCTION("""COMPUTED_VALUE"""),"USD PKR rate for 01/12/2013")</f>
        <v>USD PKR rate for 01/12/2013</v>
      </c>
      <c r="I3698" s="9"/>
    </row>
    <row r="3699" spans="1:9" ht="14.25" customHeight="1" x14ac:dyDescent="0.3">
      <c r="A3699" s="6">
        <v>43416</v>
      </c>
      <c r="B3699" s="7">
        <v>134.17869999999999</v>
      </c>
      <c r="C3699" s="8">
        <f t="shared" si="29"/>
        <v>153.00968285113018</v>
      </c>
      <c r="D3699" s="9">
        <f t="shared" si="28"/>
        <v>71.86263526262934</v>
      </c>
      <c r="E3699" s="9"/>
      <c r="F3699" s="9">
        <f ca="1">IFERROR(__xludf.DUMMYFUNCTION("""COMPUTED_VALUE"""),41608)</f>
        <v>41608</v>
      </c>
      <c r="G3699" s="9" t="str">
        <f ca="1">IFERROR(__xludf.DUMMYFUNCTION("""COMPUTED_VALUE"""),"1 USD = 108.4653 PKR")</f>
        <v>1 USD = 108.4653 PKR</v>
      </c>
      <c r="H3699" s="9" t="str">
        <f ca="1">IFERROR(__xludf.DUMMYFUNCTION("""COMPUTED_VALUE"""),"USD PKR rate for 30/11/2013")</f>
        <v>USD PKR rate for 30/11/2013</v>
      </c>
      <c r="I3699" s="9"/>
    </row>
    <row r="3700" spans="1:9" ht="14.25" customHeight="1" x14ac:dyDescent="0.3">
      <c r="A3700" s="6">
        <v>43417</v>
      </c>
      <c r="B3700" s="7">
        <v>132.99789999999999</v>
      </c>
      <c r="C3700" s="8">
        <f t="shared" si="29"/>
        <v>153.03704859746466</v>
      </c>
      <c r="D3700" s="9">
        <f t="shared" si="28"/>
        <v>71.865373095426605</v>
      </c>
      <c r="E3700" s="9"/>
      <c r="F3700" s="9">
        <f ca="1">IFERROR(__xludf.DUMMYFUNCTION("""COMPUTED_VALUE"""),41607)</f>
        <v>41607</v>
      </c>
      <c r="G3700" s="9" t="str">
        <f ca="1">IFERROR(__xludf.DUMMYFUNCTION("""COMPUTED_VALUE"""),"1 USD = 108.473 PKR")</f>
        <v>1 USD = 108.473 PKR</v>
      </c>
      <c r="H3700" s="9" t="str">
        <f ca="1">IFERROR(__xludf.DUMMYFUNCTION("""COMPUTED_VALUE"""),"USD PKR rate for 29/11/2013")</f>
        <v>USD PKR rate for 29/11/2013</v>
      </c>
      <c r="I3700" s="9"/>
    </row>
    <row r="3701" spans="1:9" ht="14.25" customHeight="1" x14ac:dyDescent="0.3">
      <c r="A3701" s="6">
        <v>43418</v>
      </c>
      <c r="B3701" s="7">
        <v>134.24799999999999</v>
      </c>
      <c r="C3701" s="8">
        <f t="shared" si="29"/>
        <v>153.06441923815652</v>
      </c>
      <c r="D3701" s="9">
        <f t="shared" si="28"/>
        <v>71.868110928223871</v>
      </c>
      <c r="E3701" s="9"/>
      <c r="F3701" s="9">
        <f ca="1">IFERROR(__xludf.DUMMYFUNCTION("""COMPUTED_VALUE"""),41606)</f>
        <v>41606</v>
      </c>
      <c r="G3701" s="9" t="str">
        <f ca="1">IFERROR(__xludf.DUMMYFUNCTION("""COMPUTED_VALUE"""),"1 USD = 108.3706 PKR")</f>
        <v>1 USD = 108.3706 PKR</v>
      </c>
      <c r="H3701" s="9" t="str">
        <f ca="1">IFERROR(__xludf.DUMMYFUNCTION("""COMPUTED_VALUE"""),"USD PKR rate for 28/11/2013")</f>
        <v>USD PKR rate for 28/11/2013</v>
      </c>
      <c r="I3701" s="9"/>
    </row>
    <row r="3702" spans="1:9" ht="14.25" customHeight="1" x14ac:dyDescent="0.3">
      <c r="A3702" s="6">
        <v>43419</v>
      </c>
      <c r="B3702" s="7">
        <v>133.99510000000001</v>
      </c>
      <c r="C3702" s="8">
        <f t="shared" si="29"/>
        <v>153.091794774081</v>
      </c>
      <c r="D3702" s="9">
        <f t="shared" si="28"/>
        <v>71.870848761021136</v>
      </c>
      <c r="E3702" s="9"/>
      <c r="F3702" s="9">
        <f ca="1">IFERROR(__xludf.DUMMYFUNCTION("""COMPUTED_VALUE"""),41605)</f>
        <v>41605</v>
      </c>
      <c r="G3702" s="9" t="str">
        <f ca="1">IFERROR(__xludf.DUMMYFUNCTION("""COMPUTED_VALUE"""),"1 USD = 108.2863 PKR")</f>
        <v>1 USD = 108.2863 PKR</v>
      </c>
      <c r="H3702" s="9" t="str">
        <f ca="1">IFERROR(__xludf.DUMMYFUNCTION("""COMPUTED_VALUE"""),"USD PKR rate for 27/11/2013")</f>
        <v>USD PKR rate for 27/11/2013</v>
      </c>
      <c r="I3702" s="9"/>
    </row>
    <row r="3703" spans="1:9" ht="14.25" customHeight="1" x14ac:dyDescent="0.3">
      <c r="A3703" s="6">
        <v>43420</v>
      </c>
      <c r="B3703" s="7">
        <v>133.99940000000001</v>
      </c>
      <c r="C3703" s="8">
        <f t="shared" si="29"/>
        <v>153.11917520611388</v>
      </c>
      <c r="D3703" s="9">
        <f t="shared" si="28"/>
        <v>71.873586593818402</v>
      </c>
      <c r="E3703" s="9"/>
      <c r="F3703" s="9">
        <f ca="1">IFERROR(__xludf.DUMMYFUNCTION("""COMPUTED_VALUE"""),41604)</f>
        <v>41604</v>
      </c>
      <c r="G3703" s="9" t="str">
        <f ca="1">IFERROR(__xludf.DUMMYFUNCTION("""COMPUTED_VALUE"""),"1 USD = 108.2447 PKR")</f>
        <v>1 USD = 108.2447 PKR</v>
      </c>
      <c r="H3703" s="9" t="str">
        <f ca="1">IFERROR(__xludf.DUMMYFUNCTION("""COMPUTED_VALUE"""),"USD PKR rate for 26/11/2013")</f>
        <v>USD PKR rate for 26/11/2013</v>
      </c>
      <c r="I3703" s="9"/>
    </row>
    <row r="3704" spans="1:9" ht="14.25" customHeight="1" x14ac:dyDescent="0.3">
      <c r="A3704" s="6">
        <v>43421</v>
      </c>
      <c r="B3704" s="7">
        <v>133.37379999999999</v>
      </c>
      <c r="C3704" s="8">
        <f t="shared" si="29"/>
        <v>153.1465605351307</v>
      </c>
      <c r="D3704" s="9">
        <f t="shared" si="28"/>
        <v>71.876324426615668</v>
      </c>
      <c r="E3704" s="9"/>
      <c r="F3704" s="9">
        <f ca="1">IFERROR(__xludf.DUMMYFUNCTION("""COMPUTED_VALUE"""),41603)</f>
        <v>41603</v>
      </c>
      <c r="G3704" s="9" t="str">
        <f ca="1">IFERROR(__xludf.DUMMYFUNCTION("""COMPUTED_VALUE"""),"1 USD = 107.8137 PKR")</f>
        <v>1 USD = 107.8137 PKR</v>
      </c>
      <c r="H3704" s="9" t="str">
        <f ca="1">IFERROR(__xludf.DUMMYFUNCTION("""COMPUTED_VALUE"""),"USD PKR rate for 25/11/2013")</f>
        <v>USD PKR rate for 25/11/2013</v>
      </c>
      <c r="I3704" s="9"/>
    </row>
    <row r="3705" spans="1:9" ht="14.25" customHeight="1" x14ac:dyDescent="0.3">
      <c r="A3705" s="6">
        <v>43422</v>
      </c>
      <c r="B3705" s="7">
        <v>133.49959999999999</v>
      </c>
      <c r="C3705" s="8">
        <f t="shared" si="29"/>
        <v>153.17395076200725</v>
      </c>
      <c r="D3705" s="9">
        <f t="shared" si="28"/>
        <v>71.879062259412933</v>
      </c>
      <c r="E3705" s="9"/>
      <c r="F3705" s="9">
        <f ca="1">IFERROR(__xludf.DUMMYFUNCTION("""COMPUTED_VALUE"""),41602)</f>
        <v>41602</v>
      </c>
      <c r="G3705" s="9" t="str">
        <f ca="1">IFERROR(__xludf.DUMMYFUNCTION("""COMPUTED_VALUE"""),"1 USD = 107.5139 PKR")</f>
        <v>1 USD = 107.5139 PKR</v>
      </c>
      <c r="H3705" s="9" t="str">
        <f ca="1">IFERROR(__xludf.DUMMYFUNCTION("""COMPUTED_VALUE"""),"USD PKR rate for 24/11/2013")</f>
        <v>USD PKR rate for 24/11/2013</v>
      </c>
      <c r="I3705" s="9"/>
    </row>
    <row r="3706" spans="1:9" ht="14.25" customHeight="1" x14ac:dyDescent="0.3">
      <c r="A3706" s="6">
        <v>43423</v>
      </c>
      <c r="B3706" s="7">
        <v>134.12809999999999</v>
      </c>
      <c r="C3706" s="8">
        <f t="shared" si="29"/>
        <v>153.20134588761954</v>
      </c>
      <c r="D3706" s="9">
        <f t="shared" si="28"/>
        <v>71.881800092210199</v>
      </c>
      <c r="E3706" s="9"/>
      <c r="F3706" s="9">
        <f ca="1">IFERROR(__xludf.DUMMYFUNCTION("""COMPUTED_VALUE"""),41601)</f>
        <v>41601</v>
      </c>
      <c r="G3706" s="9" t="str">
        <f ca="1">IFERROR(__xludf.DUMMYFUNCTION("""COMPUTED_VALUE"""),"1 USD = 107.5932 PKR")</f>
        <v>1 USD = 107.5932 PKR</v>
      </c>
      <c r="H3706" s="9" t="str">
        <f ca="1">IFERROR(__xludf.DUMMYFUNCTION("""COMPUTED_VALUE"""),"USD PKR rate for 23/11/2013")</f>
        <v>USD PKR rate for 23/11/2013</v>
      </c>
      <c r="I3706" s="9"/>
    </row>
    <row r="3707" spans="1:9" ht="14.25" customHeight="1" x14ac:dyDescent="0.3">
      <c r="A3707" s="6">
        <v>43424</v>
      </c>
      <c r="B3707" s="7">
        <v>134.39519999999999</v>
      </c>
      <c r="C3707" s="8">
        <f t="shared" si="29"/>
        <v>153.22874591284372</v>
      </c>
      <c r="D3707" s="9">
        <f t="shared" si="28"/>
        <v>71.884537925007464</v>
      </c>
      <c r="E3707" s="9"/>
      <c r="F3707" s="9">
        <f ca="1">IFERROR(__xludf.DUMMYFUNCTION("""COMPUTED_VALUE"""),41600)</f>
        <v>41600</v>
      </c>
      <c r="G3707" s="9" t="str">
        <f ca="1">IFERROR(__xludf.DUMMYFUNCTION("""COMPUTED_VALUE"""),"1 USD = 107.625 PKR")</f>
        <v>1 USD = 107.625 PKR</v>
      </c>
      <c r="H3707" s="9" t="str">
        <f ca="1">IFERROR(__xludf.DUMMYFUNCTION("""COMPUTED_VALUE"""),"USD PKR rate for 22/11/2013")</f>
        <v>USD PKR rate for 22/11/2013</v>
      </c>
      <c r="I3707" s="9"/>
    </row>
    <row r="3708" spans="1:9" ht="14.25" customHeight="1" x14ac:dyDescent="0.3">
      <c r="A3708" s="6">
        <v>43425</v>
      </c>
      <c r="B3708" s="7">
        <v>134.34460000000001</v>
      </c>
      <c r="C3708" s="8">
        <f t="shared" si="29"/>
        <v>153.25615083855604</v>
      </c>
      <c r="D3708" s="9">
        <f t="shared" si="28"/>
        <v>71.88727575780473</v>
      </c>
      <c r="E3708" s="9"/>
      <c r="F3708" s="9">
        <f ca="1">IFERROR(__xludf.DUMMYFUNCTION("""COMPUTED_VALUE"""),41599)</f>
        <v>41599</v>
      </c>
      <c r="G3708" s="9" t="str">
        <f ca="1">IFERROR(__xludf.DUMMYFUNCTION("""COMPUTED_VALUE"""),"1 USD = 107.7508 PKR")</f>
        <v>1 USD = 107.7508 PKR</v>
      </c>
      <c r="H3708" s="9" t="str">
        <f ca="1">IFERROR(__xludf.DUMMYFUNCTION("""COMPUTED_VALUE"""),"USD PKR rate for 21/11/2013")</f>
        <v>USD PKR rate for 21/11/2013</v>
      </c>
      <c r="I3708" s="9"/>
    </row>
    <row r="3709" spans="1:9" ht="14.25" customHeight="1" x14ac:dyDescent="0.3">
      <c r="A3709" s="6">
        <v>43426</v>
      </c>
      <c r="B3709" s="7">
        <v>134.55070000000001</v>
      </c>
      <c r="C3709" s="8">
        <f t="shared" si="29"/>
        <v>153.28356066563299</v>
      </c>
      <c r="D3709" s="9">
        <f t="shared" si="28"/>
        <v>71.890013590601995</v>
      </c>
      <c r="E3709" s="9"/>
      <c r="F3709" s="9">
        <f ca="1">IFERROR(__xludf.DUMMYFUNCTION("""COMPUTED_VALUE"""),41598)</f>
        <v>41598</v>
      </c>
      <c r="G3709" s="9" t="str">
        <f ca="1">IFERROR(__xludf.DUMMYFUNCTION("""COMPUTED_VALUE"""),"1 USD = 107.6843 PKR")</f>
        <v>1 USD = 107.6843 PKR</v>
      </c>
      <c r="H3709" s="9" t="str">
        <f ca="1">IFERROR(__xludf.DUMMYFUNCTION("""COMPUTED_VALUE"""),"USD PKR rate for 20/11/2013")</f>
        <v>USD PKR rate for 20/11/2013</v>
      </c>
      <c r="I3709" s="9"/>
    </row>
    <row r="3710" spans="1:9" ht="14.25" customHeight="1" x14ac:dyDescent="0.3">
      <c r="A3710" s="6">
        <v>43427</v>
      </c>
      <c r="B3710" s="7">
        <v>134.43020000000001</v>
      </c>
      <c r="C3710" s="8">
        <f t="shared" si="29"/>
        <v>153.31097539495116</v>
      </c>
      <c r="D3710" s="9">
        <f t="shared" si="28"/>
        <v>71.892751423399261</v>
      </c>
      <c r="E3710" s="9"/>
      <c r="F3710" s="9">
        <f ca="1">IFERROR(__xludf.DUMMYFUNCTION("""COMPUTED_VALUE"""),41597)</f>
        <v>41597</v>
      </c>
      <c r="G3710" s="9" t="str">
        <f ca="1">IFERROR(__xludf.DUMMYFUNCTION("""COMPUTED_VALUE"""),"1 USD = 107.5161 PKR")</f>
        <v>1 USD = 107.5161 PKR</v>
      </c>
      <c r="H3710" s="9" t="str">
        <f ca="1">IFERROR(__xludf.DUMMYFUNCTION("""COMPUTED_VALUE"""),"USD PKR rate for 19/11/2013")</f>
        <v>USD PKR rate for 19/11/2013</v>
      </c>
      <c r="I3710" s="9"/>
    </row>
    <row r="3711" spans="1:9" ht="14.25" customHeight="1" x14ac:dyDescent="0.3">
      <c r="A3711" s="6">
        <v>43428</v>
      </c>
      <c r="B3711" s="7">
        <v>134.43010000000001</v>
      </c>
      <c r="C3711" s="8">
        <f t="shared" si="29"/>
        <v>153.33839502738718</v>
      </c>
      <c r="D3711" s="9">
        <f t="shared" si="28"/>
        <v>71.895489256196527</v>
      </c>
      <c r="E3711" s="9"/>
      <c r="F3711" s="9">
        <f ca="1">IFERROR(__xludf.DUMMYFUNCTION("""COMPUTED_VALUE"""),41596)</f>
        <v>41596</v>
      </c>
      <c r="G3711" s="9" t="str">
        <f ca="1">IFERROR(__xludf.DUMMYFUNCTION("""COMPUTED_VALUE"""),"1 USD = 107.3597 PKR")</f>
        <v>1 USD = 107.3597 PKR</v>
      </c>
      <c r="H3711" s="9" t="str">
        <f ca="1">IFERROR(__xludf.DUMMYFUNCTION("""COMPUTED_VALUE"""),"USD PKR rate for 18/11/2013")</f>
        <v>USD PKR rate for 18/11/2013</v>
      </c>
      <c r="I3711" s="9"/>
    </row>
    <row r="3712" spans="1:9" ht="14.25" customHeight="1" x14ac:dyDescent="0.3">
      <c r="A3712" s="6">
        <v>43429</v>
      </c>
      <c r="B3712" s="7">
        <v>134.45349999999999</v>
      </c>
      <c r="C3712" s="8">
        <f t="shared" si="29"/>
        <v>153.36581956381823</v>
      </c>
      <c r="D3712" s="9">
        <f t="shared" si="28"/>
        <v>71.898227088993792</v>
      </c>
      <c r="E3712" s="9"/>
      <c r="F3712" s="9">
        <f ca="1">IFERROR(__xludf.DUMMYFUNCTION("""COMPUTED_VALUE"""),41595)</f>
        <v>41595</v>
      </c>
      <c r="G3712" s="9" t="str">
        <f ca="1">IFERROR(__xludf.DUMMYFUNCTION("""COMPUTED_VALUE"""),"1 USD = 107.2414 PKR")</f>
        <v>1 USD = 107.2414 PKR</v>
      </c>
      <c r="H3712" s="9" t="str">
        <f ca="1">IFERROR(__xludf.DUMMYFUNCTION("""COMPUTED_VALUE"""),"USD PKR rate for 17/11/2013")</f>
        <v>USD PKR rate for 17/11/2013</v>
      </c>
      <c r="I3712" s="9"/>
    </row>
    <row r="3713" spans="1:9" ht="14.25" customHeight="1" x14ac:dyDescent="0.3">
      <c r="A3713" s="6">
        <v>43430</v>
      </c>
      <c r="B3713" s="7">
        <v>134.44749999999999</v>
      </c>
      <c r="C3713" s="8">
        <f t="shared" si="29"/>
        <v>153.39324900512128</v>
      </c>
      <c r="D3713" s="9">
        <f t="shared" si="28"/>
        <v>71.900964921791058</v>
      </c>
      <c r="E3713" s="9"/>
      <c r="F3713" s="9">
        <f ca="1">IFERROR(__xludf.DUMMYFUNCTION("""COMPUTED_VALUE"""),41594)</f>
        <v>41594</v>
      </c>
      <c r="G3713" s="9" t="str">
        <f ca="1">IFERROR(__xludf.DUMMYFUNCTION("""COMPUTED_VALUE"""),"1 USD = 107.1582 PKR")</f>
        <v>1 USD = 107.1582 PKR</v>
      </c>
      <c r="H3713" s="9" t="str">
        <f ca="1">IFERROR(__xludf.DUMMYFUNCTION("""COMPUTED_VALUE"""),"USD PKR rate for 16/11/2013")</f>
        <v>USD PKR rate for 16/11/2013</v>
      </c>
      <c r="I3713" s="9"/>
    </row>
    <row r="3714" spans="1:9" ht="14.25" customHeight="1" x14ac:dyDescent="0.3">
      <c r="A3714" s="6">
        <v>43431</v>
      </c>
      <c r="B3714" s="7">
        <v>134.62809999999999</v>
      </c>
      <c r="C3714" s="8">
        <f t="shared" si="29"/>
        <v>153.42068335217354</v>
      </c>
      <c r="D3714" s="9">
        <f t="shared" si="28"/>
        <v>71.903702754588323</v>
      </c>
      <c r="E3714" s="9"/>
      <c r="F3714" s="9">
        <f ca="1">IFERROR(__xludf.DUMMYFUNCTION("""COMPUTED_VALUE"""),41593)</f>
        <v>41593</v>
      </c>
      <c r="G3714" s="9" t="str">
        <f ca="1">IFERROR(__xludf.DUMMYFUNCTION("""COMPUTED_VALUE"""),"1 USD = 107.1768 PKR")</f>
        <v>1 USD = 107.1768 PKR</v>
      </c>
      <c r="H3714" s="9" t="str">
        <f ca="1">IFERROR(__xludf.DUMMYFUNCTION("""COMPUTED_VALUE"""),"USD PKR rate for 15/11/2013")</f>
        <v>USD PKR rate for 15/11/2013</v>
      </c>
      <c r="I3714" s="9"/>
    </row>
    <row r="3715" spans="1:9" ht="14.25" customHeight="1" x14ac:dyDescent="0.3">
      <c r="A3715" s="6">
        <v>43432</v>
      </c>
      <c r="B3715" s="7">
        <v>134.55510000000001</v>
      </c>
      <c r="C3715" s="8">
        <f t="shared" si="29"/>
        <v>153.44812260585246</v>
      </c>
      <c r="D3715" s="9">
        <f t="shared" si="28"/>
        <v>71.906440587385589</v>
      </c>
      <c r="E3715" s="9"/>
      <c r="F3715" s="9">
        <f ca="1">IFERROR(__xludf.DUMMYFUNCTION("""COMPUTED_VALUE"""),41592)</f>
        <v>41592</v>
      </c>
      <c r="G3715" s="9" t="str">
        <f ca="1">IFERROR(__xludf.DUMMYFUNCTION("""COMPUTED_VALUE"""),"1 USD = 107.5148 PKR")</f>
        <v>1 USD = 107.5148 PKR</v>
      </c>
      <c r="H3715" s="9" t="str">
        <f ca="1">IFERROR(__xludf.DUMMYFUNCTION("""COMPUTED_VALUE"""),"USD PKR rate for 14/11/2013")</f>
        <v>USD PKR rate for 14/11/2013</v>
      </c>
      <c r="I3715" s="9"/>
    </row>
    <row r="3716" spans="1:9" ht="14.25" customHeight="1" x14ac:dyDescent="0.3">
      <c r="A3716" s="6">
        <v>43433</v>
      </c>
      <c r="B3716" s="7">
        <v>134.31280000000001</v>
      </c>
      <c r="C3716" s="8">
        <f t="shared" si="29"/>
        <v>153.4755667670355</v>
      </c>
      <c r="D3716" s="9">
        <f t="shared" si="28"/>
        <v>71.909178420182855</v>
      </c>
      <c r="E3716" s="9"/>
      <c r="F3716" s="9">
        <f ca="1">IFERROR(__xludf.DUMMYFUNCTION("""COMPUTED_VALUE"""),41591)</f>
        <v>41591</v>
      </c>
      <c r="G3716" s="9" t="str">
        <f ca="1">IFERROR(__xludf.DUMMYFUNCTION("""COMPUTED_VALUE"""),"1 USD = 107.3808 PKR")</f>
        <v>1 USD = 107.3808 PKR</v>
      </c>
      <c r="H3716" s="9" t="str">
        <f ca="1">IFERROR(__xludf.DUMMYFUNCTION("""COMPUTED_VALUE"""),"USD PKR rate for 13/11/2013")</f>
        <v>USD PKR rate for 13/11/2013</v>
      </c>
      <c r="I3716" s="9"/>
    </row>
    <row r="3717" spans="1:9" ht="14.25" customHeight="1" x14ac:dyDescent="0.3">
      <c r="A3717" s="6">
        <v>43434</v>
      </c>
      <c r="B3717" s="7">
        <v>134.1902</v>
      </c>
      <c r="C3717" s="8">
        <f t="shared" si="29"/>
        <v>153.50301583660041</v>
      </c>
      <c r="D3717" s="9">
        <f t="shared" si="28"/>
        <v>71.91191625298012</v>
      </c>
      <c r="E3717" s="9"/>
      <c r="F3717" s="9">
        <f ca="1">IFERROR(__xludf.DUMMYFUNCTION("""COMPUTED_VALUE"""),41590)</f>
        <v>41590</v>
      </c>
      <c r="G3717" s="9" t="str">
        <f ca="1">IFERROR(__xludf.DUMMYFUNCTION("""COMPUTED_VALUE"""),"1 USD = 107.5242 PKR")</f>
        <v>1 USD = 107.5242 PKR</v>
      </c>
      <c r="H3717" s="9" t="str">
        <f ca="1">IFERROR(__xludf.DUMMYFUNCTION("""COMPUTED_VALUE"""),"USD PKR rate for 12/11/2013")</f>
        <v>USD PKR rate for 12/11/2013</v>
      </c>
      <c r="I3717" s="9"/>
    </row>
    <row r="3718" spans="1:9" ht="14.25" customHeight="1" x14ac:dyDescent="0.3">
      <c r="A3718" s="6">
        <v>43435</v>
      </c>
      <c r="B3718" s="7">
        <v>134.18469999999999</v>
      </c>
      <c r="C3718" s="8">
        <f t="shared" si="29"/>
        <v>153.53046981542508</v>
      </c>
      <c r="D3718" s="9">
        <f t="shared" si="28"/>
        <v>71.914654085777386</v>
      </c>
      <c r="E3718" s="9"/>
      <c r="F3718" s="9">
        <f ca="1">IFERROR(__xludf.DUMMYFUNCTION("""COMPUTED_VALUE"""),41589)</f>
        <v>41589</v>
      </c>
      <c r="G3718" s="9" t="str">
        <f ca="1">IFERROR(__xludf.DUMMYFUNCTION("""COMPUTED_VALUE"""),"1 USD = 107.4218 PKR")</f>
        <v>1 USD = 107.4218 PKR</v>
      </c>
      <c r="H3718" s="9" t="str">
        <f ca="1">IFERROR(__xludf.DUMMYFUNCTION("""COMPUTED_VALUE"""),"USD PKR rate for 11/11/2013")</f>
        <v>USD PKR rate for 11/11/2013</v>
      </c>
      <c r="I3718" s="9"/>
    </row>
    <row r="3719" spans="1:9" ht="14.25" customHeight="1" x14ac:dyDescent="0.3">
      <c r="A3719" s="6">
        <v>43436</v>
      </c>
      <c r="B3719" s="7">
        <v>139.56559999999999</v>
      </c>
      <c r="C3719" s="8">
        <f t="shared" si="29"/>
        <v>153.55792870438748</v>
      </c>
      <c r="D3719" s="9">
        <f t="shared" si="28"/>
        <v>71.917391918574651</v>
      </c>
      <c r="E3719" s="9"/>
      <c r="F3719" s="9">
        <f ca="1">IFERROR(__xludf.DUMMYFUNCTION("""COMPUTED_VALUE"""),41588)</f>
        <v>41588</v>
      </c>
      <c r="G3719" s="9" t="str">
        <f ca="1">IFERROR(__xludf.DUMMYFUNCTION("""COMPUTED_VALUE"""),"1 USD = 107.5747 PKR")</f>
        <v>1 USD = 107.5747 PKR</v>
      </c>
      <c r="H3719" s="9" t="str">
        <f ca="1">IFERROR(__xludf.DUMMYFUNCTION("""COMPUTED_VALUE"""),"USD PKR rate for 10/11/2013")</f>
        <v>USD PKR rate for 10/11/2013</v>
      </c>
      <c r="I3719" s="9"/>
    </row>
    <row r="3720" spans="1:9" ht="14.25" customHeight="1" x14ac:dyDescent="0.3">
      <c r="A3720" s="6">
        <v>43437</v>
      </c>
      <c r="B3720" s="7">
        <v>138.9462</v>
      </c>
      <c r="C3720" s="8">
        <f t="shared" si="29"/>
        <v>153.58539250436581</v>
      </c>
      <c r="D3720" s="9">
        <f t="shared" si="28"/>
        <v>71.920129751371917</v>
      </c>
      <c r="E3720" s="9"/>
      <c r="F3720" s="9">
        <f ca="1">IFERROR(__xludf.DUMMYFUNCTION("""COMPUTED_VALUE"""),41587)</f>
        <v>41587</v>
      </c>
      <c r="G3720" s="9" t="str">
        <f ca="1">IFERROR(__xludf.DUMMYFUNCTION("""COMPUTED_VALUE"""),"1 USD = 107.443 PKR")</f>
        <v>1 USD = 107.443 PKR</v>
      </c>
      <c r="H3720" s="9" t="str">
        <f ca="1">IFERROR(__xludf.DUMMYFUNCTION("""COMPUTED_VALUE"""),"USD PKR rate for 09/11/2013")</f>
        <v>USD PKR rate for 09/11/2013</v>
      </c>
      <c r="I3720" s="9"/>
    </row>
    <row r="3721" spans="1:9" ht="14.25" customHeight="1" x14ac:dyDescent="0.3">
      <c r="A3721" s="6">
        <v>43438</v>
      </c>
      <c r="B3721" s="7">
        <v>137.59670000000003</v>
      </c>
      <c r="C3721" s="8">
        <f t="shared" si="29"/>
        <v>153.61286121623831</v>
      </c>
      <c r="D3721" s="9">
        <f t="shared" si="28"/>
        <v>71.922867584169182</v>
      </c>
      <c r="E3721" s="9"/>
      <c r="F3721" s="9">
        <f ca="1">IFERROR(__xludf.DUMMYFUNCTION("""COMPUTED_VALUE"""),41586)</f>
        <v>41586</v>
      </c>
      <c r="G3721" s="9" t="str">
        <f ca="1">IFERROR(__xludf.DUMMYFUNCTION("""COMPUTED_VALUE"""),"1 USD = 107.3536 PKR")</f>
        <v>1 USD = 107.3536 PKR</v>
      </c>
      <c r="H3721" s="9" t="str">
        <f ca="1">IFERROR(__xludf.DUMMYFUNCTION("""COMPUTED_VALUE"""),"USD PKR rate for 08/11/2013")</f>
        <v>USD PKR rate for 08/11/2013</v>
      </c>
      <c r="I3721" s="9"/>
    </row>
    <row r="3722" spans="1:9" ht="14.25" customHeight="1" x14ac:dyDescent="0.3">
      <c r="A3722" s="6">
        <v>43439</v>
      </c>
      <c r="B3722" s="7">
        <v>138.5471</v>
      </c>
      <c r="C3722" s="8">
        <f t="shared" si="29"/>
        <v>153.64033484088367</v>
      </c>
      <c r="D3722" s="9">
        <f t="shared" si="28"/>
        <v>71.925605416966448</v>
      </c>
      <c r="E3722" s="9"/>
      <c r="F3722" s="9">
        <f ca="1">IFERROR(__xludf.DUMMYFUNCTION("""COMPUTED_VALUE"""),41585)</f>
        <v>41585</v>
      </c>
      <c r="G3722" s="9" t="str">
        <f ca="1">IFERROR(__xludf.DUMMYFUNCTION("""COMPUTED_VALUE"""),"1 USD = 107.3619 PKR")</f>
        <v>1 USD = 107.3619 PKR</v>
      </c>
      <c r="H3722" s="9" t="str">
        <f ca="1">IFERROR(__xludf.DUMMYFUNCTION("""COMPUTED_VALUE"""),"USD PKR rate for 07/11/2013")</f>
        <v>USD PKR rate for 07/11/2013</v>
      </c>
      <c r="I3722" s="9"/>
    </row>
    <row r="3723" spans="1:9" ht="14.25" customHeight="1" x14ac:dyDescent="0.3">
      <c r="A3723" s="6">
        <v>43440</v>
      </c>
      <c r="B3723" s="7">
        <v>138.62979999999999</v>
      </c>
      <c r="C3723" s="8">
        <f t="shared" si="29"/>
        <v>153.66781337918042</v>
      </c>
      <c r="D3723" s="9">
        <f t="shared" si="28"/>
        <v>71.928343249763714</v>
      </c>
      <c r="E3723" s="9"/>
      <c r="F3723" s="9">
        <f ca="1">IFERROR(__xludf.DUMMYFUNCTION("""COMPUTED_VALUE"""),41584)</f>
        <v>41584</v>
      </c>
      <c r="G3723" s="9" t="str">
        <f ca="1">IFERROR(__xludf.DUMMYFUNCTION("""COMPUTED_VALUE"""),"1 USD = 107.2519 PKR")</f>
        <v>1 USD = 107.2519 PKR</v>
      </c>
      <c r="H3723" s="9" t="str">
        <f ca="1">IFERROR(__xludf.DUMMYFUNCTION("""COMPUTED_VALUE"""),"USD PKR rate for 06/11/2013")</f>
        <v>USD PKR rate for 06/11/2013</v>
      </c>
      <c r="I3723" s="9"/>
    </row>
    <row r="3724" spans="1:9" ht="14.25" customHeight="1" x14ac:dyDescent="0.3">
      <c r="A3724" s="6">
        <v>43441</v>
      </c>
      <c r="B3724" s="7">
        <v>138.75020000000001</v>
      </c>
      <c r="C3724" s="8">
        <f t="shared" si="29"/>
        <v>153.69529683200739</v>
      </c>
      <c r="D3724" s="9">
        <f t="shared" si="28"/>
        <v>71.931081082560979</v>
      </c>
      <c r="E3724" s="9"/>
      <c r="F3724" s="9">
        <f ca="1">IFERROR(__xludf.DUMMYFUNCTION("""COMPUTED_VALUE"""),41583)</f>
        <v>41583</v>
      </c>
      <c r="G3724" s="9" t="str">
        <f ca="1">IFERROR(__xludf.DUMMYFUNCTION("""COMPUTED_VALUE"""),"1 USD = 107.3243 PKR")</f>
        <v>1 USD = 107.3243 PKR</v>
      </c>
      <c r="H3724" s="9" t="str">
        <f ca="1">IFERROR(__xludf.DUMMYFUNCTION("""COMPUTED_VALUE"""),"USD PKR rate for 05/11/2013")</f>
        <v>USD PKR rate for 05/11/2013</v>
      </c>
      <c r="I3724" s="9"/>
    </row>
    <row r="3725" spans="1:9" ht="14.25" customHeight="1" x14ac:dyDescent="0.3">
      <c r="A3725" s="6">
        <v>43442</v>
      </c>
      <c r="B3725" s="7">
        <v>138.75020000000001</v>
      </c>
      <c r="C3725" s="8">
        <f t="shared" si="29"/>
        <v>153.72278520024355</v>
      </c>
      <c r="D3725" s="9">
        <f t="shared" si="28"/>
        <v>71.933818915358245</v>
      </c>
      <c r="E3725" s="9"/>
      <c r="F3725" s="9">
        <f ca="1">IFERROR(__xludf.DUMMYFUNCTION("""COMPUTED_VALUE"""),41582)</f>
        <v>41582</v>
      </c>
      <c r="G3725" s="9" t="str">
        <f ca="1">IFERROR(__xludf.DUMMYFUNCTION("""COMPUTED_VALUE"""),"1 USD = 107.1041 PKR")</f>
        <v>1 USD = 107.1041 PKR</v>
      </c>
      <c r="H3725" s="9" t="str">
        <f ca="1">IFERROR(__xludf.DUMMYFUNCTION("""COMPUTED_VALUE"""),"USD PKR rate for 04/11/2013")</f>
        <v>USD PKR rate for 04/11/2013</v>
      </c>
      <c r="I3725" s="9"/>
    </row>
    <row r="3726" spans="1:9" ht="14.25" customHeight="1" x14ac:dyDescent="0.3">
      <c r="A3726" s="6">
        <v>43443</v>
      </c>
      <c r="B3726" s="7">
        <v>138.92529999999999</v>
      </c>
      <c r="C3726" s="8">
        <f t="shared" si="29"/>
        <v>153.7502784847681</v>
      </c>
      <c r="D3726" s="9">
        <f t="shared" si="28"/>
        <v>71.936556748155525</v>
      </c>
      <c r="E3726" s="9"/>
      <c r="F3726" s="9">
        <f ca="1">IFERROR(__xludf.DUMMYFUNCTION("""COMPUTED_VALUE"""),41581)</f>
        <v>41581</v>
      </c>
      <c r="G3726" s="9" t="str">
        <f ca="1">IFERROR(__xludf.DUMMYFUNCTION("""COMPUTED_VALUE"""),"1 USD = 107.1719 PKR")</f>
        <v>1 USD = 107.1719 PKR</v>
      </c>
      <c r="H3726" s="9" t="str">
        <f ca="1">IFERROR(__xludf.DUMMYFUNCTION("""COMPUTED_VALUE"""),"USD PKR rate for 03/11/2013")</f>
        <v>USD PKR rate for 03/11/2013</v>
      </c>
      <c r="I3726" s="9"/>
    </row>
    <row r="3727" spans="1:9" ht="14.25" customHeight="1" x14ac:dyDescent="0.3">
      <c r="A3727" s="6">
        <v>43444</v>
      </c>
      <c r="B3727" s="7">
        <v>138.9701</v>
      </c>
      <c r="C3727" s="8">
        <f t="shared" si="29"/>
        <v>153.77777668646013</v>
      </c>
      <c r="D3727" s="9">
        <f t="shared" si="28"/>
        <v>71.93929458095279</v>
      </c>
      <c r="E3727" s="9"/>
      <c r="F3727" s="9">
        <f ca="1">IFERROR(__xludf.DUMMYFUNCTION("""COMPUTED_VALUE"""),41580)</f>
        <v>41580</v>
      </c>
      <c r="G3727" s="9" t="str">
        <f ca="1">IFERROR(__xludf.DUMMYFUNCTION("""COMPUTED_VALUE"""),"1 USD = 106.9294 PKR")</f>
        <v>1 USD = 106.9294 PKR</v>
      </c>
      <c r="H3727" s="9" t="str">
        <f ca="1">IFERROR(__xludf.DUMMYFUNCTION("""COMPUTED_VALUE"""),"USD PKR rate for 02/11/2013")</f>
        <v>USD PKR rate for 02/11/2013</v>
      </c>
      <c r="I3727" s="9"/>
    </row>
    <row r="3728" spans="1:9" ht="14.25" customHeight="1" x14ac:dyDescent="0.3">
      <c r="A3728" s="6">
        <v>43445</v>
      </c>
      <c r="B3728" s="7">
        <v>139.45670000000001</v>
      </c>
      <c r="C3728" s="8">
        <f t="shared" si="29"/>
        <v>153.80527980619914</v>
      </c>
      <c r="D3728" s="9">
        <f t="shared" si="28"/>
        <v>71.942032413750056</v>
      </c>
      <c r="E3728" s="9"/>
      <c r="F3728" s="9">
        <f ca="1">IFERROR(__xludf.DUMMYFUNCTION("""COMPUTED_VALUE"""),41579)</f>
        <v>41579</v>
      </c>
      <c r="G3728" s="9" t="str">
        <f ca="1">IFERROR(__xludf.DUMMYFUNCTION("""COMPUTED_VALUE"""),"1 USD = 107.0132 PKR")</f>
        <v>1 USD = 107.0132 PKR</v>
      </c>
      <c r="H3728" s="9" t="str">
        <f ca="1">IFERROR(__xludf.DUMMYFUNCTION("""COMPUTED_VALUE"""),"USD PKR rate for 01/11/2013")</f>
        <v>USD PKR rate for 01/11/2013</v>
      </c>
      <c r="I3728" s="9"/>
    </row>
    <row r="3729" spans="1:9" ht="14.25" customHeight="1" x14ac:dyDescent="0.3">
      <c r="A3729" s="6">
        <v>43446</v>
      </c>
      <c r="B3729" s="7">
        <v>139.05199999999999</v>
      </c>
      <c r="C3729" s="8">
        <f t="shared" si="29"/>
        <v>153.83278784486473</v>
      </c>
      <c r="D3729" s="9">
        <f t="shared" si="28"/>
        <v>71.944770246547321</v>
      </c>
      <c r="E3729" s="9"/>
      <c r="F3729" s="9">
        <f ca="1">IFERROR(__xludf.DUMMYFUNCTION("""COMPUTED_VALUE"""),41578)</f>
        <v>41578</v>
      </c>
      <c r="G3729" s="9" t="str">
        <f ca="1">IFERROR(__xludf.DUMMYFUNCTION("""COMPUTED_VALUE"""),"1 USD = 106.8654 PKR")</f>
        <v>1 USD = 106.8654 PKR</v>
      </c>
      <c r="H3729" s="9" t="str">
        <f ca="1">IFERROR(__xludf.DUMMYFUNCTION("""COMPUTED_VALUE"""),"USD PKR rate for 31/10/2013")</f>
        <v>USD PKR rate for 31/10/2013</v>
      </c>
      <c r="I3729" s="9"/>
    </row>
    <row r="3730" spans="1:9" ht="14.25" customHeight="1" x14ac:dyDescent="0.3">
      <c r="A3730" s="6">
        <v>43447</v>
      </c>
      <c r="B3730" s="7">
        <v>139.51610000000002</v>
      </c>
      <c r="C3730" s="8">
        <f t="shared" si="29"/>
        <v>153.86030080333654</v>
      </c>
      <c r="D3730" s="9">
        <f t="shared" si="28"/>
        <v>71.947508079344587</v>
      </c>
      <c r="E3730" s="9"/>
      <c r="F3730" s="9">
        <f ca="1">IFERROR(__xludf.DUMMYFUNCTION("""COMPUTED_VALUE"""),41577)</f>
        <v>41577</v>
      </c>
      <c r="G3730" s="9" t="str">
        <f ca="1">IFERROR(__xludf.DUMMYFUNCTION("""COMPUTED_VALUE"""),"1 USD = 106.7225 PKR")</f>
        <v>1 USD = 106.7225 PKR</v>
      </c>
      <c r="H3730" s="9" t="str">
        <f ca="1">IFERROR(__xludf.DUMMYFUNCTION("""COMPUTED_VALUE"""),"USD PKR rate for 30/10/2013")</f>
        <v>USD PKR rate for 30/10/2013</v>
      </c>
      <c r="I3730" s="9"/>
    </row>
    <row r="3731" spans="1:9" ht="14.25" customHeight="1" x14ac:dyDescent="0.3">
      <c r="A3731" s="6">
        <v>43448</v>
      </c>
      <c r="B3731" s="7">
        <v>139.09979999999999</v>
      </c>
      <c r="C3731" s="8">
        <f t="shared" si="29"/>
        <v>153.88781868249475</v>
      </c>
      <c r="D3731" s="9">
        <f t="shared" si="28"/>
        <v>71.950245912141853</v>
      </c>
      <c r="E3731" s="9"/>
      <c r="F3731" s="9">
        <f ca="1">IFERROR(__xludf.DUMMYFUNCTION("""COMPUTED_VALUE"""),41576)</f>
        <v>41576</v>
      </c>
      <c r="G3731" s="9" t="str">
        <f ca="1">IFERROR(__xludf.DUMMYFUNCTION("""COMPUTED_VALUE"""),"1 USD = 106.6738 PKR")</f>
        <v>1 USD = 106.6738 PKR</v>
      </c>
      <c r="H3731" s="9" t="str">
        <f ca="1">IFERROR(__xludf.DUMMYFUNCTION("""COMPUTED_VALUE"""),"USD PKR rate for 29/10/2013")</f>
        <v>USD PKR rate for 29/10/2013</v>
      </c>
      <c r="I3731" s="9"/>
    </row>
    <row r="3732" spans="1:9" ht="14.25" customHeight="1" x14ac:dyDescent="0.3">
      <c r="A3732" s="6">
        <v>43449</v>
      </c>
      <c r="B3732" s="7">
        <v>139.09979999999999</v>
      </c>
      <c r="C3732" s="8">
        <f t="shared" si="29"/>
        <v>153.91534148321927</v>
      </c>
      <c r="D3732" s="9">
        <f t="shared" si="28"/>
        <v>71.952983744939118</v>
      </c>
      <c r="E3732" s="9"/>
      <c r="F3732" s="9">
        <f ca="1">IFERROR(__xludf.DUMMYFUNCTION("""COMPUTED_VALUE"""),41575)</f>
        <v>41575</v>
      </c>
      <c r="G3732" s="9" t="str">
        <f ca="1">IFERROR(__xludf.DUMMYFUNCTION("""COMPUTED_VALUE"""),"1 USD = 106.509 PKR")</f>
        <v>1 USD = 106.509 PKR</v>
      </c>
      <c r="H3732" s="9" t="str">
        <f ca="1">IFERROR(__xludf.DUMMYFUNCTION("""COMPUTED_VALUE"""),"USD PKR rate for 28/10/2013")</f>
        <v>USD PKR rate for 28/10/2013</v>
      </c>
      <c r="I3732" s="9"/>
    </row>
    <row r="3733" spans="1:9" ht="14.25" customHeight="1" x14ac:dyDescent="0.3">
      <c r="A3733" s="6">
        <v>43450</v>
      </c>
      <c r="B3733" s="7">
        <v>139.5231</v>
      </c>
      <c r="C3733" s="8">
        <f t="shared" si="29"/>
        <v>153.9428692063903</v>
      </c>
      <c r="D3733" s="9">
        <f t="shared" si="28"/>
        <v>71.955721577736384</v>
      </c>
      <c r="E3733" s="9"/>
      <c r="F3733" s="9">
        <f ca="1">IFERROR(__xludf.DUMMYFUNCTION("""COMPUTED_VALUE"""),41574)</f>
        <v>41574</v>
      </c>
      <c r="G3733" s="9" t="str">
        <f ca="1">IFERROR(__xludf.DUMMYFUNCTION("""COMPUTED_VALUE"""),"1 USD = 106.34 PKR")</f>
        <v>1 USD = 106.34 PKR</v>
      </c>
      <c r="H3733" s="9" t="str">
        <f ca="1">IFERROR(__xludf.DUMMYFUNCTION("""COMPUTED_VALUE"""),"USD PKR rate for 27/10/2013")</f>
        <v>USD PKR rate for 27/10/2013</v>
      </c>
      <c r="I3733" s="9"/>
    </row>
    <row r="3734" spans="1:9" ht="14.25" customHeight="1" x14ac:dyDescent="0.3">
      <c r="A3734" s="6">
        <v>43451</v>
      </c>
      <c r="B3734" s="7">
        <v>139.56139999999999</v>
      </c>
      <c r="C3734" s="8">
        <f t="shared" si="29"/>
        <v>153.97040185288824</v>
      </c>
      <c r="D3734" s="9">
        <f t="shared" si="28"/>
        <v>71.958459410533649</v>
      </c>
      <c r="E3734" s="9"/>
      <c r="F3734" s="9">
        <f ca="1">IFERROR(__xludf.DUMMYFUNCTION("""COMPUTED_VALUE"""),41573)</f>
        <v>41573</v>
      </c>
      <c r="G3734" s="9" t="str">
        <f ca="1">IFERROR(__xludf.DUMMYFUNCTION("""COMPUTED_VALUE"""),"1 USD = 106.2604 PKR")</f>
        <v>1 USD = 106.2604 PKR</v>
      </c>
      <c r="H3734" s="9" t="str">
        <f ca="1">IFERROR(__xludf.DUMMYFUNCTION("""COMPUTED_VALUE"""),"USD PKR rate for 26/10/2013")</f>
        <v>USD PKR rate for 26/10/2013</v>
      </c>
      <c r="I3734" s="9"/>
    </row>
    <row r="3735" spans="1:9" ht="14.25" customHeight="1" x14ac:dyDescent="0.3">
      <c r="A3735" s="6">
        <v>43452</v>
      </c>
      <c r="B3735" s="7">
        <v>139.69579999999999</v>
      </c>
      <c r="C3735" s="8">
        <f t="shared" si="29"/>
        <v>153.99793942359366</v>
      </c>
      <c r="D3735" s="9">
        <f t="shared" si="28"/>
        <v>71.961197243330915</v>
      </c>
      <c r="E3735" s="9"/>
      <c r="F3735" s="9">
        <f ca="1">IFERROR(__xludf.DUMMYFUNCTION("""COMPUTED_VALUE"""),41572)</f>
        <v>41572</v>
      </c>
      <c r="G3735" s="9" t="str">
        <f ca="1">IFERROR(__xludf.DUMMYFUNCTION("""COMPUTED_VALUE"""),"1 USD = 106.3121 PKR")</f>
        <v>1 USD = 106.3121 PKR</v>
      </c>
      <c r="H3735" s="9" t="str">
        <f ca="1">IFERROR(__xludf.DUMMYFUNCTION("""COMPUTED_VALUE"""),"USD PKR rate for 25/10/2013")</f>
        <v>USD PKR rate for 25/10/2013</v>
      </c>
      <c r="I3735" s="9"/>
    </row>
    <row r="3736" spans="1:9" ht="14.25" customHeight="1" x14ac:dyDescent="0.3">
      <c r="A3736" s="6">
        <v>43453</v>
      </c>
      <c r="B3736" s="7">
        <v>139.58230000000003</v>
      </c>
      <c r="C3736" s="8">
        <f t="shared" si="29"/>
        <v>154.0254819193872</v>
      </c>
      <c r="D3736" s="9">
        <f t="shared" si="28"/>
        <v>71.96393507612818</v>
      </c>
      <c r="E3736" s="9"/>
      <c r="F3736" s="9">
        <f ca="1">IFERROR(__xludf.DUMMYFUNCTION("""COMPUTED_VALUE"""),41571)</f>
        <v>41571</v>
      </c>
      <c r="G3736" s="9" t="str">
        <f ca="1">IFERROR(__xludf.DUMMYFUNCTION("""COMPUTED_VALUE"""),"1 USD = 106.4028 PKR")</f>
        <v>1 USD = 106.4028 PKR</v>
      </c>
      <c r="H3736" s="9" t="str">
        <f ca="1">IFERROR(__xludf.DUMMYFUNCTION("""COMPUTED_VALUE"""),"USD PKR rate for 24/10/2013")</f>
        <v>USD PKR rate for 24/10/2013</v>
      </c>
      <c r="I3736" s="9"/>
    </row>
    <row r="3737" spans="1:9" ht="14.25" customHeight="1" x14ac:dyDescent="0.3">
      <c r="A3737" s="6">
        <v>43454</v>
      </c>
      <c r="B3737" s="7">
        <v>138.9999</v>
      </c>
      <c r="C3737" s="8">
        <f t="shared" si="29"/>
        <v>154.05302934114974</v>
      </c>
      <c r="D3737" s="9">
        <f t="shared" si="28"/>
        <v>71.966672908925446</v>
      </c>
      <c r="E3737" s="9"/>
      <c r="F3737" s="9">
        <f ca="1">IFERROR(__xludf.DUMMYFUNCTION("""COMPUTED_VALUE"""),41570)</f>
        <v>41570</v>
      </c>
      <c r="G3737" s="9" t="str">
        <f ca="1">IFERROR(__xludf.DUMMYFUNCTION("""COMPUTED_VALUE"""),"1 USD = 106.461 PKR")</f>
        <v>1 USD = 106.461 PKR</v>
      </c>
      <c r="H3737" s="9" t="str">
        <f ca="1">IFERROR(__xludf.DUMMYFUNCTION("""COMPUTED_VALUE"""),"USD PKR rate for 23/10/2013")</f>
        <v>USD PKR rate for 23/10/2013</v>
      </c>
      <c r="I3737" s="9"/>
    </row>
    <row r="3738" spans="1:9" ht="14.25" customHeight="1" x14ac:dyDescent="0.3">
      <c r="A3738" s="6">
        <v>43455</v>
      </c>
      <c r="B3738" s="7">
        <v>139.15</v>
      </c>
      <c r="C3738" s="8">
        <f t="shared" si="29"/>
        <v>154.08058168976228</v>
      </c>
      <c r="D3738" s="9">
        <f t="shared" si="28"/>
        <v>71.969410741722712</v>
      </c>
      <c r="E3738" s="9"/>
      <c r="F3738" s="9">
        <f ca="1">IFERROR(__xludf.DUMMYFUNCTION("""COMPUTED_VALUE"""),41569)</f>
        <v>41569</v>
      </c>
      <c r="G3738" s="9" t="str">
        <f ca="1">IFERROR(__xludf.DUMMYFUNCTION("""COMPUTED_VALUE"""),"1 USD = 106.1912 PKR")</f>
        <v>1 USD = 106.1912 PKR</v>
      </c>
      <c r="H3738" s="9" t="str">
        <f ca="1">IFERROR(__xludf.DUMMYFUNCTION("""COMPUTED_VALUE"""),"USD PKR rate for 22/10/2013")</f>
        <v>USD PKR rate for 22/10/2013</v>
      </c>
      <c r="I3738" s="9"/>
    </row>
    <row r="3739" spans="1:9" ht="14.25" customHeight="1" x14ac:dyDescent="0.3">
      <c r="A3739" s="6">
        <v>43456</v>
      </c>
      <c r="B3739" s="7">
        <v>139.15049999999999</v>
      </c>
      <c r="C3739" s="8">
        <f t="shared" si="29"/>
        <v>154.10813896610586</v>
      </c>
      <c r="D3739" s="9">
        <f t="shared" si="28"/>
        <v>71.972148574519977</v>
      </c>
      <c r="E3739" s="9"/>
      <c r="F3739" s="9">
        <f ca="1">IFERROR(__xludf.DUMMYFUNCTION("""COMPUTED_VALUE"""),41568)</f>
        <v>41568</v>
      </c>
      <c r="G3739" s="9" t="str">
        <f ca="1">IFERROR(__xludf.DUMMYFUNCTION("""COMPUTED_VALUE"""),"1 USD = 106.4053 PKR")</f>
        <v>1 USD = 106.4053 PKR</v>
      </c>
      <c r="H3739" s="9" t="str">
        <f ca="1">IFERROR(__xludf.DUMMYFUNCTION("""COMPUTED_VALUE"""),"USD PKR rate for 21/10/2013")</f>
        <v>USD PKR rate for 21/10/2013</v>
      </c>
      <c r="I3739" s="9"/>
    </row>
    <row r="3740" spans="1:9" ht="14.25" customHeight="1" x14ac:dyDescent="0.3">
      <c r="A3740" s="6">
        <v>43457</v>
      </c>
      <c r="B3740" s="7">
        <v>139.5735</v>
      </c>
      <c r="C3740" s="8">
        <f t="shared" si="29"/>
        <v>154.13570117106204</v>
      </c>
      <c r="D3740" s="9">
        <f t="shared" si="28"/>
        <v>71.974886407317243</v>
      </c>
      <c r="E3740" s="9"/>
      <c r="F3740" s="9">
        <f ca="1">IFERROR(__xludf.DUMMYFUNCTION("""COMPUTED_VALUE"""),41567)</f>
        <v>41567</v>
      </c>
      <c r="G3740" s="9" t="str">
        <f ca="1">IFERROR(__xludf.DUMMYFUNCTION("""COMPUTED_VALUE"""),"1 USD = 106.069 PKR")</f>
        <v>1 USD = 106.069 PKR</v>
      </c>
      <c r="H3740" s="9" t="str">
        <f ca="1">IFERROR(__xludf.DUMMYFUNCTION("""COMPUTED_VALUE"""),"USD PKR rate for 20/10/2013")</f>
        <v>USD PKR rate for 20/10/2013</v>
      </c>
      <c r="I3740" s="9"/>
    </row>
    <row r="3741" spans="1:9" ht="14.25" customHeight="1" x14ac:dyDescent="0.3">
      <c r="A3741" s="6">
        <v>43458</v>
      </c>
      <c r="B3741" s="7">
        <v>139.6335</v>
      </c>
      <c r="C3741" s="8">
        <f t="shared" si="29"/>
        <v>154.16326830551222</v>
      </c>
      <c r="D3741" s="9">
        <f t="shared" si="28"/>
        <v>71.977624240114508</v>
      </c>
      <c r="E3741" s="9"/>
      <c r="F3741" s="9">
        <f ca="1">IFERROR(__xludf.DUMMYFUNCTION("""COMPUTED_VALUE"""),41566)</f>
        <v>41566</v>
      </c>
      <c r="G3741" s="9" t="str">
        <f ca="1">IFERROR(__xludf.DUMMYFUNCTION("""COMPUTED_VALUE"""),"1 USD = 105.9007 PKR")</f>
        <v>1 USD = 105.9007 PKR</v>
      </c>
      <c r="H3741" s="9" t="str">
        <f ca="1">IFERROR(__xludf.DUMMYFUNCTION("""COMPUTED_VALUE"""),"USD PKR rate for 19/10/2013")</f>
        <v>USD PKR rate for 19/10/2013</v>
      </c>
      <c r="I3741" s="9"/>
    </row>
    <row r="3742" spans="1:9" ht="14.25" customHeight="1" x14ac:dyDescent="0.3">
      <c r="A3742" s="6">
        <v>43459</v>
      </c>
      <c r="B3742" s="7">
        <v>139.5549</v>
      </c>
      <c r="C3742" s="8">
        <f t="shared" si="29"/>
        <v>154.19084037033801</v>
      </c>
      <c r="D3742" s="9">
        <f t="shared" si="28"/>
        <v>71.980362072911774</v>
      </c>
      <c r="E3742" s="9"/>
      <c r="F3742" s="9">
        <f ca="1">IFERROR(__xludf.DUMMYFUNCTION("""COMPUTED_VALUE"""),41565)</f>
        <v>41565</v>
      </c>
      <c r="G3742" s="9" t="str">
        <f ca="1">IFERROR(__xludf.DUMMYFUNCTION("""COMPUTED_VALUE"""),"1 USD = 105.9958 PKR")</f>
        <v>1 USD = 105.9958 PKR</v>
      </c>
      <c r="H3742" s="9" t="str">
        <f ca="1">IFERROR(__xludf.DUMMYFUNCTION("""COMPUTED_VALUE"""),"USD PKR rate for 18/10/2013")</f>
        <v>USD PKR rate for 18/10/2013</v>
      </c>
      <c r="I3742" s="9"/>
    </row>
    <row r="3743" spans="1:9" ht="14.25" customHeight="1" x14ac:dyDescent="0.3">
      <c r="A3743" s="6">
        <v>43460</v>
      </c>
      <c r="B3743" s="7">
        <v>139.786</v>
      </c>
      <c r="C3743" s="8">
        <f t="shared" si="29"/>
        <v>154.21841736642119</v>
      </c>
      <c r="D3743" s="9">
        <f t="shared" si="28"/>
        <v>71.983099905709039</v>
      </c>
      <c r="E3743" s="9"/>
      <c r="F3743" s="9">
        <f ca="1">IFERROR(__xludf.DUMMYFUNCTION("""COMPUTED_VALUE"""),41564)</f>
        <v>41564</v>
      </c>
      <c r="G3743" s="9" t="str">
        <f ca="1">IFERROR(__xludf.DUMMYFUNCTION("""COMPUTED_VALUE"""),"1 USD = 105.9684 PKR")</f>
        <v>1 USD = 105.9684 PKR</v>
      </c>
      <c r="H3743" s="9" t="str">
        <f ca="1">IFERROR(__xludf.DUMMYFUNCTION("""COMPUTED_VALUE"""),"USD PKR rate for 17/10/2013")</f>
        <v>USD PKR rate for 17/10/2013</v>
      </c>
      <c r="I3743" s="9"/>
    </row>
    <row r="3744" spans="1:9" ht="14.25" customHeight="1" x14ac:dyDescent="0.3">
      <c r="A3744" s="6">
        <v>43461</v>
      </c>
      <c r="B3744" s="7">
        <v>139.2765</v>
      </c>
      <c r="C3744" s="8">
        <f t="shared" si="29"/>
        <v>154.24599929464372</v>
      </c>
      <c r="D3744" s="9">
        <f t="shared" si="28"/>
        <v>71.985837738506305</v>
      </c>
      <c r="E3744" s="9"/>
      <c r="F3744" s="9">
        <f ca="1">IFERROR(__xludf.DUMMYFUNCTION("""COMPUTED_VALUE"""),41563)</f>
        <v>41563</v>
      </c>
      <c r="G3744" s="9" t="str">
        <f ca="1">IFERROR(__xludf.DUMMYFUNCTION("""COMPUTED_VALUE"""),"1 USD = 106.3113 PKR")</f>
        <v>1 USD = 106.3113 PKR</v>
      </c>
      <c r="H3744" s="9" t="str">
        <f ca="1">IFERROR(__xludf.DUMMYFUNCTION("""COMPUTED_VALUE"""),"USD PKR rate for 16/10/2013")</f>
        <v>USD PKR rate for 16/10/2013</v>
      </c>
      <c r="I3744" s="9"/>
    </row>
    <row r="3745" spans="1:9" ht="14.25" customHeight="1" x14ac:dyDescent="0.3">
      <c r="A3745" s="6">
        <v>43462</v>
      </c>
      <c r="B3745" s="7">
        <v>139.12469999999999</v>
      </c>
      <c r="C3745" s="8">
        <f t="shared" si="29"/>
        <v>154.27358615588776</v>
      </c>
      <c r="D3745" s="9">
        <f t="shared" si="28"/>
        <v>71.988575571303571</v>
      </c>
      <c r="E3745" s="9"/>
      <c r="F3745" s="9">
        <f ca="1">IFERROR(__xludf.DUMMYFUNCTION("""COMPUTED_VALUE"""),41562)</f>
        <v>41562</v>
      </c>
      <c r="G3745" s="9" t="str">
        <f ca="1">IFERROR(__xludf.DUMMYFUNCTION("""COMPUTED_VALUE"""),"1 USD = 106.1061 PKR")</f>
        <v>1 USD = 106.1061 PKR</v>
      </c>
      <c r="H3745" s="9" t="str">
        <f ca="1">IFERROR(__xludf.DUMMYFUNCTION("""COMPUTED_VALUE"""),"USD PKR rate for 15/10/2013")</f>
        <v>USD PKR rate for 15/10/2013</v>
      </c>
      <c r="I3745" s="9"/>
    </row>
    <row r="3746" spans="1:9" ht="14.25" customHeight="1" x14ac:dyDescent="0.3">
      <c r="A3746" s="6">
        <v>43463</v>
      </c>
      <c r="B3746" s="7">
        <v>139.12469999999999</v>
      </c>
      <c r="C3746" s="8">
        <f t="shared" si="29"/>
        <v>154.30117795103553</v>
      </c>
      <c r="D3746" s="9">
        <f t="shared" si="28"/>
        <v>71.991313404100836</v>
      </c>
      <c r="E3746" s="9"/>
      <c r="F3746" s="9">
        <f ca="1">IFERROR(__xludf.DUMMYFUNCTION("""COMPUTED_VALUE"""),41561)</f>
        <v>41561</v>
      </c>
      <c r="G3746" s="9" t="str">
        <f ca="1">IFERROR(__xludf.DUMMYFUNCTION("""COMPUTED_VALUE"""),"1 USD = 106.257 PKR")</f>
        <v>1 USD = 106.257 PKR</v>
      </c>
      <c r="H3746" s="9" t="str">
        <f ca="1">IFERROR(__xludf.DUMMYFUNCTION("""COMPUTED_VALUE"""),"USD PKR rate for 14/10/2013")</f>
        <v>USD PKR rate for 14/10/2013</v>
      </c>
      <c r="I3746" s="9"/>
    </row>
    <row r="3747" spans="1:9" ht="14.25" customHeight="1" x14ac:dyDescent="0.3">
      <c r="A3747" s="6">
        <v>43464</v>
      </c>
      <c r="B3747" s="7">
        <v>139.12719999999999</v>
      </c>
      <c r="C3747" s="8">
        <f t="shared" si="29"/>
        <v>154.32877468096947</v>
      </c>
      <c r="D3747" s="9">
        <f t="shared" si="28"/>
        <v>71.994051236898102</v>
      </c>
      <c r="E3747" s="9"/>
      <c r="F3747" s="9">
        <f ca="1">IFERROR(__xludf.DUMMYFUNCTION("""COMPUTED_VALUE"""),41560)</f>
        <v>41560</v>
      </c>
      <c r="G3747" s="9" t="str">
        <f ca="1">IFERROR(__xludf.DUMMYFUNCTION("""COMPUTED_VALUE"""),"1 USD = 106.1455 PKR")</f>
        <v>1 USD = 106.1455 PKR</v>
      </c>
      <c r="H3747" s="9" t="str">
        <f ca="1">IFERROR(__xludf.DUMMYFUNCTION("""COMPUTED_VALUE"""),"USD PKR rate for 13/10/2013")</f>
        <v>USD PKR rate for 13/10/2013</v>
      </c>
      <c r="I3747" s="9"/>
    </row>
    <row r="3748" spans="1:9" ht="14.25" customHeight="1" x14ac:dyDescent="0.3">
      <c r="A3748" s="6">
        <v>43465</v>
      </c>
      <c r="B3748" s="7">
        <v>139.8502</v>
      </c>
      <c r="C3748" s="8">
        <f t="shared" si="29"/>
        <v>154.35637634657201</v>
      </c>
      <c r="D3748" s="9">
        <f t="shared" si="28"/>
        <v>71.996789069695367</v>
      </c>
      <c r="E3748" s="9"/>
      <c r="F3748" s="9">
        <f ca="1">IFERROR(__xludf.DUMMYFUNCTION("""COMPUTED_VALUE"""),41559)</f>
        <v>41559</v>
      </c>
      <c r="G3748" s="9" t="str">
        <f ca="1">IFERROR(__xludf.DUMMYFUNCTION("""COMPUTED_VALUE"""),"1 USD = 106.1985 PKR")</f>
        <v>1 USD = 106.1985 PKR</v>
      </c>
      <c r="H3748" s="9" t="str">
        <f ca="1">IFERROR(__xludf.DUMMYFUNCTION("""COMPUTED_VALUE"""),"USD PKR rate for 12/10/2013")</f>
        <v>USD PKR rate for 12/10/2013</v>
      </c>
      <c r="I3748" s="9"/>
    </row>
    <row r="3749" spans="1:9" ht="14.25" customHeight="1" x14ac:dyDescent="0.3">
      <c r="A3749" s="6">
        <v>43466</v>
      </c>
      <c r="B3749" s="7">
        <v>139.54060000000001</v>
      </c>
      <c r="C3749" s="8">
        <f t="shared" si="29"/>
        <v>154.38398294872621</v>
      </c>
      <c r="D3749" s="9">
        <f t="shared" si="28"/>
        <v>71.999526902492633</v>
      </c>
      <c r="E3749" s="9"/>
      <c r="F3749" s="9">
        <f ca="1">IFERROR(__xludf.DUMMYFUNCTION("""COMPUTED_VALUE"""),41558)</f>
        <v>41558</v>
      </c>
      <c r="G3749" s="9" t="str">
        <f ca="1">IFERROR(__xludf.DUMMYFUNCTION("""COMPUTED_VALUE"""),"1 USD = 106.2028 PKR")</f>
        <v>1 USD = 106.2028 PKR</v>
      </c>
      <c r="H3749" s="9" t="str">
        <f ca="1">IFERROR(__xludf.DUMMYFUNCTION("""COMPUTED_VALUE"""),"USD PKR rate for 11/10/2013")</f>
        <v>USD PKR rate for 11/10/2013</v>
      </c>
      <c r="I3749" s="9"/>
    </row>
    <row r="3750" spans="1:9" ht="14.25" customHeight="1" x14ac:dyDescent="0.3">
      <c r="A3750" s="6">
        <v>43467</v>
      </c>
      <c r="B3750" s="7">
        <v>139.54140000000004</v>
      </c>
      <c r="C3750" s="8">
        <f t="shared" si="29"/>
        <v>154.41159448831479</v>
      </c>
      <c r="D3750" s="9">
        <f t="shared" si="28"/>
        <v>72.002264735289899</v>
      </c>
      <c r="E3750" s="9"/>
      <c r="F3750" s="9">
        <f ca="1">IFERROR(__xludf.DUMMYFUNCTION("""COMPUTED_VALUE"""),41557)</f>
        <v>41557</v>
      </c>
      <c r="G3750" s="9" t="str">
        <f ca="1">IFERROR(__xludf.DUMMYFUNCTION("""COMPUTED_VALUE"""),"1 USD = 106.0954 PKR")</f>
        <v>1 USD = 106.0954 PKR</v>
      </c>
      <c r="H3750" s="9" t="str">
        <f ca="1">IFERROR(__xludf.DUMMYFUNCTION("""COMPUTED_VALUE"""),"USD PKR rate for 10/10/2013")</f>
        <v>USD PKR rate for 10/10/2013</v>
      </c>
      <c r="I3750" s="9"/>
    </row>
    <row r="3751" spans="1:9" ht="14.25" customHeight="1" x14ac:dyDescent="0.3">
      <c r="A3751" s="6">
        <v>43468</v>
      </c>
      <c r="B3751" s="7">
        <v>139.0471</v>
      </c>
      <c r="C3751" s="8">
        <f t="shared" si="29"/>
        <v>154.43921096622086</v>
      </c>
      <c r="D3751" s="9">
        <f t="shared" si="28"/>
        <v>72.005002568087164</v>
      </c>
      <c r="E3751" s="9"/>
      <c r="F3751" s="9">
        <f ca="1">IFERROR(__xludf.DUMMYFUNCTION("""COMPUTED_VALUE"""),41556)</f>
        <v>41556</v>
      </c>
      <c r="G3751" s="9" t="str">
        <f ca="1">IFERROR(__xludf.DUMMYFUNCTION("""COMPUTED_VALUE"""),"1 USD = 106.0368 PKR")</f>
        <v>1 USD = 106.0368 PKR</v>
      </c>
      <c r="H3751" s="9" t="str">
        <f ca="1">IFERROR(__xludf.DUMMYFUNCTION("""COMPUTED_VALUE"""),"USD PKR rate for 09/10/2013")</f>
        <v>USD PKR rate for 09/10/2013</v>
      </c>
      <c r="I3751" s="9"/>
    </row>
    <row r="3752" spans="1:9" ht="14.25" customHeight="1" x14ac:dyDescent="0.3">
      <c r="A3752" s="6">
        <v>43469</v>
      </c>
      <c r="B3752" s="7">
        <v>138.99430000000001</v>
      </c>
      <c r="C3752" s="8">
        <f t="shared" si="29"/>
        <v>154.46683238332758</v>
      </c>
      <c r="D3752" s="9">
        <f t="shared" si="28"/>
        <v>72.00774040088443</v>
      </c>
      <c r="E3752" s="9"/>
      <c r="F3752" s="9">
        <f ca="1">IFERROR(__xludf.DUMMYFUNCTION("""COMPUTED_VALUE"""),41555)</f>
        <v>41555</v>
      </c>
      <c r="G3752" s="9" t="str">
        <f ca="1">IFERROR(__xludf.DUMMYFUNCTION("""COMPUTED_VALUE"""),"1 USD = 105.9551 PKR")</f>
        <v>1 USD = 105.9551 PKR</v>
      </c>
      <c r="H3752" s="9" t="str">
        <f ca="1">IFERROR(__xludf.DUMMYFUNCTION("""COMPUTED_VALUE"""),"USD PKR rate for 08/10/2013")</f>
        <v>USD PKR rate for 08/10/2013</v>
      </c>
      <c r="I3752" s="9"/>
    </row>
    <row r="3753" spans="1:9" ht="14.25" customHeight="1" x14ac:dyDescent="0.3">
      <c r="A3753" s="6">
        <v>43470</v>
      </c>
      <c r="B3753" s="7">
        <v>138.99610000000001</v>
      </c>
      <c r="C3753" s="8">
        <f t="shared" si="29"/>
        <v>154.49445874051835</v>
      </c>
      <c r="D3753" s="9">
        <f t="shared" si="28"/>
        <v>72.010478233681695</v>
      </c>
      <c r="E3753" s="9"/>
      <c r="F3753" s="9">
        <f ca="1">IFERROR(__xludf.DUMMYFUNCTION("""COMPUTED_VALUE"""),41554)</f>
        <v>41554</v>
      </c>
      <c r="G3753" s="9" t="str">
        <f ca="1">IFERROR(__xludf.DUMMYFUNCTION("""COMPUTED_VALUE"""),"1 USD = 106.2447 PKR")</f>
        <v>1 USD = 106.2447 PKR</v>
      </c>
      <c r="H3753" s="9" t="str">
        <f ca="1">IFERROR(__xludf.DUMMYFUNCTION("""COMPUTED_VALUE"""),"USD PKR rate for 07/10/2013")</f>
        <v>USD PKR rate for 07/10/2013</v>
      </c>
      <c r="I3753" s="9"/>
    </row>
    <row r="3754" spans="1:9" ht="14.25" customHeight="1" x14ac:dyDescent="0.3">
      <c r="A3754" s="6">
        <v>43471</v>
      </c>
      <c r="B3754" s="7">
        <v>139.00420000000003</v>
      </c>
      <c r="C3754" s="8">
        <f t="shared" si="29"/>
        <v>154.52209003867674</v>
      </c>
      <c r="D3754" s="9">
        <f t="shared" si="28"/>
        <v>72.013216066478961</v>
      </c>
      <c r="E3754" s="9"/>
      <c r="F3754" s="9">
        <f ca="1">IFERROR(__xludf.DUMMYFUNCTION("""COMPUTED_VALUE"""),41553)</f>
        <v>41553</v>
      </c>
      <c r="G3754" s="9" t="str">
        <f ca="1">IFERROR(__xludf.DUMMYFUNCTION("""COMPUTED_VALUE"""),"1 USD = 106.184 PKR")</f>
        <v>1 USD = 106.184 PKR</v>
      </c>
      <c r="H3754" s="9" t="str">
        <f ca="1">IFERROR(__xludf.DUMMYFUNCTION("""COMPUTED_VALUE"""),"USD PKR rate for 06/10/2013")</f>
        <v>USD PKR rate for 06/10/2013</v>
      </c>
      <c r="I3754" s="9"/>
    </row>
    <row r="3755" spans="1:9" ht="14.25" customHeight="1" x14ac:dyDescent="0.3">
      <c r="A3755" s="6">
        <v>43472</v>
      </c>
      <c r="B3755" s="7">
        <v>139.02510000000001</v>
      </c>
      <c r="C3755" s="8">
        <f t="shared" si="29"/>
        <v>154.54972627868636</v>
      </c>
      <c r="D3755" s="9">
        <f t="shared" si="28"/>
        <v>72.015953899276226</v>
      </c>
      <c r="E3755" s="9"/>
      <c r="F3755" s="9">
        <f ca="1">IFERROR(__xludf.DUMMYFUNCTION("""COMPUTED_VALUE"""),41552)</f>
        <v>41552</v>
      </c>
      <c r="G3755" s="9" t="str">
        <f ca="1">IFERROR(__xludf.DUMMYFUNCTION("""COMPUTED_VALUE"""),"1 USD = 106.1419 PKR")</f>
        <v>1 USD = 106.1419 PKR</v>
      </c>
      <c r="H3755" s="9" t="str">
        <f ca="1">IFERROR(__xludf.DUMMYFUNCTION("""COMPUTED_VALUE"""),"USD PKR rate for 05/10/2013")</f>
        <v>USD PKR rate for 05/10/2013</v>
      </c>
      <c r="I3755" s="9"/>
    </row>
    <row r="3756" spans="1:9" ht="14.25" customHeight="1" x14ac:dyDescent="0.3">
      <c r="A3756" s="6">
        <v>43473</v>
      </c>
      <c r="B3756" s="7">
        <v>139.3733</v>
      </c>
      <c r="C3756" s="8">
        <f t="shared" si="29"/>
        <v>154.57736746143112</v>
      </c>
      <c r="D3756" s="9">
        <f t="shared" si="28"/>
        <v>72.018691732073492</v>
      </c>
      <c r="E3756" s="9"/>
      <c r="F3756" s="9">
        <f ca="1">IFERROR(__xludf.DUMMYFUNCTION("""COMPUTED_VALUE"""),41551)</f>
        <v>41551</v>
      </c>
      <c r="G3756" s="9" t="str">
        <f ca="1">IFERROR(__xludf.DUMMYFUNCTION("""COMPUTED_VALUE"""),"1 USD = 106.2023 PKR")</f>
        <v>1 USD = 106.2023 PKR</v>
      </c>
      <c r="H3756" s="9" t="str">
        <f ca="1">IFERROR(__xludf.DUMMYFUNCTION("""COMPUTED_VALUE"""),"USD PKR rate for 04/10/2013")</f>
        <v>USD PKR rate for 04/10/2013</v>
      </c>
      <c r="I3756" s="9"/>
    </row>
    <row r="3757" spans="1:9" ht="14.25" customHeight="1" x14ac:dyDescent="0.3">
      <c r="A3757" s="6">
        <v>43474</v>
      </c>
      <c r="B3757" s="7">
        <v>139.96610000000001</v>
      </c>
      <c r="C3757" s="8">
        <f t="shared" si="29"/>
        <v>154.6050135877949</v>
      </c>
      <c r="D3757" s="9">
        <f t="shared" si="28"/>
        <v>72.021429564870758</v>
      </c>
      <c r="E3757" s="9"/>
      <c r="F3757" s="9">
        <f ca="1">IFERROR(__xludf.DUMMYFUNCTION("""COMPUTED_VALUE"""),41550)</f>
        <v>41550</v>
      </c>
      <c r="G3757" s="9" t="str">
        <f ca="1">IFERROR(__xludf.DUMMYFUNCTION("""COMPUTED_VALUE"""),"1 USD = 105.8692 PKR")</f>
        <v>1 USD = 105.8692 PKR</v>
      </c>
      <c r="H3757" s="9" t="str">
        <f ca="1">IFERROR(__xludf.DUMMYFUNCTION("""COMPUTED_VALUE"""),"USD PKR rate for 03/10/2013")</f>
        <v>USD PKR rate for 03/10/2013</v>
      </c>
      <c r="I3757" s="9"/>
    </row>
    <row r="3758" spans="1:9" ht="14.25" customHeight="1" x14ac:dyDescent="0.3">
      <c r="A3758" s="6">
        <v>43475</v>
      </c>
      <c r="B3758" s="7">
        <v>139.76679999999999</v>
      </c>
      <c r="C3758" s="8">
        <f t="shared" si="29"/>
        <v>154.63266465866209</v>
      </c>
      <c r="D3758" s="9">
        <f t="shared" si="28"/>
        <v>72.024167397668023</v>
      </c>
      <c r="E3758" s="9"/>
      <c r="F3758" s="9">
        <f ca="1">IFERROR(__xludf.DUMMYFUNCTION("""COMPUTED_VALUE"""),41549)</f>
        <v>41549</v>
      </c>
      <c r="G3758" s="9" t="str">
        <f ca="1">IFERROR(__xludf.DUMMYFUNCTION("""COMPUTED_VALUE"""),"1 USD = 105.7323 PKR")</f>
        <v>1 USD = 105.7323 PKR</v>
      </c>
      <c r="H3758" s="9" t="str">
        <f ca="1">IFERROR(__xludf.DUMMYFUNCTION("""COMPUTED_VALUE"""),"USD PKR rate for 02/10/2013")</f>
        <v>USD PKR rate for 02/10/2013</v>
      </c>
      <c r="I3758" s="9"/>
    </row>
    <row r="3759" spans="1:9" ht="14.25" customHeight="1" x14ac:dyDescent="0.3">
      <c r="A3759" s="6">
        <v>43476</v>
      </c>
      <c r="B3759" s="7">
        <v>139.87550000000002</v>
      </c>
      <c r="C3759" s="8">
        <f t="shared" si="29"/>
        <v>154.66032067491687</v>
      </c>
      <c r="D3759" s="9">
        <f t="shared" si="28"/>
        <v>72.026905230465289</v>
      </c>
      <c r="E3759" s="9"/>
      <c r="F3759" s="9">
        <f ca="1">IFERROR(__xludf.DUMMYFUNCTION("""COMPUTED_VALUE"""),41548)</f>
        <v>41548</v>
      </c>
      <c r="G3759" s="9" t="str">
        <f ca="1">IFERROR(__xludf.DUMMYFUNCTION("""COMPUTED_VALUE"""),"1 USD = 105.8197 PKR")</f>
        <v>1 USD = 105.8197 PKR</v>
      </c>
      <c r="H3759" s="9" t="str">
        <f ca="1">IFERROR(__xludf.DUMMYFUNCTION("""COMPUTED_VALUE"""),"USD PKR rate for 01/10/2013")</f>
        <v>USD PKR rate for 01/10/2013</v>
      </c>
      <c r="I3759" s="9"/>
    </row>
    <row r="3760" spans="1:9" ht="14.25" customHeight="1" x14ac:dyDescent="0.3">
      <c r="A3760" s="6">
        <v>43477</v>
      </c>
      <c r="B3760" s="7">
        <v>139.8741</v>
      </c>
      <c r="C3760" s="8">
        <f t="shared" si="29"/>
        <v>154.68798163744378</v>
      </c>
      <c r="D3760" s="9">
        <f t="shared" si="28"/>
        <v>72.029643063262554</v>
      </c>
      <c r="E3760" s="9"/>
      <c r="F3760" s="9">
        <f ca="1">IFERROR(__xludf.DUMMYFUNCTION("""COMPUTED_VALUE"""),41547)</f>
        <v>41547</v>
      </c>
      <c r="G3760" s="9" t="str">
        <f ca="1">IFERROR(__xludf.DUMMYFUNCTION("""COMPUTED_VALUE"""),"1 USD = 105.829 PKR")</f>
        <v>1 USD = 105.829 PKR</v>
      </c>
      <c r="H3760" s="9" t="str">
        <f ca="1">IFERROR(__xludf.DUMMYFUNCTION("""COMPUTED_VALUE"""),"USD PKR rate for 30/09/2013")</f>
        <v>USD PKR rate for 30/09/2013</v>
      </c>
      <c r="I3760" s="9"/>
    </row>
    <row r="3761" spans="1:9" ht="14.25" customHeight="1" x14ac:dyDescent="0.3">
      <c r="A3761" s="6">
        <v>43478</v>
      </c>
      <c r="B3761" s="7">
        <v>139.86089999999999</v>
      </c>
      <c r="C3761" s="8">
        <f t="shared" si="29"/>
        <v>154.71564754712745</v>
      </c>
      <c r="D3761" s="9">
        <f t="shared" si="28"/>
        <v>72.03238089605982</v>
      </c>
      <c r="E3761" s="9"/>
      <c r="F3761" s="9">
        <f ca="1">IFERROR(__xludf.DUMMYFUNCTION("""COMPUTED_VALUE"""),41546)</f>
        <v>41546</v>
      </c>
      <c r="G3761" s="9" t="str">
        <f ca="1">IFERROR(__xludf.DUMMYFUNCTION("""COMPUTED_VALUE"""),"1 USD = 105.6463 PKR")</f>
        <v>1 USD = 105.6463 PKR</v>
      </c>
      <c r="H3761" s="9" t="str">
        <f ca="1">IFERROR(__xludf.DUMMYFUNCTION("""COMPUTED_VALUE"""),"USD PKR rate for 29/09/2013")</f>
        <v>USD PKR rate for 29/09/2013</v>
      </c>
      <c r="I3761" s="9"/>
    </row>
    <row r="3762" spans="1:9" ht="14.25" customHeight="1" x14ac:dyDescent="0.3">
      <c r="A3762" s="6">
        <v>43479</v>
      </c>
      <c r="B3762" s="7">
        <v>140.08350000000002</v>
      </c>
      <c r="C3762" s="8">
        <f t="shared" si="29"/>
        <v>154.74331840485263</v>
      </c>
      <c r="D3762" s="9">
        <f t="shared" si="28"/>
        <v>72.035118728857086</v>
      </c>
      <c r="E3762" s="9"/>
      <c r="F3762" s="9">
        <f ca="1">IFERROR(__xludf.DUMMYFUNCTION("""COMPUTED_VALUE"""),41545)</f>
        <v>41545</v>
      </c>
      <c r="G3762" s="9" t="str">
        <f ca="1">IFERROR(__xludf.DUMMYFUNCTION("""COMPUTED_VALUE"""),"1 USD = 105.7323 PKR")</f>
        <v>1 USD = 105.7323 PKR</v>
      </c>
      <c r="H3762" s="9" t="str">
        <f ca="1">IFERROR(__xludf.DUMMYFUNCTION("""COMPUTED_VALUE"""),"USD PKR rate for 28/09/2013")</f>
        <v>USD PKR rate for 28/09/2013</v>
      </c>
      <c r="I3762" s="9"/>
    </row>
    <row r="3763" spans="1:9" ht="14.25" customHeight="1" x14ac:dyDescent="0.3">
      <c r="A3763" s="6">
        <v>43480</v>
      </c>
      <c r="B3763" s="7">
        <v>138.9999</v>
      </c>
      <c r="C3763" s="8">
        <f t="shared" si="29"/>
        <v>154.77099421150433</v>
      </c>
      <c r="D3763" s="9">
        <f t="shared" si="28"/>
        <v>72.037856561654351</v>
      </c>
      <c r="E3763" s="9"/>
      <c r="F3763" s="9">
        <f ca="1">IFERROR(__xludf.DUMMYFUNCTION("""COMPUTED_VALUE"""),41544)</f>
        <v>41544</v>
      </c>
      <c r="G3763" s="9" t="str">
        <f ca="1">IFERROR(__xludf.DUMMYFUNCTION("""COMPUTED_VALUE"""),"1 USD = 105.8232 PKR")</f>
        <v>1 USD = 105.8232 PKR</v>
      </c>
      <c r="H3763" s="9" t="str">
        <f ca="1">IFERROR(__xludf.DUMMYFUNCTION("""COMPUTED_VALUE"""),"USD PKR rate for 27/09/2013")</f>
        <v>USD PKR rate for 27/09/2013</v>
      </c>
      <c r="I3763" s="9"/>
    </row>
    <row r="3764" spans="1:9" ht="14.25" customHeight="1" x14ac:dyDescent="0.3">
      <c r="A3764" s="6">
        <v>43481</v>
      </c>
      <c r="B3764" s="7">
        <v>139.6996</v>
      </c>
      <c r="C3764" s="8">
        <f t="shared" si="29"/>
        <v>154.7986749679676</v>
      </c>
      <c r="D3764" s="9">
        <f t="shared" si="28"/>
        <v>72.040594394451617</v>
      </c>
      <c r="E3764" s="9"/>
      <c r="F3764" s="9">
        <f ca="1">IFERROR(__xludf.DUMMYFUNCTION("""COMPUTED_VALUE"""),41543)</f>
        <v>41543</v>
      </c>
      <c r="G3764" s="9" t="str">
        <f ca="1">IFERROR(__xludf.DUMMYFUNCTION("""COMPUTED_VALUE"""),"1 USD = 105.9121 PKR")</f>
        <v>1 USD = 105.9121 PKR</v>
      </c>
      <c r="H3764" s="9" t="str">
        <f ca="1">IFERROR(__xludf.DUMMYFUNCTION("""COMPUTED_VALUE"""),"USD PKR rate for 26/09/2013")</f>
        <v>USD PKR rate for 26/09/2013</v>
      </c>
      <c r="I3764" s="9"/>
    </row>
    <row r="3765" spans="1:9" ht="14.25" customHeight="1" x14ac:dyDescent="0.3">
      <c r="A3765" s="6">
        <v>43482</v>
      </c>
      <c r="B3765" s="7">
        <v>139.59569999999999</v>
      </c>
      <c r="C3765" s="8">
        <f t="shared" si="29"/>
        <v>154.82636067512777</v>
      </c>
      <c r="D3765" s="9">
        <f t="shared" si="28"/>
        <v>72.043332227248882</v>
      </c>
      <c r="E3765" s="9"/>
      <c r="F3765" s="9">
        <f ca="1">IFERROR(__xludf.DUMMYFUNCTION("""COMPUTED_VALUE"""),41542)</f>
        <v>41542</v>
      </c>
      <c r="G3765" s="9" t="str">
        <f ca="1">IFERROR(__xludf.DUMMYFUNCTION("""COMPUTED_VALUE"""),"1 USD = 106.2642 PKR")</f>
        <v>1 USD = 106.2642 PKR</v>
      </c>
      <c r="H3765" s="9" t="str">
        <f ca="1">IFERROR(__xludf.DUMMYFUNCTION("""COMPUTED_VALUE"""),"USD PKR rate for 25/09/2013")</f>
        <v>USD PKR rate for 25/09/2013</v>
      </c>
      <c r="I3765" s="9"/>
    </row>
    <row r="3766" spans="1:9" ht="14.25" customHeight="1" x14ac:dyDescent="0.3">
      <c r="A3766" s="6">
        <v>43483</v>
      </c>
      <c r="B3766" s="7">
        <v>139.19970000000001</v>
      </c>
      <c r="C3766" s="8">
        <f t="shared" si="29"/>
        <v>154.85405133387013</v>
      </c>
      <c r="D3766" s="9">
        <f t="shared" si="28"/>
        <v>72.046070060046148</v>
      </c>
      <c r="E3766" s="9"/>
      <c r="F3766" s="9">
        <f ca="1">IFERROR(__xludf.DUMMYFUNCTION("""COMPUTED_VALUE"""),41541)</f>
        <v>41541</v>
      </c>
      <c r="G3766" s="9" t="str">
        <f ca="1">IFERROR(__xludf.DUMMYFUNCTION("""COMPUTED_VALUE"""),"1 USD = 105.9966 PKR")</f>
        <v>1 USD = 105.9966 PKR</v>
      </c>
      <c r="H3766" s="9" t="str">
        <f ca="1">IFERROR(__xludf.DUMMYFUNCTION("""COMPUTED_VALUE"""),"USD PKR rate for 24/09/2013")</f>
        <v>USD PKR rate for 24/09/2013</v>
      </c>
      <c r="I3766" s="9"/>
    </row>
    <row r="3767" spans="1:9" ht="14.25" customHeight="1" x14ac:dyDescent="0.3">
      <c r="A3767" s="6">
        <v>43484</v>
      </c>
      <c r="B3767" s="7">
        <v>139.19970000000001</v>
      </c>
      <c r="C3767" s="8">
        <f t="shared" si="29"/>
        <v>154.88174694508052</v>
      </c>
      <c r="D3767" s="9">
        <f t="shared" si="28"/>
        <v>72.048807892843413</v>
      </c>
      <c r="E3767" s="9"/>
      <c r="F3767" s="9">
        <f ca="1">IFERROR(__xludf.DUMMYFUNCTION("""COMPUTED_VALUE"""),41540)</f>
        <v>41540</v>
      </c>
      <c r="G3767" s="9" t="str">
        <f ca="1">IFERROR(__xludf.DUMMYFUNCTION("""COMPUTED_VALUE"""),"1 USD = 105.8315 PKR")</f>
        <v>1 USD = 105.8315 PKR</v>
      </c>
      <c r="H3767" s="9" t="str">
        <f ca="1">IFERROR(__xludf.DUMMYFUNCTION("""COMPUTED_VALUE"""),"USD PKR rate for 23/09/2013")</f>
        <v>USD PKR rate for 23/09/2013</v>
      </c>
      <c r="I3767" s="9"/>
    </row>
    <row r="3768" spans="1:9" ht="14.25" customHeight="1" x14ac:dyDescent="0.3">
      <c r="A3768" s="6">
        <v>43485</v>
      </c>
      <c r="B3768" s="7">
        <v>139.20000000000002</v>
      </c>
      <c r="C3768" s="8">
        <f t="shared" si="29"/>
        <v>154.90944750964454</v>
      </c>
      <c r="D3768" s="9">
        <f t="shared" si="28"/>
        <v>72.051545725640679</v>
      </c>
      <c r="E3768" s="9"/>
      <c r="F3768" s="9">
        <f ca="1">IFERROR(__xludf.DUMMYFUNCTION("""COMPUTED_VALUE"""),41539)</f>
        <v>41539</v>
      </c>
      <c r="G3768" s="9" t="str">
        <f ca="1">IFERROR(__xludf.DUMMYFUNCTION("""COMPUTED_VALUE"""),"1 USD = 104.9551 PKR")</f>
        <v>1 USD = 104.9551 PKR</v>
      </c>
      <c r="H3768" s="9" t="str">
        <f ca="1">IFERROR(__xludf.DUMMYFUNCTION("""COMPUTED_VALUE"""),"USD PKR rate for 22/09/2013")</f>
        <v>USD PKR rate for 22/09/2013</v>
      </c>
      <c r="I3768" s="9"/>
    </row>
    <row r="3769" spans="1:9" ht="14.25" customHeight="1" x14ac:dyDescent="0.3">
      <c r="A3769" s="6">
        <v>43486</v>
      </c>
      <c r="B3769" s="7">
        <v>139.92150000000001</v>
      </c>
      <c r="C3769" s="8">
        <f t="shared" si="29"/>
        <v>154.93715302844814</v>
      </c>
      <c r="D3769" s="9">
        <f t="shared" si="28"/>
        <v>72.054283558437945</v>
      </c>
      <c r="E3769" s="9"/>
      <c r="F3769" s="9">
        <f ca="1">IFERROR(__xludf.DUMMYFUNCTION("""COMPUTED_VALUE"""),41538)</f>
        <v>41538</v>
      </c>
      <c r="G3769" s="9" t="str">
        <f ca="1">IFERROR(__xludf.DUMMYFUNCTION("""COMPUTED_VALUE"""),"1 USD = 104.9974 PKR")</f>
        <v>1 USD = 104.9974 PKR</v>
      </c>
      <c r="H3769" s="9" t="str">
        <f ca="1">IFERROR(__xludf.DUMMYFUNCTION("""COMPUTED_VALUE"""),"USD PKR rate for 21/09/2013")</f>
        <v>USD PKR rate for 21/09/2013</v>
      </c>
      <c r="I3769" s="9"/>
    </row>
    <row r="3770" spans="1:9" ht="14.25" customHeight="1" x14ac:dyDescent="0.3">
      <c r="A3770" s="6">
        <v>43487</v>
      </c>
      <c r="B3770" s="7">
        <v>139.87729999999999</v>
      </c>
      <c r="C3770" s="8">
        <f t="shared" si="29"/>
        <v>154.96486350237737</v>
      </c>
      <c r="D3770" s="9">
        <f t="shared" si="28"/>
        <v>72.05702139123521</v>
      </c>
      <c r="E3770" s="9"/>
      <c r="F3770" s="9">
        <f ca="1">IFERROR(__xludf.DUMMYFUNCTION("""COMPUTED_VALUE"""),41537)</f>
        <v>41537</v>
      </c>
      <c r="G3770" s="9" t="str">
        <f ca="1">IFERROR(__xludf.DUMMYFUNCTION("""COMPUTED_VALUE"""),"1 USD = 104.908 PKR")</f>
        <v>1 USD = 104.908 PKR</v>
      </c>
      <c r="H3770" s="9" t="str">
        <f ca="1">IFERROR(__xludf.DUMMYFUNCTION("""COMPUTED_VALUE"""),"USD PKR rate for 20/09/2013")</f>
        <v>USD PKR rate for 20/09/2013</v>
      </c>
      <c r="I3770" s="9"/>
    </row>
    <row r="3771" spans="1:9" ht="14.25" customHeight="1" x14ac:dyDescent="0.3">
      <c r="A3771" s="6">
        <v>43488</v>
      </c>
      <c r="B3771" s="7">
        <v>139.5872</v>
      </c>
      <c r="C3771" s="8">
        <f t="shared" si="29"/>
        <v>154.99257893231842</v>
      </c>
      <c r="D3771" s="9">
        <f t="shared" si="28"/>
        <v>72.059759224032476</v>
      </c>
      <c r="E3771" s="9"/>
      <c r="F3771" s="9">
        <f ca="1">IFERROR(__xludf.DUMMYFUNCTION("""COMPUTED_VALUE"""),41536)</f>
        <v>41536</v>
      </c>
      <c r="G3771" s="9" t="str">
        <f ca="1">IFERROR(__xludf.DUMMYFUNCTION("""COMPUTED_VALUE"""),"1 USD = 105.1412 PKR")</f>
        <v>1 USD = 105.1412 PKR</v>
      </c>
      <c r="H3771" s="9" t="str">
        <f ca="1">IFERROR(__xludf.DUMMYFUNCTION("""COMPUTED_VALUE"""),"USD PKR rate for 19/09/2013")</f>
        <v>USD PKR rate for 19/09/2013</v>
      </c>
      <c r="I3771" s="9"/>
    </row>
    <row r="3772" spans="1:9" ht="14.25" customHeight="1" x14ac:dyDescent="0.3">
      <c r="A3772" s="6">
        <v>43489</v>
      </c>
      <c r="B3772" s="7">
        <v>139.58969999999999</v>
      </c>
      <c r="C3772" s="8">
        <f t="shared" si="29"/>
        <v>155.02029931915771</v>
      </c>
      <c r="D3772" s="9">
        <f t="shared" si="28"/>
        <v>72.062497056829741</v>
      </c>
      <c r="E3772" s="9"/>
      <c r="F3772" s="9">
        <f ca="1">IFERROR(__xludf.DUMMYFUNCTION("""COMPUTED_VALUE"""),41535)</f>
        <v>41535</v>
      </c>
      <c r="G3772" s="9" t="str">
        <f ca="1">IFERROR(__xludf.DUMMYFUNCTION("""COMPUTED_VALUE"""),"1 USD = 104.6999 PKR")</f>
        <v>1 USD = 104.6999 PKR</v>
      </c>
      <c r="H3772" s="9" t="str">
        <f ca="1">IFERROR(__xludf.DUMMYFUNCTION("""COMPUTED_VALUE"""),"USD PKR rate for 18/09/2013")</f>
        <v>USD PKR rate for 18/09/2013</v>
      </c>
      <c r="I3772" s="9"/>
    </row>
    <row r="3773" spans="1:9" ht="14.25" customHeight="1" x14ac:dyDescent="0.3">
      <c r="A3773" s="6">
        <v>43490</v>
      </c>
      <c r="B3773" s="7">
        <v>139.12459999999999</v>
      </c>
      <c r="C3773" s="8">
        <f t="shared" si="29"/>
        <v>155.04802466378175</v>
      </c>
      <c r="D3773" s="9">
        <f t="shared" si="28"/>
        <v>72.065234889627007</v>
      </c>
      <c r="E3773" s="9"/>
      <c r="F3773" s="9">
        <f ca="1">IFERROR(__xludf.DUMMYFUNCTION("""COMPUTED_VALUE"""),41534)</f>
        <v>41534</v>
      </c>
      <c r="G3773" s="9" t="str">
        <f ca="1">IFERROR(__xludf.DUMMYFUNCTION("""COMPUTED_VALUE"""),"1 USD = 104.6568 PKR")</f>
        <v>1 USD = 104.6568 PKR</v>
      </c>
      <c r="H3773" s="9" t="str">
        <f ca="1">IFERROR(__xludf.DUMMYFUNCTION("""COMPUTED_VALUE"""),"USD PKR rate for 17/09/2013")</f>
        <v>USD PKR rate for 17/09/2013</v>
      </c>
      <c r="I3773" s="9"/>
    </row>
    <row r="3774" spans="1:9" ht="14.25" customHeight="1" x14ac:dyDescent="0.3">
      <c r="A3774" s="6">
        <v>43491</v>
      </c>
      <c r="B3774" s="7">
        <v>139.21080000000003</v>
      </c>
      <c r="C3774" s="8">
        <f t="shared" si="29"/>
        <v>155.07575496707727</v>
      </c>
      <c r="D3774" s="9">
        <f t="shared" si="28"/>
        <v>72.067972722424273</v>
      </c>
      <c r="E3774" s="9"/>
      <c r="F3774" s="9">
        <f ca="1">IFERROR(__xludf.DUMMYFUNCTION("""COMPUTED_VALUE"""),41533)</f>
        <v>41533</v>
      </c>
      <c r="G3774" s="9" t="str">
        <f ca="1">IFERROR(__xludf.DUMMYFUNCTION("""COMPUTED_VALUE"""),"1 USD = 104.7709 PKR")</f>
        <v>1 USD = 104.7709 PKR</v>
      </c>
      <c r="H3774" s="9" t="str">
        <f ca="1">IFERROR(__xludf.DUMMYFUNCTION("""COMPUTED_VALUE"""),"USD PKR rate for 16/09/2013")</f>
        <v>USD PKR rate for 16/09/2013</v>
      </c>
      <c r="I3774" s="9"/>
    </row>
    <row r="3775" spans="1:9" ht="14.25" customHeight="1" x14ac:dyDescent="0.3">
      <c r="A3775" s="6">
        <v>43492</v>
      </c>
      <c r="B3775" s="7">
        <v>139.215</v>
      </c>
      <c r="C3775" s="8">
        <f t="shared" si="29"/>
        <v>155.10349022993094</v>
      </c>
      <c r="D3775" s="9">
        <f t="shared" si="28"/>
        <v>72.070710555221538</v>
      </c>
      <c r="E3775" s="9"/>
      <c r="F3775" s="9">
        <f ca="1">IFERROR(__xludf.DUMMYFUNCTION("""COMPUTED_VALUE"""),41532)</f>
        <v>41532</v>
      </c>
      <c r="G3775" s="9" t="str">
        <f ca="1">IFERROR(__xludf.DUMMYFUNCTION("""COMPUTED_VALUE"""),"1 USD = 104.5784 PKR")</f>
        <v>1 USD = 104.5784 PKR</v>
      </c>
      <c r="H3775" s="9" t="str">
        <f ca="1">IFERROR(__xludf.DUMMYFUNCTION("""COMPUTED_VALUE"""),"USD PKR rate for 15/09/2013")</f>
        <v>USD PKR rate for 15/09/2013</v>
      </c>
      <c r="I3775" s="9"/>
    </row>
    <row r="3776" spans="1:9" ht="14.25" customHeight="1" x14ac:dyDescent="0.3">
      <c r="A3776" s="6">
        <v>43493</v>
      </c>
      <c r="B3776" s="7">
        <v>139.1516</v>
      </c>
      <c r="C3776" s="8">
        <f t="shared" si="29"/>
        <v>155.13123045323013</v>
      </c>
      <c r="D3776" s="9">
        <f t="shared" si="28"/>
        <v>72.073448388018804</v>
      </c>
      <c r="E3776" s="9"/>
      <c r="F3776" s="9">
        <f ca="1">IFERROR(__xludf.DUMMYFUNCTION("""COMPUTED_VALUE"""),41531)</f>
        <v>41531</v>
      </c>
      <c r="G3776" s="9" t="str">
        <f ca="1">IFERROR(__xludf.DUMMYFUNCTION("""COMPUTED_VALUE"""),"1 USD = 104.7743 PKR")</f>
        <v>1 USD = 104.7743 PKR</v>
      </c>
      <c r="H3776" s="9" t="str">
        <f ca="1">IFERROR(__xludf.DUMMYFUNCTION("""COMPUTED_VALUE"""),"USD PKR rate for 14/09/2013")</f>
        <v>USD PKR rate for 14/09/2013</v>
      </c>
      <c r="I3776" s="9"/>
    </row>
    <row r="3777" spans="1:9" ht="14.25" customHeight="1" x14ac:dyDescent="0.3">
      <c r="A3777" s="6">
        <v>43494</v>
      </c>
      <c r="B3777" s="7">
        <v>139.58760000000001</v>
      </c>
      <c r="C3777" s="8">
        <f t="shared" si="29"/>
        <v>155.1589756378618</v>
      </c>
      <c r="D3777" s="9">
        <f t="shared" si="28"/>
        <v>72.076186220816069</v>
      </c>
      <c r="E3777" s="9"/>
      <c r="F3777" s="9">
        <f ca="1">IFERROR(__xludf.DUMMYFUNCTION("""COMPUTED_VALUE"""),41530)</f>
        <v>41530</v>
      </c>
      <c r="G3777" s="9" t="str">
        <f ca="1">IFERROR(__xludf.DUMMYFUNCTION("""COMPUTED_VALUE"""),"1 USD = 104.625 PKR")</f>
        <v>1 USD = 104.625 PKR</v>
      </c>
      <c r="H3777" s="9" t="str">
        <f ca="1">IFERROR(__xludf.DUMMYFUNCTION("""COMPUTED_VALUE"""),"USD PKR rate for 13/09/2013")</f>
        <v>USD PKR rate for 13/09/2013</v>
      </c>
      <c r="I3777" s="9"/>
    </row>
    <row r="3778" spans="1:9" ht="14.25" customHeight="1" x14ac:dyDescent="0.3">
      <c r="A3778" s="6">
        <v>43495</v>
      </c>
      <c r="B3778" s="7">
        <v>139.46289999999999</v>
      </c>
      <c r="C3778" s="8">
        <f t="shared" si="29"/>
        <v>155.18672578471333</v>
      </c>
      <c r="D3778" s="9">
        <f t="shared" si="28"/>
        <v>72.078924053613335</v>
      </c>
      <c r="E3778" s="9"/>
      <c r="F3778" s="9">
        <f ca="1">IFERROR(__xludf.DUMMYFUNCTION("""COMPUTED_VALUE"""),41529)</f>
        <v>41529</v>
      </c>
      <c r="G3778" s="9" t="str">
        <f ca="1">IFERROR(__xludf.DUMMYFUNCTION("""COMPUTED_VALUE"""),"1 USD = 104.5858 PKR")</f>
        <v>1 USD = 104.5858 PKR</v>
      </c>
      <c r="H3778" s="9" t="str">
        <f ca="1">IFERROR(__xludf.DUMMYFUNCTION("""COMPUTED_VALUE"""),"USD PKR rate for 12/09/2013")</f>
        <v>USD PKR rate for 12/09/2013</v>
      </c>
      <c r="I3778" s="9"/>
    </row>
    <row r="3779" spans="1:9" ht="14.25" customHeight="1" x14ac:dyDescent="0.3">
      <c r="A3779" s="6">
        <v>43496</v>
      </c>
      <c r="B3779" s="7">
        <v>139.8126</v>
      </c>
      <c r="C3779" s="8">
        <f t="shared" si="29"/>
        <v>155.21448089467219</v>
      </c>
      <c r="D3779" s="9">
        <f t="shared" si="28"/>
        <v>72.0816618864106</v>
      </c>
      <c r="E3779" s="9"/>
      <c r="F3779" s="9">
        <f ca="1">IFERROR(__xludf.DUMMYFUNCTION("""COMPUTED_VALUE"""),41528)</f>
        <v>41528</v>
      </c>
      <c r="G3779" s="9" t="str">
        <f ca="1">IFERROR(__xludf.DUMMYFUNCTION("""COMPUTED_VALUE"""),"1 USD = 104.4281 PKR")</f>
        <v>1 USD = 104.4281 PKR</v>
      </c>
      <c r="H3779" s="9" t="str">
        <f ca="1">IFERROR(__xludf.DUMMYFUNCTION("""COMPUTED_VALUE"""),"USD PKR rate for 11/09/2013")</f>
        <v>USD PKR rate for 11/09/2013</v>
      </c>
      <c r="I3779" s="9"/>
    </row>
    <row r="3780" spans="1:9" ht="14.25" customHeight="1" x14ac:dyDescent="0.3">
      <c r="A3780" s="6">
        <v>43497</v>
      </c>
      <c r="B3780" s="7">
        <v>138.44710000000001</v>
      </c>
      <c r="C3780" s="8">
        <f t="shared" si="29"/>
        <v>155.24224096862602</v>
      </c>
      <c r="D3780" s="9">
        <f t="shared" si="28"/>
        <v>72.084399719207866</v>
      </c>
      <c r="E3780" s="9"/>
      <c r="F3780" s="9">
        <f ca="1">IFERROR(__xludf.DUMMYFUNCTION("""COMPUTED_VALUE"""),41527)</f>
        <v>41527</v>
      </c>
      <c r="G3780" s="9" t="str">
        <f ca="1">IFERROR(__xludf.DUMMYFUNCTION("""COMPUTED_VALUE"""),"1 USD = 104.5217 PKR")</f>
        <v>1 USD = 104.5217 PKR</v>
      </c>
      <c r="H3780" s="9" t="str">
        <f ca="1">IFERROR(__xludf.DUMMYFUNCTION("""COMPUTED_VALUE"""),"USD PKR rate for 10/09/2013")</f>
        <v>USD PKR rate for 10/09/2013</v>
      </c>
      <c r="I3780" s="9"/>
    </row>
    <row r="3781" spans="1:9" ht="14.25" customHeight="1" x14ac:dyDescent="0.3">
      <c r="A3781" s="6">
        <v>43498</v>
      </c>
      <c r="B3781" s="7">
        <v>138.44710000000001</v>
      </c>
      <c r="C3781" s="8">
        <f t="shared" si="29"/>
        <v>155.27000600746268</v>
      </c>
      <c r="D3781" s="9">
        <f t="shared" si="28"/>
        <v>72.087137552005132</v>
      </c>
      <c r="E3781" s="9"/>
      <c r="F3781" s="9">
        <f ca="1">IFERROR(__xludf.DUMMYFUNCTION("""COMPUTED_VALUE"""),41526)</f>
        <v>41526</v>
      </c>
      <c r="G3781" s="9" t="str">
        <f ca="1">IFERROR(__xludf.DUMMYFUNCTION("""COMPUTED_VALUE"""),"1 USD = 104.4947 PKR")</f>
        <v>1 USD = 104.4947 PKR</v>
      </c>
      <c r="H3781" s="9" t="str">
        <f ca="1">IFERROR(__xludf.DUMMYFUNCTION("""COMPUTED_VALUE"""),"USD PKR rate for 09/09/2013")</f>
        <v>USD PKR rate for 09/09/2013</v>
      </c>
      <c r="I3781" s="9"/>
    </row>
    <row r="3782" spans="1:9" ht="14.25" customHeight="1" x14ac:dyDescent="0.3">
      <c r="A3782" s="6">
        <v>43499</v>
      </c>
      <c r="B3782" s="7">
        <v>139.10939999999999</v>
      </c>
      <c r="C3782" s="8">
        <f t="shared" si="29"/>
        <v>155.2977760120701</v>
      </c>
      <c r="D3782" s="9">
        <f t="shared" si="28"/>
        <v>72.089875384802397</v>
      </c>
      <c r="E3782" s="9"/>
      <c r="F3782" s="9">
        <f ca="1">IFERROR(__xludf.DUMMYFUNCTION("""COMPUTED_VALUE"""),41525)</f>
        <v>41525</v>
      </c>
      <c r="G3782" s="9" t="str">
        <f ca="1">IFERROR(__xludf.DUMMYFUNCTION("""COMPUTED_VALUE"""),"1 USD = 104.518 PKR")</f>
        <v>1 USD = 104.518 PKR</v>
      </c>
      <c r="H3782" s="9" t="str">
        <f ca="1">IFERROR(__xludf.DUMMYFUNCTION("""COMPUTED_VALUE"""),"USD PKR rate for 08/09/2013")</f>
        <v>USD PKR rate for 08/09/2013</v>
      </c>
      <c r="I3782" s="9"/>
    </row>
    <row r="3783" spans="1:9" ht="14.25" customHeight="1" x14ac:dyDescent="0.3">
      <c r="A3783" s="6">
        <v>43500</v>
      </c>
      <c r="B3783" s="7">
        <v>139.4084</v>
      </c>
      <c r="C3783" s="8">
        <f t="shared" si="29"/>
        <v>155.32555098333637</v>
      </c>
      <c r="D3783" s="9">
        <f t="shared" si="28"/>
        <v>72.092613217599663</v>
      </c>
      <c r="E3783" s="9"/>
      <c r="F3783" s="9">
        <f ca="1">IFERROR(__xludf.DUMMYFUNCTION("""COMPUTED_VALUE"""),41524)</f>
        <v>41524</v>
      </c>
      <c r="G3783" s="9" t="str">
        <f ca="1">IFERROR(__xludf.DUMMYFUNCTION("""COMPUTED_VALUE"""),"1 USD = 104.7181 PKR")</f>
        <v>1 USD = 104.7181 PKR</v>
      </c>
      <c r="H3783" s="9" t="str">
        <f ca="1">IFERROR(__xludf.DUMMYFUNCTION("""COMPUTED_VALUE"""),"USD PKR rate for 07/09/2013")</f>
        <v>USD PKR rate for 07/09/2013</v>
      </c>
      <c r="I3783" s="9"/>
    </row>
    <row r="3784" spans="1:9" ht="14.25" customHeight="1" x14ac:dyDescent="0.3">
      <c r="A3784" s="6">
        <v>43501</v>
      </c>
      <c r="B3784" s="7">
        <v>138.8518</v>
      </c>
      <c r="C3784" s="8">
        <f t="shared" si="29"/>
        <v>155.35333092214972</v>
      </c>
      <c r="D3784" s="9">
        <f t="shared" si="28"/>
        <v>72.095351050396928</v>
      </c>
      <c r="E3784" s="9"/>
      <c r="F3784" s="9">
        <f ca="1">IFERROR(__xludf.DUMMYFUNCTION("""COMPUTED_VALUE"""),41523)</f>
        <v>41523</v>
      </c>
      <c r="G3784" s="9" t="str">
        <f ca="1">IFERROR(__xludf.DUMMYFUNCTION("""COMPUTED_VALUE"""),"1 USD = 104.6317 PKR")</f>
        <v>1 USD = 104.6317 PKR</v>
      </c>
      <c r="H3784" s="9" t="str">
        <f ca="1">IFERROR(__xludf.DUMMYFUNCTION("""COMPUTED_VALUE"""),"USD PKR rate for 06/09/2013")</f>
        <v>USD PKR rate for 06/09/2013</v>
      </c>
      <c r="I3784" s="9"/>
    </row>
    <row r="3785" spans="1:9" ht="14.25" customHeight="1" x14ac:dyDescent="0.3">
      <c r="A3785" s="6">
        <v>43502</v>
      </c>
      <c r="B3785" s="7">
        <v>139.22050000000002</v>
      </c>
      <c r="C3785" s="8">
        <f t="shared" si="29"/>
        <v>155.38111582939882</v>
      </c>
      <c r="D3785" s="9">
        <f t="shared" si="28"/>
        <v>72.098088883194194</v>
      </c>
      <c r="E3785" s="9"/>
      <c r="F3785" s="9">
        <f ca="1">IFERROR(__xludf.DUMMYFUNCTION("""COMPUTED_VALUE"""),41522)</f>
        <v>41522</v>
      </c>
      <c r="G3785" s="9" t="str">
        <f ca="1">IFERROR(__xludf.DUMMYFUNCTION("""COMPUTED_VALUE"""),"1 USD = 105.0395 PKR")</f>
        <v>1 USD = 105.0395 PKR</v>
      </c>
      <c r="H3785" s="9" t="str">
        <f ca="1">IFERROR(__xludf.DUMMYFUNCTION("""COMPUTED_VALUE"""),"USD PKR rate for 05/09/2013")</f>
        <v>USD PKR rate for 05/09/2013</v>
      </c>
      <c r="I3785" s="9"/>
    </row>
    <row r="3786" spans="1:9" ht="14.25" customHeight="1" x14ac:dyDescent="0.3">
      <c r="A3786" s="6">
        <v>43503</v>
      </c>
      <c r="B3786" s="7">
        <v>139.2484</v>
      </c>
      <c r="C3786" s="8">
        <f t="shared" si="29"/>
        <v>155.40890570597213</v>
      </c>
      <c r="D3786" s="9">
        <f t="shared" si="28"/>
        <v>72.10082671599146</v>
      </c>
      <c r="E3786" s="9"/>
      <c r="F3786" s="9">
        <f ca="1">IFERROR(__xludf.DUMMYFUNCTION("""COMPUTED_VALUE"""),41521)</f>
        <v>41521</v>
      </c>
      <c r="G3786" s="9" t="str">
        <f ca="1">IFERROR(__xludf.DUMMYFUNCTION("""COMPUTED_VALUE"""),"1 USD = 104.6914 PKR")</f>
        <v>1 USD = 104.6914 PKR</v>
      </c>
      <c r="H3786" s="9" t="str">
        <f ca="1">IFERROR(__xludf.DUMMYFUNCTION("""COMPUTED_VALUE"""),"USD PKR rate for 04/09/2013")</f>
        <v>USD PKR rate for 04/09/2013</v>
      </c>
      <c r="I3786" s="9"/>
    </row>
    <row r="3787" spans="1:9" ht="14.25" customHeight="1" x14ac:dyDescent="0.3">
      <c r="A3787" s="6">
        <v>43504</v>
      </c>
      <c r="B3787" s="7">
        <v>138.7996</v>
      </c>
      <c r="C3787" s="8">
        <f t="shared" si="29"/>
        <v>155.43670055275845</v>
      </c>
      <c r="D3787" s="9">
        <f t="shared" si="28"/>
        <v>72.103564548788725</v>
      </c>
      <c r="E3787" s="9"/>
      <c r="F3787" s="9">
        <f ca="1">IFERROR(__xludf.DUMMYFUNCTION("""COMPUTED_VALUE"""),41520)</f>
        <v>41520</v>
      </c>
      <c r="G3787" s="9" t="str">
        <f ca="1">IFERROR(__xludf.DUMMYFUNCTION("""COMPUTED_VALUE"""),"1 USD = 104.8357 PKR")</f>
        <v>1 USD = 104.8357 PKR</v>
      </c>
      <c r="H3787" s="9" t="str">
        <f ca="1">IFERROR(__xludf.DUMMYFUNCTION("""COMPUTED_VALUE"""),"USD PKR rate for 03/09/2013")</f>
        <v>USD PKR rate for 03/09/2013</v>
      </c>
      <c r="I3787" s="9"/>
    </row>
    <row r="3788" spans="1:9" ht="14.25" customHeight="1" x14ac:dyDescent="0.3">
      <c r="A3788" s="6">
        <v>43505</v>
      </c>
      <c r="B3788" s="7">
        <v>139.6497</v>
      </c>
      <c r="C3788" s="8">
        <f t="shared" si="29"/>
        <v>155.46450037064668</v>
      </c>
      <c r="D3788" s="9">
        <f t="shared" si="28"/>
        <v>72.106302381585991</v>
      </c>
      <c r="E3788" s="9"/>
      <c r="F3788" s="9">
        <f ca="1">IFERROR(__xludf.DUMMYFUNCTION("""COMPUTED_VALUE"""),41519)</f>
        <v>41519</v>
      </c>
      <c r="G3788" s="9" t="str">
        <f ca="1">IFERROR(__xludf.DUMMYFUNCTION("""COMPUTED_VALUE"""),"1 USD = 104.7734 PKR")</f>
        <v>1 USD = 104.7734 PKR</v>
      </c>
      <c r="H3788" s="9" t="str">
        <f ca="1">IFERROR(__xludf.DUMMYFUNCTION("""COMPUTED_VALUE"""),"USD PKR rate for 02/09/2013")</f>
        <v>USD PKR rate for 02/09/2013</v>
      </c>
      <c r="I3788" s="9"/>
    </row>
    <row r="3789" spans="1:9" ht="14.25" customHeight="1" x14ac:dyDescent="0.3">
      <c r="A3789" s="6">
        <v>43506</v>
      </c>
      <c r="B3789" s="7">
        <v>139.47989999999999</v>
      </c>
      <c r="C3789" s="8">
        <f t="shared" si="29"/>
        <v>155.49230516052589</v>
      </c>
      <c r="D3789" s="9">
        <f t="shared" si="28"/>
        <v>72.109040214383256</v>
      </c>
      <c r="E3789" s="9"/>
      <c r="F3789" s="9">
        <f ca="1">IFERROR(__xludf.DUMMYFUNCTION("""COMPUTED_VALUE"""),41518)</f>
        <v>41518</v>
      </c>
      <c r="G3789" s="9" t="str">
        <f ca="1">IFERROR(__xludf.DUMMYFUNCTION("""COMPUTED_VALUE"""),"1 USD = 104.4513 PKR")</f>
        <v>1 USD = 104.4513 PKR</v>
      </c>
      <c r="H3789" s="9" t="str">
        <f ca="1">IFERROR(__xludf.DUMMYFUNCTION("""COMPUTED_VALUE"""),"USD PKR rate for 01/09/2013")</f>
        <v>USD PKR rate for 01/09/2013</v>
      </c>
      <c r="I3789" s="9"/>
    </row>
    <row r="3790" spans="1:9" ht="14.25" customHeight="1" x14ac:dyDescent="0.3">
      <c r="A3790" s="6">
        <v>43507</v>
      </c>
      <c r="B3790" s="7">
        <v>139.54069999999999</v>
      </c>
      <c r="C3790" s="8">
        <f t="shared" si="29"/>
        <v>155.52011492328532</v>
      </c>
      <c r="D3790" s="9">
        <f t="shared" si="28"/>
        <v>72.111778047180522</v>
      </c>
      <c r="E3790" s="9"/>
      <c r="F3790" s="9">
        <f ca="1">IFERROR(__xludf.DUMMYFUNCTION("""COMPUTED_VALUE"""),41517)</f>
        <v>41517</v>
      </c>
      <c r="G3790" s="9" t="str">
        <f ca="1">IFERROR(__xludf.DUMMYFUNCTION("""COMPUTED_VALUE"""),"1 USD = 104.452 PKR")</f>
        <v>1 USD = 104.452 PKR</v>
      </c>
      <c r="H3790" s="9" t="str">
        <f ca="1">IFERROR(__xludf.DUMMYFUNCTION("""COMPUTED_VALUE"""),"USD PKR rate for 31/08/2013")</f>
        <v>USD PKR rate for 31/08/2013</v>
      </c>
      <c r="I3790" s="9"/>
    </row>
    <row r="3791" spans="1:9" ht="14.25" customHeight="1" x14ac:dyDescent="0.3">
      <c r="A3791" s="6">
        <v>43508</v>
      </c>
      <c r="B3791" s="7">
        <v>139.4845</v>
      </c>
      <c r="C3791" s="8">
        <f t="shared" si="29"/>
        <v>155.5479296598144</v>
      </c>
      <c r="D3791" s="9">
        <f t="shared" si="28"/>
        <v>72.114515879977787</v>
      </c>
      <c r="E3791" s="9"/>
      <c r="F3791" s="9">
        <f ca="1">IFERROR(__xludf.DUMMYFUNCTION("""COMPUTED_VALUE"""),41516)</f>
        <v>41516</v>
      </c>
      <c r="G3791" s="9" t="str">
        <f ca="1">IFERROR(__xludf.DUMMYFUNCTION("""COMPUTED_VALUE"""),"1 USD = 104.3879 PKR")</f>
        <v>1 USD = 104.3879 PKR</v>
      </c>
      <c r="H3791" s="9" t="str">
        <f ca="1">IFERROR(__xludf.DUMMYFUNCTION("""COMPUTED_VALUE"""),"USD PKR rate for 30/08/2013")</f>
        <v>USD PKR rate for 30/08/2013</v>
      </c>
      <c r="I3791" s="9"/>
    </row>
    <row r="3792" spans="1:9" ht="14.25" customHeight="1" x14ac:dyDescent="0.3">
      <c r="A3792" s="6">
        <v>43509</v>
      </c>
      <c r="B3792" s="7">
        <v>139.7989</v>
      </c>
      <c r="C3792" s="8">
        <f t="shared" si="29"/>
        <v>155.57574937100264</v>
      </c>
      <c r="D3792" s="9">
        <f t="shared" si="28"/>
        <v>72.117253712775053</v>
      </c>
      <c r="E3792" s="9"/>
      <c r="F3792" s="9">
        <f ca="1">IFERROR(__xludf.DUMMYFUNCTION("""COMPUTED_VALUE"""),41515)</f>
        <v>41515</v>
      </c>
      <c r="G3792" s="9" t="str">
        <f ca="1">IFERROR(__xludf.DUMMYFUNCTION("""COMPUTED_VALUE"""),"1 USD = 104.28 PKR")</f>
        <v>1 USD = 104.28 PKR</v>
      </c>
      <c r="H3792" s="9" t="str">
        <f ca="1">IFERROR(__xludf.DUMMYFUNCTION("""COMPUTED_VALUE"""),"USD PKR rate for 29/08/2013")</f>
        <v>USD PKR rate for 29/08/2013</v>
      </c>
      <c r="I3792" s="9"/>
    </row>
    <row r="3793" spans="1:9" ht="14.25" customHeight="1" x14ac:dyDescent="0.3">
      <c r="A3793" s="6">
        <v>43510</v>
      </c>
      <c r="B3793" s="7">
        <v>139.59360000000001</v>
      </c>
      <c r="C3793" s="8">
        <f t="shared" si="29"/>
        <v>155.60357405773979</v>
      </c>
      <c r="D3793" s="9">
        <f t="shared" si="28"/>
        <v>72.119991545572319</v>
      </c>
      <c r="E3793" s="9"/>
      <c r="F3793" s="9">
        <f ca="1">IFERROR(__xludf.DUMMYFUNCTION("""COMPUTED_VALUE"""),41514)</f>
        <v>41514</v>
      </c>
      <c r="G3793" s="9" t="str">
        <f ca="1">IFERROR(__xludf.DUMMYFUNCTION("""COMPUTED_VALUE"""),"1 USD = 103.8651 PKR")</f>
        <v>1 USD = 103.8651 PKR</v>
      </c>
      <c r="H3793" s="9" t="str">
        <f ca="1">IFERROR(__xludf.DUMMYFUNCTION("""COMPUTED_VALUE"""),"USD PKR rate for 28/08/2013")</f>
        <v>USD PKR rate for 28/08/2013</v>
      </c>
      <c r="I3793" s="9"/>
    </row>
    <row r="3794" spans="1:9" ht="14.25" customHeight="1" x14ac:dyDescent="0.3">
      <c r="A3794" s="6">
        <v>43511</v>
      </c>
      <c r="B3794" s="7">
        <v>139.15090000000001</v>
      </c>
      <c r="C3794" s="8">
        <f t="shared" si="29"/>
        <v>155.63140372091559</v>
      </c>
      <c r="D3794" s="9">
        <f t="shared" si="28"/>
        <v>72.122729378369584</v>
      </c>
      <c r="E3794" s="9"/>
      <c r="F3794" s="9">
        <f ca="1">IFERROR(__xludf.DUMMYFUNCTION("""COMPUTED_VALUE"""),41513)</f>
        <v>41513</v>
      </c>
      <c r="G3794" s="9" t="str">
        <f ca="1">IFERROR(__xludf.DUMMYFUNCTION("""COMPUTED_VALUE"""),"1 USD = 103.5825 PKR")</f>
        <v>1 USD = 103.5825 PKR</v>
      </c>
      <c r="H3794" s="9" t="str">
        <f ca="1">IFERROR(__xludf.DUMMYFUNCTION("""COMPUTED_VALUE"""),"USD PKR rate for 27/08/2013")</f>
        <v>USD PKR rate for 27/08/2013</v>
      </c>
      <c r="I3794" s="9"/>
    </row>
    <row r="3795" spans="1:9" ht="14.25" customHeight="1" x14ac:dyDescent="0.3">
      <c r="A3795" s="6">
        <v>43512</v>
      </c>
      <c r="B3795" s="7">
        <v>139.1491</v>
      </c>
      <c r="C3795" s="8">
        <f t="shared" si="29"/>
        <v>155.65923836142034</v>
      </c>
      <c r="D3795" s="9">
        <f t="shared" si="28"/>
        <v>72.12546721116685</v>
      </c>
      <c r="E3795" s="9"/>
      <c r="F3795" s="9">
        <f ca="1">IFERROR(__xludf.DUMMYFUNCTION("""COMPUTED_VALUE"""),41512)</f>
        <v>41512</v>
      </c>
      <c r="G3795" s="9" t="str">
        <f ca="1">IFERROR(__xludf.DUMMYFUNCTION("""COMPUTED_VALUE"""),"1 USD = 103.5968 PKR")</f>
        <v>1 USD = 103.5968 PKR</v>
      </c>
      <c r="H3795" s="9" t="str">
        <f ca="1">IFERROR(__xludf.DUMMYFUNCTION("""COMPUTED_VALUE"""),"USD PKR rate for 26/08/2013")</f>
        <v>USD PKR rate for 26/08/2013</v>
      </c>
      <c r="I3795" s="9"/>
    </row>
    <row r="3796" spans="1:9" ht="14.25" customHeight="1" x14ac:dyDescent="0.3">
      <c r="A3796" s="6">
        <v>43513</v>
      </c>
      <c r="B3796" s="7">
        <v>139.42529999999999</v>
      </c>
      <c r="C3796" s="8">
        <f t="shared" si="29"/>
        <v>155.68707798014407</v>
      </c>
      <c r="D3796" s="9">
        <f t="shared" si="28"/>
        <v>72.128205043964115</v>
      </c>
      <c r="E3796" s="9"/>
      <c r="F3796" s="9">
        <f ca="1">IFERROR(__xludf.DUMMYFUNCTION("""COMPUTED_VALUE"""),41511)</f>
        <v>41511</v>
      </c>
      <c r="G3796" s="9" t="str">
        <f ca="1">IFERROR(__xludf.DUMMYFUNCTION("""COMPUTED_VALUE"""),"1 USD = 103.5221 PKR")</f>
        <v>1 USD = 103.5221 PKR</v>
      </c>
      <c r="H3796" s="9" t="str">
        <f ca="1">IFERROR(__xludf.DUMMYFUNCTION("""COMPUTED_VALUE"""),"USD PKR rate for 25/08/2013")</f>
        <v>USD PKR rate for 25/08/2013</v>
      </c>
      <c r="I3796" s="9"/>
    </row>
    <row r="3797" spans="1:9" ht="14.25" customHeight="1" x14ac:dyDescent="0.3">
      <c r="A3797" s="6">
        <v>43514</v>
      </c>
      <c r="B3797" s="7">
        <v>139.52080000000001</v>
      </c>
      <c r="C3797" s="8">
        <f t="shared" si="29"/>
        <v>155.71492257797721</v>
      </c>
      <c r="D3797" s="9">
        <f t="shared" si="28"/>
        <v>72.130942876761381</v>
      </c>
      <c r="E3797" s="9"/>
      <c r="F3797" s="9">
        <f ca="1">IFERROR(__xludf.DUMMYFUNCTION("""COMPUTED_VALUE"""),41510)</f>
        <v>41510</v>
      </c>
      <c r="G3797" s="9" t="str">
        <f ca="1">IFERROR(__xludf.DUMMYFUNCTION("""COMPUTED_VALUE"""),"1 USD = 103.5184 PKR")</f>
        <v>1 USD = 103.5184 PKR</v>
      </c>
      <c r="H3797" s="9" t="str">
        <f ca="1">IFERROR(__xludf.DUMMYFUNCTION("""COMPUTED_VALUE"""),"USD PKR rate for 24/08/2013")</f>
        <v>USD PKR rate for 24/08/2013</v>
      </c>
      <c r="I3797" s="9"/>
    </row>
    <row r="3798" spans="1:9" ht="14.25" customHeight="1" x14ac:dyDescent="0.3">
      <c r="A3798" s="6">
        <v>43515</v>
      </c>
      <c r="B3798" s="7">
        <v>139.1276</v>
      </c>
      <c r="C3798" s="8">
        <f t="shared" si="29"/>
        <v>155.74277215581017</v>
      </c>
      <c r="D3798" s="9">
        <f t="shared" si="28"/>
        <v>72.133680709558647</v>
      </c>
      <c r="E3798" s="9"/>
      <c r="F3798" s="9">
        <f ca="1">IFERROR(__xludf.DUMMYFUNCTION("""COMPUTED_VALUE"""),41509)</f>
        <v>41509</v>
      </c>
      <c r="G3798" s="9" t="str">
        <f ca="1">IFERROR(__xludf.DUMMYFUNCTION("""COMPUTED_VALUE"""),"1 USD = 103.6217 PKR")</f>
        <v>1 USD = 103.6217 PKR</v>
      </c>
      <c r="H3798" s="9" t="str">
        <f ca="1">IFERROR(__xludf.DUMMYFUNCTION("""COMPUTED_VALUE"""),"USD PKR rate for 23/08/2013")</f>
        <v>USD PKR rate for 23/08/2013</v>
      </c>
      <c r="I3798" s="9"/>
    </row>
    <row r="3799" spans="1:9" ht="14.25" customHeight="1" x14ac:dyDescent="0.3">
      <c r="A3799" s="6">
        <v>43516</v>
      </c>
      <c r="B3799" s="7">
        <v>139.0934</v>
      </c>
      <c r="C3799" s="8">
        <f t="shared" si="29"/>
        <v>155.77062671453371</v>
      </c>
      <c r="D3799" s="9">
        <f t="shared" si="28"/>
        <v>72.136418542355912</v>
      </c>
      <c r="E3799" s="9"/>
      <c r="F3799" s="9">
        <f ca="1">IFERROR(__xludf.DUMMYFUNCTION("""COMPUTED_VALUE"""),41508)</f>
        <v>41508</v>
      </c>
      <c r="G3799" s="9" t="str">
        <f ca="1">IFERROR(__xludf.DUMMYFUNCTION("""COMPUTED_VALUE"""),"1 USD = 103.4116 PKR")</f>
        <v>1 USD = 103.4116 PKR</v>
      </c>
      <c r="H3799" s="9" t="str">
        <f ca="1">IFERROR(__xludf.DUMMYFUNCTION("""COMPUTED_VALUE"""),"USD PKR rate for 22/08/2013")</f>
        <v>USD PKR rate for 22/08/2013</v>
      </c>
      <c r="I3799" s="9"/>
    </row>
    <row r="3800" spans="1:9" ht="14.25" customHeight="1" x14ac:dyDescent="0.3">
      <c r="A3800" s="6">
        <v>43517</v>
      </c>
      <c r="B3800" s="7">
        <v>139.56900000000002</v>
      </c>
      <c r="C3800" s="8">
        <f t="shared" si="29"/>
        <v>155.7984862550386</v>
      </c>
      <c r="D3800" s="9">
        <f t="shared" si="28"/>
        <v>72.139156375153178</v>
      </c>
      <c r="E3800" s="9"/>
      <c r="F3800" s="9">
        <f ca="1">IFERROR(__xludf.DUMMYFUNCTION("""COMPUTED_VALUE"""),41507)</f>
        <v>41507</v>
      </c>
      <c r="G3800" s="9" t="str">
        <f ca="1">IFERROR(__xludf.DUMMYFUNCTION("""COMPUTED_VALUE"""),"1 USD = 103.669 PKR")</f>
        <v>1 USD = 103.669 PKR</v>
      </c>
      <c r="H3800" s="9" t="str">
        <f ca="1">IFERROR(__xludf.DUMMYFUNCTION("""COMPUTED_VALUE"""),"USD PKR rate for 21/08/2013")</f>
        <v>USD PKR rate for 21/08/2013</v>
      </c>
      <c r="I3800" s="9"/>
    </row>
    <row r="3801" spans="1:9" ht="14.25" customHeight="1" x14ac:dyDescent="0.3">
      <c r="A3801" s="6">
        <v>43518</v>
      </c>
      <c r="B3801" s="7">
        <v>139.73010000000002</v>
      </c>
      <c r="C3801" s="8">
        <f t="shared" si="29"/>
        <v>155.82635077821587</v>
      </c>
      <c r="D3801" s="9">
        <f t="shared" si="28"/>
        <v>72.141894207950443</v>
      </c>
      <c r="E3801" s="9"/>
      <c r="F3801" s="9">
        <f ca="1">IFERROR(__xludf.DUMMYFUNCTION("""COMPUTED_VALUE"""),41506)</f>
        <v>41506</v>
      </c>
      <c r="G3801" s="9" t="str">
        <f ca="1">IFERROR(__xludf.DUMMYFUNCTION("""COMPUTED_VALUE"""),"1 USD = 103.1517 PKR")</f>
        <v>1 USD = 103.1517 PKR</v>
      </c>
      <c r="H3801" s="9" t="str">
        <f ca="1">IFERROR(__xludf.DUMMYFUNCTION("""COMPUTED_VALUE"""),"USD PKR rate for 20/08/2013")</f>
        <v>USD PKR rate for 20/08/2013</v>
      </c>
      <c r="I3801" s="9"/>
    </row>
    <row r="3802" spans="1:9" ht="14.25" customHeight="1" x14ac:dyDescent="0.3">
      <c r="A3802" s="6">
        <v>43519</v>
      </c>
      <c r="B3802" s="7">
        <v>139.685</v>
      </c>
      <c r="C3802" s="8">
        <f t="shared" si="29"/>
        <v>155.85422028495665</v>
      </c>
      <c r="D3802" s="9">
        <f t="shared" si="28"/>
        <v>72.144632040747709</v>
      </c>
      <c r="E3802" s="9"/>
      <c r="F3802" s="9">
        <f ca="1">IFERROR(__xludf.DUMMYFUNCTION("""COMPUTED_VALUE"""),41505)</f>
        <v>41505</v>
      </c>
      <c r="G3802" s="9" t="str">
        <f ca="1">IFERROR(__xludf.DUMMYFUNCTION("""COMPUTED_VALUE"""),"1 USD = 103.1064 PKR")</f>
        <v>1 USD = 103.1064 PKR</v>
      </c>
      <c r="H3802" s="9" t="str">
        <f ca="1">IFERROR(__xludf.DUMMYFUNCTION("""COMPUTED_VALUE"""),"USD PKR rate for 19/08/2013")</f>
        <v>USD PKR rate for 19/08/2013</v>
      </c>
      <c r="I3802" s="9"/>
    </row>
    <row r="3803" spans="1:9" ht="14.25" customHeight="1" x14ac:dyDescent="0.3">
      <c r="A3803" s="6">
        <v>43520</v>
      </c>
      <c r="B3803" s="7">
        <v>139.69290000000004</v>
      </c>
      <c r="C3803" s="8">
        <f t="shared" si="29"/>
        <v>155.88209477615212</v>
      </c>
      <c r="D3803" s="9">
        <f t="shared" si="28"/>
        <v>72.147369873544974</v>
      </c>
      <c r="E3803" s="9"/>
      <c r="F3803" s="9">
        <f ca="1">IFERROR(__xludf.DUMMYFUNCTION("""COMPUTED_VALUE"""),41504)</f>
        <v>41504</v>
      </c>
      <c r="G3803" s="9" t="str">
        <f ca="1">IFERROR(__xludf.DUMMYFUNCTION("""COMPUTED_VALUE"""),"1 USD = 102.9088 PKR")</f>
        <v>1 USD = 102.9088 PKR</v>
      </c>
      <c r="H3803" s="9" t="str">
        <f ca="1">IFERROR(__xludf.DUMMYFUNCTION("""COMPUTED_VALUE"""),"USD PKR rate for 18/08/2013")</f>
        <v>USD PKR rate for 18/08/2013</v>
      </c>
      <c r="I3803" s="9"/>
    </row>
    <row r="3804" spans="1:9" ht="14.25" customHeight="1" x14ac:dyDescent="0.3">
      <c r="A3804" s="6">
        <v>43521</v>
      </c>
      <c r="B3804" s="7">
        <v>139.39349999999999</v>
      </c>
      <c r="C3804" s="8">
        <f t="shared" si="29"/>
        <v>155.90997425269401</v>
      </c>
      <c r="D3804" s="9">
        <f t="shared" si="28"/>
        <v>72.15010770634224</v>
      </c>
      <c r="E3804" s="9"/>
      <c r="F3804" s="9">
        <f ca="1">IFERROR(__xludf.DUMMYFUNCTION("""COMPUTED_VALUE"""),41503)</f>
        <v>41503</v>
      </c>
      <c r="G3804" s="9" t="str">
        <f ca="1">IFERROR(__xludf.DUMMYFUNCTION("""COMPUTED_VALUE"""),"1 USD = 102.8119 PKR")</f>
        <v>1 USD = 102.8119 PKR</v>
      </c>
      <c r="H3804" s="9" t="str">
        <f ca="1">IFERROR(__xludf.DUMMYFUNCTION("""COMPUTED_VALUE"""),"USD PKR rate for 17/08/2013")</f>
        <v>USD PKR rate for 17/08/2013</v>
      </c>
      <c r="I3804" s="9"/>
    </row>
    <row r="3805" spans="1:9" ht="14.25" customHeight="1" x14ac:dyDescent="0.3">
      <c r="A3805" s="6">
        <v>43522</v>
      </c>
      <c r="B3805" s="7">
        <v>139.40710000000001</v>
      </c>
      <c r="C3805" s="8">
        <f t="shared" si="29"/>
        <v>155.93785871547385</v>
      </c>
      <c r="D3805" s="9">
        <f t="shared" si="28"/>
        <v>72.152845539139506</v>
      </c>
      <c r="E3805" s="9"/>
      <c r="F3805" s="9">
        <f ca="1">IFERROR(__xludf.DUMMYFUNCTION("""COMPUTED_VALUE"""),41502)</f>
        <v>41502</v>
      </c>
      <c r="G3805" s="9" t="str">
        <f ca="1">IFERROR(__xludf.DUMMYFUNCTION("""COMPUTED_VALUE"""),"1 USD = 102.8387 PKR")</f>
        <v>1 USD = 102.8387 PKR</v>
      </c>
      <c r="H3805" s="9" t="str">
        <f ca="1">IFERROR(__xludf.DUMMYFUNCTION("""COMPUTED_VALUE"""),"USD PKR rate for 16/08/2013")</f>
        <v>USD PKR rate for 16/08/2013</v>
      </c>
      <c r="I3805" s="9"/>
    </row>
    <row r="3806" spans="1:9" ht="14.25" customHeight="1" x14ac:dyDescent="0.3">
      <c r="A3806" s="6">
        <v>43523</v>
      </c>
      <c r="B3806" s="7">
        <v>139.3081</v>
      </c>
      <c r="C3806" s="8">
        <f t="shared" si="29"/>
        <v>155.96574816538339</v>
      </c>
      <c r="D3806" s="9">
        <f t="shared" si="28"/>
        <v>72.155583371936771</v>
      </c>
      <c r="E3806" s="9"/>
      <c r="F3806" s="9">
        <f ca="1">IFERROR(__xludf.DUMMYFUNCTION("""COMPUTED_VALUE"""),41501)</f>
        <v>41501</v>
      </c>
      <c r="G3806" s="9" t="str">
        <f ca="1">IFERROR(__xludf.DUMMYFUNCTION("""COMPUTED_VALUE"""),"1 USD = 102.5194 PKR")</f>
        <v>1 USD = 102.5194 PKR</v>
      </c>
      <c r="H3806" s="9" t="str">
        <f ca="1">IFERROR(__xludf.DUMMYFUNCTION("""COMPUTED_VALUE"""),"USD PKR rate for 15/08/2013")</f>
        <v>USD PKR rate for 15/08/2013</v>
      </c>
      <c r="I3806" s="9"/>
    </row>
    <row r="3807" spans="1:9" ht="14.25" customHeight="1" x14ac:dyDescent="0.3">
      <c r="A3807" s="6">
        <v>43524</v>
      </c>
      <c r="B3807" s="7">
        <v>139.64840000000004</v>
      </c>
      <c r="C3807" s="8">
        <f t="shared" si="29"/>
        <v>155.99364260331456</v>
      </c>
      <c r="D3807" s="9">
        <f t="shared" si="28"/>
        <v>72.158321204734037</v>
      </c>
      <c r="E3807" s="9"/>
      <c r="F3807" s="9">
        <f ca="1">IFERROR(__xludf.DUMMYFUNCTION("""COMPUTED_VALUE"""),41500)</f>
        <v>41500</v>
      </c>
      <c r="G3807" s="9" t="str">
        <f ca="1">IFERROR(__xludf.DUMMYFUNCTION("""COMPUTED_VALUE"""),"1 USD = 102.4845 PKR")</f>
        <v>1 USD = 102.4845 PKR</v>
      </c>
      <c r="H3807" s="9" t="str">
        <f ca="1">IFERROR(__xludf.DUMMYFUNCTION("""COMPUTED_VALUE"""),"USD PKR rate for 14/08/2013")</f>
        <v>USD PKR rate for 14/08/2013</v>
      </c>
      <c r="I3807" s="9"/>
    </row>
    <row r="3808" spans="1:9" ht="14.25" customHeight="1" x14ac:dyDescent="0.3">
      <c r="A3808" s="6">
        <v>43525</v>
      </c>
      <c r="B3808" s="7">
        <v>138.625</v>
      </c>
      <c r="C3808" s="8">
        <f t="shared" si="29"/>
        <v>156.02154203015954</v>
      </c>
      <c r="D3808" s="9">
        <f t="shared" si="28"/>
        <v>72.161059037531302</v>
      </c>
      <c r="E3808" s="9"/>
      <c r="F3808" s="9">
        <f ca="1">IFERROR(__xludf.DUMMYFUNCTION("""COMPUTED_VALUE"""),41499)</f>
        <v>41499</v>
      </c>
      <c r="G3808" s="9" t="str">
        <f ca="1">IFERROR(__xludf.DUMMYFUNCTION("""COMPUTED_VALUE"""),"1 USD = 102.6429 PKR")</f>
        <v>1 USD = 102.6429 PKR</v>
      </c>
      <c r="H3808" s="9" t="str">
        <f ca="1">IFERROR(__xludf.DUMMYFUNCTION("""COMPUTED_VALUE"""),"USD PKR rate for 13/08/2013")</f>
        <v>USD PKR rate for 13/08/2013</v>
      </c>
      <c r="I3808" s="9"/>
    </row>
    <row r="3809" spans="1:9" ht="14.25" customHeight="1" x14ac:dyDescent="0.3">
      <c r="A3809" s="6">
        <v>43526</v>
      </c>
      <c r="B3809" s="7">
        <v>138.6277</v>
      </c>
      <c r="C3809" s="8">
        <f t="shared" si="29"/>
        <v>156.04944644681049</v>
      </c>
      <c r="D3809" s="9">
        <f t="shared" si="28"/>
        <v>72.163796870328568</v>
      </c>
      <c r="E3809" s="9"/>
      <c r="F3809" s="9">
        <f ca="1">IFERROR(__xludf.DUMMYFUNCTION("""COMPUTED_VALUE"""),41498)</f>
        <v>41498</v>
      </c>
      <c r="G3809" s="9" t="str">
        <f ca="1">IFERROR(__xludf.DUMMYFUNCTION("""COMPUTED_VALUE"""),"1 USD = 102.6586 PKR")</f>
        <v>1 USD = 102.6586 PKR</v>
      </c>
      <c r="H3809" s="9" t="str">
        <f ca="1">IFERROR(__xludf.DUMMYFUNCTION("""COMPUTED_VALUE"""),"USD PKR rate for 12/08/2013")</f>
        <v>USD PKR rate for 12/08/2013</v>
      </c>
      <c r="I3809" s="9"/>
    </row>
    <row r="3810" spans="1:9" ht="14.25" customHeight="1" x14ac:dyDescent="0.3">
      <c r="A3810" s="6">
        <v>43527</v>
      </c>
      <c r="B3810" s="7">
        <v>139.69669999999999</v>
      </c>
      <c r="C3810" s="8">
        <f t="shared" si="29"/>
        <v>156.07735585415995</v>
      </c>
      <c r="D3810" s="9">
        <f t="shared" si="28"/>
        <v>72.166534703125834</v>
      </c>
      <c r="E3810" s="9"/>
      <c r="F3810" s="9">
        <f ca="1">IFERROR(__xludf.DUMMYFUNCTION("""COMPUTED_VALUE"""),41497)</f>
        <v>41497</v>
      </c>
      <c r="G3810" s="9" t="str">
        <f ca="1">IFERROR(__xludf.DUMMYFUNCTION("""COMPUTED_VALUE"""),"1 USD = 102.1688 PKR")</f>
        <v>1 USD = 102.1688 PKR</v>
      </c>
      <c r="H3810" s="9" t="str">
        <f ca="1">IFERROR(__xludf.DUMMYFUNCTION("""COMPUTED_VALUE"""),"USD PKR rate for 11/08/2013")</f>
        <v>USD PKR rate for 11/08/2013</v>
      </c>
      <c r="I3810" s="9"/>
    </row>
    <row r="3811" spans="1:9" ht="14.25" customHeight="1" x14ac:dyDescent="0.3">
      <c r="A3811" s="6">
        <v>43528</v>
      </c>
      <c r="B3811" s="7">
        <v>139.61879999999999</v>
      </c>
      <c r="C3811" s="8">
        <f t="shared" si="29"/>
        <v>156.1052702531004</v>
      </c>
      <c r="D3811" s="9">
        <f t="shared" si="28"/>
        <v>72.169272535923099</v>
      </c>
      <c r="E3811" s="9"/>
      <c r="F3811" s="9">
        <f ca="1">IFERROR(__xludf.DUMMYFUNCTION("""COMPUTED_VALUE"""),41496)</f>
        <v>41496</v>
      </c>
      <c r="G3811" s="9" t="str">
        <f ca="1">IFERROR(__xludf.DUMMYFUNCTION("""COMPUTED_VALUE"""),"1 USD = 102.1978 PKR")</f>
        <v>1 USD = 102.1978 PKR</v>
      </c>
      <c r="H3811" s="9" t="str">
        <f ca="1">IFERROR(__xludf.DUMMYFUNCTION("""COMPUTED_VALUE"""),"USD PKR rate for 10/08/2013")</f>
        <v>USD PKR rate for 10/08/2013</v>
      </c>
      <c r="I3811" s="9"/>
    </row>
    <row r="3812" spans="1:9" ht="14.25" customHeight="1" x14ac:dyDescent="0.3">
      <c r="A3812" s="6">
        <v>43529</v>
      </c>
      <c r="B3812" s="7">
        <v>139.09739999999999</v>
      </c>
      <c r="C3812" s="8">
        <f t="shared" si="29"/>
        <v>156.13318964452452</v>
      </c>
      <c r="D3812" s="9">
        <f t="shared" si="28"/>
        <v>72.172010368720365</v>
      </c>
      <c r="E3812" s="9"/>
      <c r="F3812" s="9">
        <f ca="1">IFERROR(__xludf.DUMMYFUNCTION("""COMPUTED_VALUE"""),41495)</f>
        <v>41495</v>
      </c>
      <c r="G3812" s="9" t="str">
        <f ca="1">IFERROR(__xludf.DUMMYFUNCTION("""COMPUTED_VALUE"""),"1 USD = 102.2328 PKR")</f>
        <v>1 USD = 102.2328 PKR</v>
      </c>
      <c r="H3812" s="9" t="str">
        <f ca="1">IFERROR(__xludf.DUMMYFUNCTION("""COMPUTED_VALUE"""),"USD PKR rate for 09/08/2013")</f>
        <v>USD PKR rate for 09/08/2013</v>
      </c>
      <c r="I3812" s="9"/>
    </row>
    <row r="3813" spans="1:9" ht="14.25" customHeight="1" x14ac:dyDescent="0.3">
      <c r="A3813" s="6">
        <v>43530</v>
      </c>
      <c r="B3813" s="7">
        <v>139.04560000000001</v>
      </c>
      <c r="C3813" s="8">
        <f t="shared" si="29"/>
        <v>156.16111402932546</v>
      </c>
      <c r="D3813" s="9">
        <f t="shared" si="28"/>
        <v>72.17474820151763</v>
      </c>
      <c r="E3813" s="9"/>
      <c r="F3813" s="9">
        <f ca="1">IFERROR(__xludf.DUMMYFUNCTION("""COMPUTED_VALUE"""),41494)</f>
        <v>41494</v>
      </c>
      <c r="G3813" s="9" t="str">
        <f ca="1">IFERROR(__xludf.DUMMYFUNCTION("""COMPUTED_VALUE"""),"1 USD = 102.2398 PKR")</f>
        <v>1 USD = 102.2398 PKR</v>
      </c>
      <c r="H3813" s="9" t="str">
        <f ca="1">IFERROR(__xludf.DUMMYFUNCTION("""COMPUTED_VALUE"""),"USD PKR rate for 08/08/2013")</f>
        <v>USD PKR rate for 08/08/2013</v>
      </c>
      <c r="I3813" s="9"/>
    </row>
    <row r="3814" spans="1:9" ht="14.25" customHeight="1" x14ac:dyDescent="0.3">
      <c r="A3814" s="6">
        <v>43531</v>
      </c>
      <c r="B3814" s="7">
        <v>139.67179999999999</v>
      </c>
      <c r="C3814" s="8">
        <f t="shared" si="29"/>
        <v>156.18904340839617</v>
      </c>
      <c r="D3814" s="9">
        <f t="shared" si="28"/>
        <v>72.177486034314896</v>
      </c>
      <c r="E3814" s="9"/>
      <c r="F3814" s="9">
        <f ca="1">IFERROR(__xludf.DUMMYFUNCTION("""COMPUTED_VALUE"""),41493)</f>
        <v>41493</v>
      </c>
      <c r="G3814" s="9" t="str">
        <f ca="1">IFERROR(__xludf.DUMMYFUNCTION("""COMPUTED_VALUE"""),"1 USD = 102.2135 PKR")</f>
        <v>1 USD = 102.2135 PKR</v>
      </c>
      <c r="H3814" s="9" t="str">
        <f ca="1">IFERROR(__xludf.DUMMYFUNCTION("""COMPUTED_VALUE"""),"USD PKR rate for 07/08/2013")</f>
        <v>USD PKR rate for 07/08/2013</v>
      </c>
      <c r="I3814" s="9"/>
    </row>
    <row r="3815" spans="1:9" ht="14.25" customHeight="1" x14ac:dyDescent="0.3">
      <c r="A3815" s="6">
        <v>43532</v>
      </c>
      <c r="B3815" s="7">
        <v>139.75060000000002</v>
      </c>
      <c r="C3815" s="8">
        <f t="shared" si="29"/>
        <v>156.21697778262987</v>
      </c>
      <c r="D3815" s="9">
        <f t="shared" si="28"/>
        <v>72.180223867112161</v>
      </c>
      <c r="E3815" s="9"/>
      <c r="F3815" s="9">
        <f ca="1">IFERROR(__xludf.DUMMYFUNCTION("""COMPUTED_VALUE"""),41492)</f>
        <v>41492</v>
      </c>
      <c r="G3815" s="9" t="str">
        <f ca="1">IFERROR(__xludf.DUMMYFUNCTION("""COMPUTED_VALUE"""),"1 USD = 102.141 PKR")</f>
        <v>1 USD = 102.141 PKR</v>
      </c>
      <c r="H3815" s="9" t="str">
        <f ca="1">IFERROR(__xludf.DUMMYFUNCTION("""COMPUTED_VALUE"""),"USD PKR rate for 06/08/2013")</f>
        <v>USD PKR rate for 06/08/2013</v>
      </c>
      <c r="I3815" s="9"/>
    </row>
    <row r="3816" spans="1:9" ht="14.25" customHeight="1" x14ac:dyDescent="0.3">
      <c r="A3816" s="6">
        <v>43533</v>
      </c>
      <c r="B3816" s="7">
        <v>139.74930000000003</v>
      </c>
      <c r="C3816" s="8">
        <f t="shared" si="29"/>
        <v>156.2449171529199</v>
      </c>
      <c r="D3816" s="9">
        <f t="shared" si="28"/>
        <v>72.182961699909427</v>
      </c>
      <c r="E3816" s="9"/>
      <c r="F3816" s="9">
        <f ca="1">IFERROR(__xludf.DUMMYFUNCTION("""COMPUTED_VALUE"""),41491)</f>
        <v>41491</v>
      </c>
      <c r="G3816" s="9" t="str">
        <f ca="1">IFERROR(__xludf.DUMMYFUNCTION("""COMPUTED_VALUE"""),"1 USD = 101.8871 PKR")</f>
        <v>1 USD = 101.8871 PKR</v>
      </c>
      <c r="H3816" s="9" t="str">
        <f ca="1">IFERROR(__xludf.DUMMYFUNCTION("""COMPUTED_VALUE"""),"USD PKR rate for 05/08/2013")</f>
        <v>USD PKR rate for 05/08/2013</v>
      </c>
      <c r="I3816" s="9"/>
    </row>
    <row r="3817" spans="1:9" ht="14.25" customHeight="1" x14ac:dyDescent="0.3">
      <c r="A3817" s="6">
        <v>43534</v>
      </c>
      <c r="B3817" s="7">
        <v>139.37119999999999</v>
      </c>
      <c r="C3817" s="8">
        <f t="shared" si="29"/>
        <v>156.27286152015984</v>
      </c>
      <c r="D3817" s="9">
        <f t="shared" si="28"/>
        <v>72.185699532706693</v>
      </c>
      <c r="E3817" s="9"/>
      <c r="F3817" s="9">
        <f ca="1">IFERROR(__xludf.DUMMYFUNCTION("""COMPUTED_VALUE"""),41490)</f>
        <v>41490</v>
      </c>
      <c r="G3817" s="9" t="str">
        <f ca="1">IFERROR(__xludf.DUMMYFUNCTION("""COMPUTED_VALUE"""),"1 USD = 101.8155 PKR")</f>
        <v>1 USD = 101.8155 PKR</v>
      </c>
      <c r="H3817" s="9" t="str">
        <f ca="1">IFERROR(__xludf.DUMMYFUNCTION("""COMPUTED_VALUE"""),"USD PKR rate for 04/08/2013")</f>
        <v>USD PKR rate for 04/08/2013</v>
      </c>
      <c r="I3817" s="9"/>
    </row>
    <row r="3818" spans="1:9" ht="14.25" customHeight="1" x14ac:dyDescent="0.3">
      <c r="A3818" s="6">
        <v>43535</v>
      </c>
      <c r="B3818" s="7">
        <v>139.51370000000003</v>
      </c>
      <c r="C3818" s="8">
        <f t="shared" si="29"/>
        <v>156.30081088524338</v>
      </c>
      <c r="D3818" s="9">
        <f t="shared" si="28"/>
        <v>72.188437365503958</v>
      </c>
      <c r="E3818" s="9"/>
      <c r="F3818" s="9">
        <f ca="1">IFERROR(__xludf.DUMMYFUNCTION("""COMPUTED_VALUE"""),41489)</f>
        <v>41489</v>
      </c>
      <c r="G3818" s="9" t="str">
        <f ca="1">IFERROR(__xludf.DUMMYFUNCTION("""COMPUTED_VALUE"""),"1 USD = 102.1291 PKR")</f>
        <v>1 USD = 102.1291 PKR</v>
      </c>
      <c r="H3818" s="9" t="str">
        <f ca="1">IFERROR(__xludf.DUMMYFUNCTION("""COMPUTED_VALUE"""),"USD PKR rate for 03/08/2013")</f>
        <v>USD PKR rate for 03/08/2013</v>
      </c>
      <c r="I3818" s="9"/>
    </row>
    <row r="3819" spans="1:9" ht="14.25" customHeight="1" x14ac:dyDescent="0.3">
      <c r="A3819" s="6">
        <v>43536</v>
      </c>
      <c r="B3819" s="7">
        <v>139.75360000000001</v>
      </c>
      <c r="C3819" s="8">
        <f t="shared" si="29"/>
        <v>156.32876524906439</v>
      </c>
      <c r="D3819" s="9">
        <f t="shared" si="28"/>
        <v>72.191175198301224</v>
      </c>
      <c r="E3819" s="9"/>
      <c r="F3819" s="9">
        <f ca="1">IFERROR(__xludf.DUMMYFUNCTION("""COMPUTED_VALUE"""),41488)</f>
        <v>41488</v>
      </c>
      <c r="G3819" s="9" t="str">
        <f ca="1">IFERROR(__xludf.DUMMYFUNCTION("""COMPUTED_VALUE"""),"1 USD = 101.8749 PKR")</f>
        <v>1 USD = 101.8749 PKR</v>
      </c>
      <c r="H3819" s="9" t="str">
        <f ca="1">IFERROR(__xludf.DUMMYFUNCTION("""COMPUTED_VALUE"""),"USD PKR rate for 02/08/2013")</f>
        <v>USD PKR rate for 02/08/2013</v>
      </c>
      <c r="I3819" s="9"/>
    </row>
    <row r="3820" spans="1:9" ht="14.25" customHeight="1" x14ac:dyDescent="0.3">
      <c r="A3820" s="6">
        <v>43537</v>
      </c>
      <c r="B3820" s="7">
        <v>139.29759999999999</v>
      </c>
      <c r="C3820" s="8">
        <f t="shared" si="29"/>
        <v>156.35672461251693</v>
      </c>
      <c r="D3820" s="9">
        <f t="shared" si="28"/>
        <v>72.193913031098489</v>
      </c>
      <c r="E3820" s="9"/>
      <c r="F3820" s="9">
        <f ca="1">IFERROR(__xludf.DUMMYFUNCTION("""COMPUTED_VALUE"""),41487)</f>
        <v>41487</v>
      </c>
      <c r="G3820" s="9" t="str">
        <f ca="1">IFERROR(__xludf.DUMMYFUNCTION("""COMPUTED_VALUE"""),"1 USD = 101.9884 PKR")</f>
        <v>1 USD = 101.9884 PKR</v>
      </c>
      <c r="H3820" s="9" t="str">
        <f ca="1">IFERROR(__xludf.DUMMYFUNCTION("""COMPUTED_VALUE"""),"USD PKR rate for 01/08/2013")</f>
        <v>USD PKR rate for 01/08/2013</v>
      </c>
      <c r="I3820" s="9"/>
    </row>
    <row r="3821" spans="1:9" ht="14.25" customHeight="1" x14ac:dyDescent="0.3">
      <c r="A3821" s="6">
        <v>43538</v>
      </c>
      <c r="B3821" s="7">
        <v>139.85990000000004</v>
      </c>
      <c r="C3821" s="8">
        <f t="shared" si="29"/>
        <v>156.38468897649497</v>
      </c>
      <c r="D3821" s="9">
        <f t="shared" si="28"/>
        <v>72.196650863895755</v>
      </c>
      <c r="E3821" s="9"/>
      <c r="F3821" s="9">
        <f ca="1">IFERROR(__xludf.DUMMYFUNCTION("""COMPUTED_VALUE"""),41486)</f>
        <v>41486</v>
      </c>
      <c r="G3821" s="9" t="str">
        <f ca="1">IFERROR(__xludf.DUMMYFUNCTION("""COMPUTED_VALUE"""),"1 USD = 101.8697 PKR")</f>
        <v>1 USD = 101.8697 PKR</v>
      </c>
      <c r="H3821" s="9" t="str">
        <f ca="1">IFERROR(__xludf.DUMMYFUNCTION("""COMPUTED_VALUE"""),"USD PKR rate for 31/07/2013")</f>
        <v>USD PKR rate for 31/07/2013</v>
      </c>
      <c r="I3821" s="9"/>
    </row>
    <row r="3822" spans="1:9" ht="14.25" customHeight="1" x14ac:dyDescent="0.3">
      <c r="A3822" s="6">
        <v>43539</v>
      </c>
      <c r="B3822" s="7">
        <v>139.24459999999999</v>
      </c>
      <c r="C3822" s="8">
        <f t="shared" si="29"/>
        <v>156.41265834189318</v>
      </c>
      <c r="D3822" s="9">
        <f t="shared" si="28"/>
        <v>72.199388696693021</v>
      </c>
      <c r="E3822" s="9"/>
      <c r="F3822" s="9">
        <f ca="1">IFERROR(__xludf.DUMMYFUNCTION("""COMPUTED_VALUE"""),41485)</f>
        <v>41485</v>
      </c>
      <c r="G3822" s="9" t="str">
        <f ca="1">IFERROR(__xludf.DUMMYFUNCTION("""COMPUTED_VALUE"""),"1 USD = 101.8729 PKR")</f>
        <v>1 USD = 101.8729 PKR</v>
      </c>
      <c r="H3822" s="9" t="str">
        <f ca="1">IFERROR(__xludf.DUMMYFUNCTION("""COMPUTED_VALUE"""),"USD PKR rate for 30/07/2013")</f>
        <v>USD PKR rate for 30/07/2013</v>
      </c>
      <c r="I3822" s="9"/>
    </row>
    <row r="3823" spans="1:9" ht="14.25" customHeight="1" x14ac:dyDescent="0.3">
      <c r="A3823" s="6">
        <v>43540</v>
      </c>
      <c r="B3823" s="7">
        <v>139.24459999999999</v>
      </c>
      <c r="C3823" s="8">
        <f t="shared" si="29"/>
        <v>156.44063270960592</v>
      </c>
      <c r="D3823" s="9">
        <f t="shared" si="28"/>
        <v>72.202126529490286</v>
      </c>
      <c r="E3823" s="9"/>
      <c r="F3823" s="9">
        <f ca="1">IFERROR(__xludf.DUMMYFUNCTION("""COMPUTED_VALUE"""),41484)</f>
        <v>41484</v>
      </c>
      <c r="G3823" s="9" t="str">
        <f ca="1">IFERROR(__xludf.DUMMYFUNCTION("""COMPUTED_VALUE"""),"1 USD = 101.8199 PKR")</f>
        <v>1 USD = 101.8199 PKR</v>
      </c>
      <c r="H3823" s="9" t="str">
        <f ca="1">IFERROR(__xludf.DUMMYFUNCTION("""COMPUTED_VALUE"""),"USD PKR rate for 29/07/2013")</f>
        <v>USD PKR rate for 29/07/2013</v>
      </c>
      <c r="I3823" s="9"/>
    </row>
    <row r="3824" spans="1:9" ht="14.25" customHeight="1" x14ac:dyDescent="0.3">
      <c r="A3824" s="6">
        <v>43541</v>
      </c>
      <c r="B3824" s="7">
        <v>139.61689999999999</v>
      </c>
      <c r="C3824" s="8">
        <f t="shared" si="29"/>
        <v>156.46861208052783</v>
      </c>
      <c r="D3824" s="9">
        <f t="shared" si="28"/>
        <v>72.204864362287552</v>
      </c>
      <c r="E3824" s="9"/>
      <c r="F3824" s="9">
        <f ca="1">IFERROR(__xludf.DUMMYFUNCTION("""COMPUTED_VALUE"""),41483)</f>
        <v>41483</v>
      </c>
      <c r="G3824" s="9" t="str">
        <f ca="1">IFERROR(__xludf.DUMMYFUNCTION("""COMPUTED_VALUE"""),"1 USD = 101.357 PKR")</f>
        <v>1 USD = 101.357 PKR</v>
      </c>
      <c r="H3824" s="9" t="str">
        <f ca="1">IFERROR(__xludf.DUMMYFUNCTION("""COMPUTED_VALUE"""),"USD PKR rate for 28/07/2013")</f>
        <v>USD PKR rate for 28/07/2013</v>
      </c>
      <c r="I3824" s="9"/>
    </row>
    <row r="3825" spans="1:9" ht="14.25" customHeight="1" x14ac:dyDescent="0.3">
      <c r="A3825" s="6">
        <v>43542</v>
      </c>
      <c r="B3825" s="7">
        <v>140.3381</v>
      </c>
      <c r="C3825" s="8">
        <f t="shared" si="29"/>
        <v>156.49659645555377</v>
      </c>
      <c r="D3825" s="9">
        <f t="shared" si="28"/>
        <v>72.207602195084817</v>
      </c>
      <c r="E3825" s="9"/>
      <c r="F3825" s="9">
        <f ca="1">IFERROR(__xludf.DUMMYFUNCTION("""COMPUTED_VALUE"""),41482)</f>
        <v>41482</v>
      </c>
      <c r="G3825" s="9" t="str">
        <f ca="1">IFERROR(__xludf.DUMMYFUNCTION("""COMPUTED_VALUE"""),"1 USD = 101.2785 PKR")</f>
        <v>1 USD = 101.2785 PKR</v>
      </c>
      <c r="H3825" s="9" t="str">
        <f ca="1">IFERROR(__xludf.DUMMYFUNCTION("""COMPUTED_VALUE"""),"USD PKR rate for 27/07/2013")</f>
        <v>USD PKR rate for 27/07/2013</v>
      </c>
      <c r="I3825" s="9"/>
    </row>
    <row r="3826" spans="1:9" ht="14.25" customHeight="1" x14ac:dyDescent="0.3">
      <c r="A3826" s="6">
        <v>43543</v>
      </c>
      <c r="B3826" s="7">
        <v>139.8313</v>
      </c>
      <c r="C3826" s="8">
        <f t="shared" si="29"/>
        <v>156.52458583557868</v>
      </c>
      <c r="D3826" s="9">
        <f t="shared" si="28"/>
        <v>72.210340027882083</v>
      </c>
      <c r="E3826" s="9"/>
      <c r="F3826" s="9">
        <f ca="1">IFERROR(__xludf.DUMMYFUNCTION("""COMPUTED_VALUE"""),41481)</f>
        <v>41481</v>
      </c>
      <c r="G3826" s="9" t="str">
        <f ca="1">IFERROR(__xludf.DUMMYFUNCTION("""COMPUTED_VALUE"""),"1 USD = 101.2269 PKR")</f>
        <v>1 USD = 101.2269 PKR</v>
      </c>
      <c r="H3826" s="9" t="str">
        <f ca="1">IFERROR(__xludf.DUMMYFUNCTION("""COMPUTED_VALUE"""),"USD PKR rate for 26/07/2013")</f>
        <v>USD PKR rate for 26/07/2013</v>
      </c>
      <c r="I3826" s="9"/>
    </row>
    <row r="3827" spans="1:9" ht="14.25" customHeight="1" x14ac:dyDescent="0.3">
      <c r="A3827" s="6">
        <v>43544</v>
      </c>
      <c r="B3827" s="7">
        <v>140.06720000000001</v>
      </c>
      <c r="C3827" s="8">
        <f t="shared" si="29"/>
        <v>156.55258022149772</v>
      </c>
      <c r="D3827" s="9">
        <f t="shared" si="28"/>
        <v>72.213077860679348</v>
      </c>
      <c r="E3827" s="9"/>
      <c r="F3827" s="9">
        <f ca="1">IFERROR(__xludf.DUMMYFUNCTION("""COMPUTED_VALUE"""),41480)</f>
        <v>41480</v>
      </c>
      <c r="G3827" s="9" t="str">
        <f ca="1">IFERROR(__xludf.DUMMYFUNCTION("""COMPUTED_VALUE"""),"1 USD = 100.7024 PKR")</f>
        <v>1 USD = 100.7024 PKR</v>
      </c>
      <c r="H3827" s="9" t="str">
        <f ca="1">IFERROR(__xludf.DUMMYFUNCTION("""COMPUTED_VALUE"""),"USD PKR rate for 25/07/2013")</f>
        <v>USD PKR rate for 25/07/2013</v>
      </c>
      <c r="I3827" s="9"/>
    </row>
    <row r="3828" spans="1:9" ht="14.25" customHeight="1" x14ac:dyDescent="0.3">
      <c r="A3828" s="6">
        <v>43545</v>
      </c>
      <c r="B3828" s="7">
        <v>139.88589999999999</v>
      </c>
      <c r="C3828" s="8">
        <f t="shared" si="29"/>
        <v>156.58057961420621</v>
      </c>
      <c r="D3828" s="9">
        <f t="shared" ref="D3828:D4082" si="30">(A3828-$A$3)/365.2524</f>
        <v>72.215815693476614</v>
      </c>
      <c r="E3828" s="9"/>
      <c r="F3828" s="9">
        <f ca="1">IFERROR(__xludf.DUMMYFUNCTION("""COMPUTED_VALUE"""),41479)</f>
        <v>41479</v>
      </c>
      <c r="G3828" s="9" t="str">
        <f ca="1">IFERROR(__xludf.DUMMYFUNCTION("""COMPUTED_VALUE"""),"1 USD = 100.6277 PKR")</f>
        <v>1 USD = 100.6277 PKR</v>
      </c>
      <c r="H3828" s="9" t="str">
        <f ca="1">IFERROR(__xludf.DUMMYFUNCTION("""COMPUTED_VALUE"""),"USD PKR rate for 24/07/2013")</f>
        <v>USD PKR rate for 24/07/2013</v>
      </c>
      <c r="I3828" s="9"/>
    </row>
    <row r="3829" spans="1:9" ht="14.25" customHeight="1" x14ac:dyDescent="0.3">
      <c r="A3829" s="6">
        <v>43546</v>
      </c>
      <c r="B3829" s="7">
        <v>139.6497</v>
      </c>
      <c r="C3829" s="8">
        <f t="shared" ref="C3829:C4083" si="31">(1+$C$1)^D3829*$C$3</f>
        <v>156.60858401459961</v>
      </c>
      <c r="D3829" s="9">
        <f t="shared" si="30"/>
        <v>72.21855352627388</v>
      </c>
      <c r="E3829" s="9"/>
      <c r="F3829" s="9">
        <f ca="1">IFERROR(__xludf.DUMMYFUNCTION("""COMPUTED_VALUE"""),41478)</f>
        <v>41478</v>
      </c>
      <c r="G3829" s="9" t="str">
        <f ca="1">IFERROR(__xludf.DUMMYFUNCTION("""COMPUTED_VALUE"""),"1 USD = 100.4406 PKR")</f>
        <v>1 USD = 100.4406 PKR</v>
      </c>
      <c r="H3829" s="9" t="str">
        <f ca="1">IFERROR(__xludf.DUMMYFUNCTION("""COMPUTED_VALUE"""),"USD PKR rate for 23/07/2013")</f>
        <v>USD PKR rate for 23/07/2013</v>
      </c>
      <c r="I3829" s="9"/>
    </row>
    <row r="3830" spans="1:9" ht="14.25" customHeight="1" x14ac:dyDescent="0.3">
      <c r="A3830" s="6">
        <v>43547</v>
      </c>
      <c r="B3830" s="7">
        <v>139.98500000000001</v>
      </c>
      <c r="C3830" s="8">
        <f t="shared" si="31"/>
        <v>156.63659342357337</v>
      </c>
      <c r="D3830" s="9">
        <f t="shared" si="30"/>
        <v>72.221291359071145</v>
      </c>
      <c r="E3830" s="9"/>
      <c r="F3830" s="9">
        <f ca="1">IFERROR(__xludf.DUMMYFUNCTION("""COMPUTED_VALUE"""),41477)</f>
        <v>41477</v>
      </c>
      <c r="G3830" s="9" t="str">
        <f ca="1">IFERROR(__xludf.DUMMYFUNCTION("""COMPUTED_VALUE"""),"1 USD = 100.4973 PKR")</f>
        <v>1 USD = 100.4973 PKR</v>
      </c>
      <c r="H3830" s="9" t="str">
        <f ca="1">IFERROR(__xludf.DUMMYFUNCTION("""COMPUTED_VALUE"""),"USD PKR rate for 22/07/2013")</f>
        <v>USD PKR rate for 22/07/2013</v>
      </c>
      <c r="I3830" s="9"/>
    </row>
    <row r="3831" spans="1:9" ht="14.25" customHeight="1" x14ac:dyDescent="0.3">
      <c r="A3831" s="6">
        <v>43548</v>
      </c>
      <c r="B3831" s="7">
        <v>139.91880000000003</v>
      </c>
      <c r="C3831" s="8">
        <f t="shared" si="31"/>
        <v>156.6646078420236</v>
      </c>
      <c r="D3831" s="9">
        <f t="shared" si="30"/>
        <v>72.224029191868411</v>
      </c>
      <c r="E3831" s="9"/>
      <c r="F3831" s="9">
        <f ca="1">IFERROR(__xludf.DUMMYFUNCTION("""COMPUTED_VALUE"""),41476)</f>
        <v>41476</v>
      </c>
      <c r="G3831" s="9" t="str">
        <f ca="1">IFERROR(__xludf.DUMMYFUNCTION("""COMPUTED_VALUE"""),"1 USD = 100.5297 PKR")</f>
        <v>1 USD = 100.5297 PKR</v>
      </c>
      <c r="H3831" s="9" t="str">
        <f ca="1">IFERROR(__xludf.DUMMYFUNCTION("""COMPUTED_VALUE"""),"USD PKR rate for 21/07/2013")</f>
        <v>USD PKR rate for 21/07/2013</v>
      </c>
      <c r="I3831" s="9"/>
    </row>
    <row r="3832" spans="1:9" ht="14.25" customHeight="1" x14ac:dyDescent="0.3">
      <c r="A3832" s="6">
        <v>43549</v>
      </c>
      <c r="B3832" s="7">
        <v>140.1942</v>
      </c>
      <c r="C3832" s="8">
        <f t="shared" si="31"/>
        <v>156.69262727084609</v>
      </c>
      <c r="D3832" s="9">
        <f t="shared" si="30"/>
        <v>72.226767024665676</v>
      </c>
      <c r="E3832" s="9"/>
      <c r="F3832" s="9">
        <f ca="1">IFERROR(__xludf.DUMMYFUNCTION("""COMPUTED_VALUE"""),41475)</f>
        <v>41475</v>
      </c>
      <c r="G3832" s="9" t="str">
        <f ca="1">IFERROR(__xludf.DUMMYFUNCTION("""COMPUTED_VALUE"""),"1 USD = 100.6652 PKR")</f>
        <v>1 USD = 100.6652 PKR</v>
      </c>
      <c r="H3832" s="9" t="str">
        <f ca="1">IFERROR(__xludf.DUMMYFUNCTION("""COMPUTED_VALUE"""),"USD PKR rate for 20/07/2013")</f>
        <v>USD PKR rate for 20/07/2013</v>
      </c>
      <c r="I3832" s="9"/>
    </row>
    <row r="3833" spans="1:9" ht="14.25" customHeight="1" x14ac:dyDescent="0.3">
      <c r="A3833" s="6">
        <v>43550</v>
      </c>
      <c r="B3833" s="7">
        <v>140.54230000000001</v>
      </c>
      <c r="C3833" s="8">
        <f t="shared" si="31"/>
        <v>156.72065171093692</v>
      </c>
      <c r="D3833" s="9">
        <f t="shared" si="30"/>
        <v>72.229504857462942</v>
      </c>
      <c r="E3833" s="9"/>
      <c r="F3833" s="9">
        <f ca="1">IFERROR(__xludf.DUMMYFUNCTION("""COMPUTED_VALUE"""),41474)</f>
        <v>41474</v>
      </c>
      <c r="G3833" s="9" t="str">
        <f ca="1">IFERROR(__xludf.DUMMYFUNCTION("""COMPUTED_VALUE"""),"1 USD = 100.3036 PKR")</f>
        <v>1 USD = 100.3036 PKR</v>
      </c>
      <c r="H3833" s="9" t="str">
        <f ca="1">IFERROR(__xludf.DUMMYFUNCTION("""COMPUTED_VALUE"""),"USD PKR rate for 19/07/2013")</f>
        <v>USD PKR rate for 19/07/2013</v>
      </c>
      <c r="I3833" s="9"/>
    </row>
    <row r="3834" spans="1:9" ht="14.25" customHeight="1" x14ac:dyDescent="0.3">
      <c r="A3834" s="6">
        <v>43551</v>
      </c>
      <c r="B3834" s="7">
        <v>140.5548</v>
      </c>
      <c r="C3834" s="8">
        <f t="shared" si="31"/>
        <v>156.74868116319234</v>
      </c>
      <c r="D3834" s="9">
        <f t="shared" si="30"/>
        <v>72.232242690260207</v>
      </c>
      <c r="E3834" s="9"/>
      <c r="F3834" s="9">
        <f ca="1">IFERROR(__xludf.DUMMYFUNCTION("""COMPUTED_VALUE"""),41473)</f>
        <v>41473</v>
      </c>
      <c r="G3834" s="9" t="str">
        <f ca="1">IFERROR(__xludf.DUMMYFUNCTION("""COMPUTED_VALUE"""),"1 USD = 100.3452 PKR")</f>
        <v>1 USD = 100.3452 PKR</v>
      </c>
      <c r="H3834" s="9" t="str">
        <f ca="1">IFERROR(__xludf.DUMMYFUNCTION("""COMPUTED_VALUE"""),"USD PKR rate for 18/07/2013")</f>
        <v>USD PKR rate for 18/07/2013</v>
      </c>
      <c r="I3834" s="9"/>
    </row>
    <row r="3835" spans="1:9" ht="14.25" customHeight="1" x14ac:dyDescent="0.3">
      <c r="A3835" s="6">
        <v>43552</v>
      </c>
      <c r="B3835" s="7">
        <v>140.56460000000001</v>
      </c>
      <c r="C3835" s="8">
        <f t="shared" si="31"/>
        <v>156.77671562850884</v>
      </c>
      <c r="D3835" s="9">
        <f t="shared" si="30"/>
        <v>72.234980523057473</v>
      </c>
      <c r="E3835" s="9"/>
      <c r="F3835" s="9">
        <f ca="1">IFERROR(__xludf.DUMMYFUNCTION("""COMPUTED_VALUE"""),41472)</f>
        <v>41472</v>
      </c>
      <c r="G3835" s="9" t="str">
        <f ca="1">IFERROR(__xludf.DUMMYFUNCTION("""COMPUTED_VALUE"""),"1 USD = 100.1512 PKR")</f>
        <v>1 USD = 100.1512 PKR</v>
      </c>
      <c r="H3835" s="9" t="str">
        <f ca="1">IFERROR(__xludf.DUMMYFUNCTION("""COMPUTED_VALUE"""),"USD PKR rate for 17/07/2013")</f>
        <v>USD PKR rate for 17/07/2013</v>
      </c>
      <c r="I3835" s="9"/>
    </row>
    <row r="3836" spans="1:9" ht="14.25" customHeight="1" x14ac:dyDescent="0.3">
      <c r="A3836" s="6">
        <v>43553</v>
      </c>
      <c r="B3836" s="7">
        <v>140.82400000000001</v>
      </c>
      <c r="C3836" s="8">
        <f t="shared" si="31"/>
        <v>156.80475510778297</v>
      </c>
      <c r="D3836" s="9">
        <f t="shared" si="30"/>
        <v>72.237718355854739</v>
      </c>
      <c r="E3836" s="9"/>
      <c r="F3836" s="9">
        <f ca="1">IFERROR(__xludf.DUMMYFUNCTION("""COMPUTED_VALUE"""),41471)</f>
        <v>41471</v>
      </c>
      <c r="G3836" s="9" t="str">
        <f ca="1">IFERROR(__xludf.DUMMYFUNCTION("""COMPUTED_VALUE"""),"1 USD = 100.145 PKR")</f>
        <v>1 USD = 100.145 PKR</v>
      </c>
      <c r="H3836" s="9" t="str">
        <f ca="1">IFERROR(__xludf.DUMMYFUNCTION("""COMPUTED_VALUE"""),"USD PKR rate for 16/07/2013")</f>
        <v>USD PKR rate for 16/07/2013</v>
      </c>
      <c r="I3836" s="9"/>
    </row>
    <row r="3837" spans="1:9" ht="14.25" customHeight="1" x14ac:dyDescent="0.3">
      <c r="A3837" s="6">
        <v>43554</v>
      </c>
      <c r="B3837" s="7">
        <v>140.8252</v>
      </c>
      <c r="C3837" s="8">
        <f t="shared" si="31"/>
        <v>156.83279960191143</v>
      </c>
      <c r="D3837" s="9">
        <f t="shared" si="30"/>
        <v>72.240456188652004</v>
      </c>
      <c r="E3837" s="9"/>
      <c r="F3837" s="9">
        <f ca="1">IFERROR(__xludf.DUMMYFUNCTION("""COMPUTED_VALUE"""),41470)</f>
        <v>41470</v>
      </c>
      <c r="G3837" s="9" t="str">
        <f ca="1">IFERROR(__xludf.DUMMYFUNCTION("""COMPUTED_VALUE"""),"1 USD = 100.0913 PKR")</f>
        <v>1 USD = 100.0913 PKR</v>
      </c>
      <c r="H3837" s="9" t="str">
        <f ca="1">IFERROR(__xludf.DUMMYFUNCTION("""COMPUTED_VALUE"""),"USD PKR rate for 15/07/2013")</f>
        <v>USD PKR rate for 15/07/2013</v>
      </c>
      <c r="I3837" s="9"/>
    </row>
    <row r="3838" spans="1:9" ht="14.25" customHeight="1" x14ac:dyDescent="0.3">
      <c r="A3838" s="6">
        <v>43555</v>
      </c>
      <c r="B3838" s="7">
        <v>140.67269999999999</v>
      </c>
      <c r="C3838" s="8">
        <f t="shared" si="31"/>
        <v>156.8608491117912</v>
      </c>
      <c r="D3838" s="9">
        <f t="shared" si="30"/>
        <v>72.24319402144927</v>
      </c>
      <c r="E3838" s="9"/>
      <c r="F3838" s="9">
        <f ca="1">IFERROR(__xludf.DUMMYFUNCTION("""COMPUTED_VALUE"""),41469)</f>
        <v>41469</v>
      </c>
      <c r="G3838" s="9" t="str">
        <f ca="1">IFERROR(__xludf.DUMMYFUNCTION("""COMPUTED_VALUE"""),"1 USD = 100.0597 PKR")</f>
        <v>1 USD = 100.0597 PKR</v>
      </c>
      <c r="H3838" s="9" t="str">
        <f ca="1">IFERROR(__xludf.DUMMYFUNCTION("""COMPUTED_VALUE"""),"USD PKR rate for 14/07/2013")</f>
        <v>USD PKR rate for 14/07/2013</v>
      </c>
      <c r="I3838" s="9"/>
    </row>
    <row r="3839" spans="1:9" ht="14.25" customHeight="1" x14ac:dyDescent="0.3">
      <c r="A3839" s="6">
        <v>43556</v>
      </c>
      <c r="B3839" s="7">
        <v>140.83760000000001</v>
      </c>
      <c r="C3839" s="8">
        <f t="shared" si="31"/>
        <v>156.88890363831916</v>
      </c>
      <c r="D3839" s="9">
        <f t="shared" si="30"/>
        <v>72.245931854246535</v>
      </c>
      <c r="E3839" s="9"/>
      <c r="F3839" s="9">
        <f ca="1">IFERROR(__xludf.DUMMYFUNCTION("""COMPUTED_VALUE"""),41468)</f>
        <v>41468</v>
      </c>
      <c r="G3839" s="9" t="str">
        <f ca="1">IFERROR(__xludf.DUMMYFUNCTION("""COMPUTED_VALUE"""),"1 USD = 100.0747 PKR")</f>
        <v>1 USD = 100.0747 PKR</v>
      </c>
      <c r="H3839" s="9" t="str">
        <f ca="1">IFERROR(__xludf.DUMMYFUNCTION("""COMPUTED_VALUE"""),"USD PKR rate for 13/07/2013")</f>
        <v>USD PKR rate for 13/07/2013</v>
      </c>
      <c r="I3839" s="9"/>
    </row>
    <row r="3840" spans="1:9" ht="14.25" customHeight="1" x14ac:dyDescent="0.3">
      <c r="A3840" s="6">
        <v>43557</v>
      </c>
      <c r="B3840" s="7">
        <v>140.3449</v>
      </c>
      <c r="C3840" s="8">
        <f t="shared" si="31"/>
        <v>156.91696318239286</v>
      </c>
      <c r="D3840" s="9">
        <f t="shared" si="30"/>
        <v>72.248669687043801</v>
      </c>
      <c r="E3840" s="9"/>
      <c r="F3840" s="9">
        <f ca="1">IFERROR(__xludf.DUMMYFUNCTION("""COMPUTED_VALUE"""),41467)</f>
        <v>41467</v>
      </c>
      <c r="G3840" s="9" t="str">
        <f ca="1">IFERROR(__xludf.DUMMYFUNCTION("""COMPUTED_VALUE"""),"1 USD = 99.994 PKR")</f>
        <v>1 USD = 99.994 PKR</v>
      </c>
      <c r="H3840" s="9" t="str">
        <f ca="1">IFERROR(__xludf.DUMMYFUNCTION("""COMPUTED_VALUE"""),"USD PKR rate for 12/07/2013")</f>
        <v>USD PKR rate for 12/07/2013</v>
      </c>
      <c r="I3840" s="9"/>
    </row>
    <row r="3841" spans="1:9" ht="14.25" customHeight="1" x14ac:dyDescent="0.3">
      <c r="A3841" s="6">
        <v>43558</v>
      </c>
      <c r="B3841" s="7">
        <v>141.60249999999999</v>
      </c>
      <c r="C3841" s="8">
        <f t="shared" si="31"/>
        <v>156.94502774490951</v>
      </c>
      <c r="D3841" s="9">
        <f t="shared" si="30"/>
        <v>72.251407519841067</v>
      </c>
      <c r="E3841" s="9"/>
      <c r="F3841" s="9">
        <f ca="1">IFERROR(__xludf.DUMMYFUNCTION("""COMPUTED_VALUE"""),41466)</f>
        <v>41466</v>
      </c>
      <c r="G3841" s="9" t="str">
        <f ca="1">IFERROR(__xludf.DUMMYFUNCTION("""COMPUTED_VALUE"""),"1 USD = 99.9335 PKR")</f>
        <v>1 USD = 99.9335 PKR</v>
      </c>
      <c r="H3841" s="9" t="str">
        <f ca="1">IFERROR(__xludf.DUMMYFUNCTION("""COMPUTED_VALUE"""),"USD PKR rate for 11/07/2013")</f>
        <v>USD PKR rate for 11/07/2013</v>
      </c>
      <c r="I3841" s="9"/>
    </row>
    <row r="3842" spans="1:9" ht="14.25" customHeight="1" x14ac:dyDescent="0.3">
      <c r="A3842" s="6">
        <v>43559</v>
      </c>
      <c r="B3842" s="7">
        <v>141.52950000000001</v>
      </c>
      <c r="C3842" s="8">
        <f t="shared" si="31"/>
        <v>156.97309732676663</v>
      </c>
      <c r="D3842" s="9">
        <f t="shared" si="30"/>
        <v>72.254145352638332</v>
      </c>
      <c r="E3842" s="9"/>
      <c r="F3842" s="9">
        <f ca="1">IFERROR(__xludf.DUMMYFUNCTION("""COMPUTED_VALUE"""),41465)</f>
        <v>41465</v>
      </c>
      <c r="G3842" s="9" t="str">
        <f ca="1">IFERROR(__xludf.DUMMYFUNCTION("""COMPUTED_VALUE"""),"1 USD = 98.4278 PKR")</f>
        <v>1 USD = 98.4278 PKR</v>
      </c>
      <c r="H3842" s="9" t="str">
        <f ca="1">IFERROR(__xludf.DUMMYFUNCTION("""COMPUTED_VALUE"""),"USD PKR rate for 10/07/2013")</f>
        <v>USD PKR rate for 10/07/2013</v>
      </c>
      <c r="I3842" s="9"/>
    </row>
    <row r="3843" spans="1:9" ht="14.25" customHeight="1" x14ac:dyDescent="0.3">
      <c r="A3843" s="6">
        <v>43560</v>
      </c>
      <c r="B3843" s="7">
        <v>141.43960000000001</v>
      </c>
      <c r="C3843" s="8">
        <f t="shared" si="31"/>
        <v>157.00117192886199</v>
      </c>
      <c r="D3843" s="9">
        <f t="shared" si="30"/>
        <v>72.256883185435598</v>
      </c>
      <c r="E3843" s="9"/>
      <c r="F3843" s="9">
        <f ca="1">IFERROR(__xludf.DUMMYFUNCTION("""COMPUTED_VALUE"""),41464)</f>
        <v>41464</v>
      </c>
      <c r="G3843" s="9" t="str">
        <f ca="1">IFERROR(__xludf.DUMMYFUNCTION("""COMPUTED_VALUE"""),"1 USD = 100.257 PKR")</f>
        <v>1 USD = 100.257 PKR</v>
      </c>
      <c r="H3843" s="9" t="str">
        <f ca="1">IFERROR(__xludf.DUMMYFUNCTION("""COMPUTED_VALUE"""),"USD PKR rate for 09/07/2013")</f>
        <v>USD PKR rate for 09/07/2013</v>
      </c>
      <c r="I3843" s="9"/>
    </row>
    <row r="3844" spans="1:9" ht="14.25" customHeight="1" x14ac:dyDescent="0.3">
      <c r="A3844" s="6">
        <v>43561</v>
      </c>
      <c r="B3844" s="7">
        <v>141.43960000000001</v>
      </c>
      <c r="C3844" s="8">
        <f t="shared" si="31"/>
        <v>157.02925155209346</v>
      </c>
      <c r="D3844" s="9">
        <f t="shared" si="30"/>
        <v>72.259621018232863</v>
      </c>
      <c r="E3844" s="9"/>
      <c r="F3844" s="9">
        <f ca="1">IFERROR(__xludf.DUMMYFUNCTION("""COMPUTED_VALUE"""),41463)</f>
        <v>41463</v>
      </c>
      <c r="G3844" s="9" t="str">
        <f ca="1">IFERROR(__xludf.DUMMYFUNCTION("""COMPUTED_VALUE"""),"1 USD = 99.9172 PKR")</f>
        <v>1 USD = 99.9172 PKR</v>
      </c>
      <c r="H3844" s="9" t="str">
        <f ca="1">IFERROR(__xludf.DUMMYFUNCTION("""COMPUTED_VALUE"""),"USD PKR rate for 08/07/2013")</f>
        <v>USD PKR rate for 08/07/2013</v>
      </c>
      <c r="I3844" s="9"/>
    </row>
    <row r="3845" spans="1:9" ht="14.25" customHeight="1" x14ac:dyDescent="0.3">
      <c r="A3845" s="6">
        <v>43562</v>
      </c>
      <c r="B3845" s="7">
        <v>141.61859999999999</v>
      </c>
      <c r="C3845" s="8">
        <f t="shared" si="31"/>
        <v>157.05733619735898</v>
      </c>
      <c r="D3845" s="9">
        <f t="shared" si="30"/>
        <v>72.262358851030129</v>
      </c>
      <c r="E3845" s="9"/>
      <c r="F3845" s="9">
        <f ca="1">IFERROR(__xludf.DUMMYFUNCTION("""COMPUTED_VALUE"""),41462)</f>
        <v>41462</v>
      </c>
      <c r="G3845" s="9" t="str">
        <f ca="1">IFERROR(__xludf.DUMMYFUNCTION("""COMPUTED_VALUE"""),"1 USD = 100.2034 PKR")</f>
        <v>1 USD = 100.2034 PKR</v>
      </c>
      <c r="H3845" s="9" t="str">
        <f ca="1">IFERROR(__xludf.DUMMYFUNCTION("""COMPUTED_VALUE"""),"USD PKR rate for 07/07/2013")</f>
        <v>USD PKR rate for 07/07/2013</v>
      </c>
      <c r="I3845" s="9"/>
    </row>
    <row r="3846" spans="1:9" ht="14.25" customHeight="1" x14ac:dyDescent="0.3">
      <c r="A3846" s="6">
        <v>43563</v>
      </c>
      <c r="B3846" s="7">
        <v>141.6293</v>
      </c>
      <c r="C3846" s="8">
        <f t="shared" si="31"/>
        <v>157.08542586555686</v>
      </c>
      <c r="D3846" s="9">
        <f t="shared" si="30"/>
        <v>72.265096683827394</v>
      </c>
      <c r="E3846" s="9"/>
      <c r="F3846" s="9">
        <f ca="1">IFERROR(__xludf.DUMMYFUNCTION("""COMPUTED_VALUE"""),41461)</f>
        <v>41461</v>
      </c>
      <c r="G3846" s="9" t="str">
        <f ca="1">IFERROR(__xludf.DUMMYFUNCTION("""COMPUTED_VALUE"""),"1 USD = 100.0778 PKR")</f>
        <v>1 USD = 100.0778 PKR</v>
      </c>
      <c r="H3846" s="9" t="str">
        <f ca="1">IFERROR(__xludf.DUMMYFUNCTION("""COMPUTED_VALUE"""),"USD PKR rate for 06/07/2013")</f>
        <v>USD PKR rate for 06/07/2013</v>
      </c>
      <c r="I3846" s="9"/>
    </row>
    <row r="3847" spans="1:9" ht="14.25" customHeight="1" x14ac:dyDescent="0.3">
      <c r="A3847" s="6">
        <v>43564</v>
      </c>
      <c r="B3847" s="7">
        <v>141.54949999999999</v>
      </c>
      <c r="C3847" s="8">
        <f t="shared" si="31"/>
        <v>157.11352055758533</v>
      </c>
      <c r="D3847" s="9">
        <f t="shared" si="30"/>
        <v>72.26783451662466</v>
      </c>
      <c r="E3847" s="9"/>
      <c r="F3847" s="9">
        <f ca="1">IFERROR(__xludf.DUMMYFUNCTION("""COMPUTED_VALUE"""),41460)</f>
        <v>41460</v>
      </c>
      <c r="G3847" s="9" t="str">
        <f ca="1">IFERROR(__xludf.DUMMYFUNCTION("""COMPUTED_VALUE"""),"1 USD = 100.1443 PKR")</f>
        <v>1 USD = 100.1443 PKR</v>
      </c>
      <c r="H3847" s="9" t="str">
        <f ca="1">IFERROR(__xludf.DUMMYFUNCTION("""COMPUTED_VALUE"""),"USD PKR rate for 05/07/2013")</f>
        <v>USD PKR rate for 05/07/2013</v>
      </c>
      <c r="I3847" s="9"/>
    </row>
    <row r="3848" spans="1:9" ht="14.25" customHeight="1" x14ac:dyDescent="0.3">
      <c r="A3848" s="6">
        <v>43565</v>
      </c>
      <c r="B3848" s="7">
        <v>141.62800000000001</v>
      </c>
      <c r="C3848" s="8">
        <f t="shared" si="31"/>
        <v>157.14162027434287</v>
      </c>
      <c r="D3848" s="9">
        <f t="shared" si="30"/>
        <v>72.270572349421926</v>
      </c>
      <c r="E3848" s="9"/>
      <c r="F3848" s="9">
        <f ca="1">IFERROR(__xludf.DUMMYFUNCTION("""COMPUTED_VALUE"""),41459)</f>
        <v>41459</v>
      </c>
      <c r="G3848" s="9" t="str">
        <f ca="1">IFERROR(__xludf.DUMMYFUNCTION("""COMPUTED_VALUE"""),"1 USD = 100.7978 PKR")</f>
        <v>1 USD = 100.7978 PKR</v>
      </c>
      <c r="H3848" s="9" t="str">
        <f ca="1">IFERROR(__xludf.DUMMYFUNCTION("""COMPUTED_VALUE"""),"USD PKR rate for 04/07/2013")</f>
        <v>USD PKR rate for 04/07/2013</v>
      </c>
      <c r="I3848" s="9"/>
    </row>
    <row r="3849" spans="1:9" ht="14.25" customHeight="1" x14ac:dyDescent="0.3">
      <c r="A3849" s="6">
        <v>43566</v>
      </c>
      <c r="B3849" s="7">
        <v>141.9648</v>
      </c>
      <c r="C3849" s="8">
        <f t="shared" si="31"/>
        <v>157.16972501672836</v>
      </c>
      <c r="D3849" s="9">
        <f t="shared" si="30"/>
        <v>72.273310182219191</v>
      </c>
      <c r="E3849" s="9"/>
      <c r="F3849" s="9">
        <f ca="1">IFERROR(__xludf.DUMMYFUNCTION("""COMPUTED_VALUE"""),41458)</f>
        <v>41458</v>
      </c>
      <c r="G3849" s="9" t="str">
        <f ca="1">IFERROR(__xludf.DUMMYFUNCTION("""COMPUTED_VALUE"""),"1 USD = 99.9254 PKR")</f>
        <v>1 USD = 99.9254 PKR</v>
      </c>
      <c r="H3849" s="9" t="str">
        <f ca="1">IFERROR(__xludf.DUMMYFUNCTION("""COMPUTED_VALUE"""),"USD PKR rate for 03/07/2013")</f>
        <v>USD PKR rate for 03/07/2013</v>
      </c>
      <c r="I3849" s="9"/>
    </row>
    <row r="3850" spans="1:9" ht="14.25" customHeight="1" x14ac:dyDescent="0.3">
      <c r="A3850" s="6">
        <v>43567</v>
      </c>
      <c r="B3850" s="7">
        <v>141.3502</v>
      </c>
      <c r="C3850" s="8">
        <f t="shared" si="31"/>
        <v>157.19783478564051</v>
      </c>
      <c r="D3850" s="9">
        <f t="shared" si="30"/>
        <v>72.276048015016457</v>
      </c>
      <c r="E3850" s="9"/>
      <c r="F3850" s="9">
        <f ca="1">IFERROR(__xludf.DUMMYFUNCTION("""COMPUTED_VALUE"""),41457)</f>
        <v>41457</v>
      </c>
      <c r="G3850" s="9" t="str">
        <f ca="1">IFERROR(__xludf.DUMMYFUNCTION("""COMPUTED_VALUE"""),"1 USD = 99.8532 PKR")</f>
        <v>1 USD = 99.8532 PKR</v>
      </c>
      <c r="H3850" s="9" t="str">
        <f ca="1">IFERROR(__xludf.DUMMYFUNCTION("""COMPUTED_VALUE"""),"USD PKR rate for 02/07/2013")</f>
        <v>USD PKR rate for 02/07/2013</v>
      </c>
      <c r="I3850" s="9"/>
    </row>
    <row r="3851" spans="1:9" ht="14.25" customHeight="1" x14ac:dyDescent="0.3">
      <c r="A3851" s="6">
        <v>43568</v>
      </c>
      <c r="B3851" s="7">
        <v>142.13839999999999</v>
      </c>
      <c r="C3851" s="8">
        <f t="shared" si="31"/>
        <v>157.22594958197834</v>
      </c>
      <c r="D3851" s="9">
        <f t="shared" si="30"/>
        <v>72.278785847813722</v>
      </c>
      <c r="E3851" s="9"/>
      <c r="F3851" s="9">
        <f ca="1">IFERROR(__xludf.DUMMYFUNCTION("""COMPUTED_VALUE"""),41456)</f>
        <v>41456</v>
      </c>
      <c r="G3851" s="9" t="str">
        <f ca="1">IFERROR(__xludf.DUMMYFUNCTION("""COMPUTED_VALUE"""),"1 USD = 99.628 PKR")</f>
        <v>1 USD = 99.628 PKR</v>
      </c>
      <c r="H3851" s="9" t="str">
        <f ca="1">IFERROR(__xludf.DUMMYFUNCTION("""COMPUTED_VALUE"""),"USD PKR rate for 01/07/2013")</f>
        <v>USD PKR rate for 01/07/2013</v>
      </c>
      <c r="I3851" s="9"/>
    </row>
    <row r="3852" spans="1:9" ht="14.25" customHeight="1" x14ac:dyDescent="0.3">
      <c r="A3852" s="6">
        <v>43569</v>
      </c>
      <c r="B3852" s="7">
        <v>141.54679999999999</v>
      </c>
      <c r="C3852" s="8">
        <f t="shared" si="31"/>
        <v>157.25406940664095</v>
      </c>
      <c r="D3852" s="9">
        <f t="shared" si="30"/>
        <v>72.281523680610988</v>
      </c>
      <c r="E3852" s="9"/>
      <c r="F3852" s="9">
        <f ca="1">IFERROR(__xludf.DUMMYFUNCTION("""COMPUTED_VALUE"""),41455)</f>
        <v>41455</v>
      </c>
      <c r="G3852" s="9" t="str">
        <f ca="1">IFERROR(__xludf.DUMMYFUNCTION("""COMPUTED_VALUE"""),"1 USD = 99.6107 PKR")</f>
        <v>1 USD = 99.6107 PKR</v>
      </c>
      <c r="H3852" s="9" t="str">
        <f ca="1">IFERROR(__xludf.DUMMYFUNCTION("""COMPUTED_VALUE"""),"USD PKR rate for 30/06/2013")</f>
        <v>USD PKR rate for 30/06/2013</v>
      </c>
      <c r="I3852" s="9"/>
    </row>
    <row r="3853" spans="1:9" ht="14.25" customHeight="1" x14ac:dyDescent="0.3">
      <c r="A3853" s="6">
        <v>43570</v>
      </c>
      <c r="B3853" s="7">
        <v>141.72669999999999</v>
      </c>
      <c r="C3853" s="8">
        <f t="shared" si="31"/>
        <v>157.28219426052772</v>
      </c>
      <c r="D3853" s="9">
        <f t="shared" si="30"/>
        <v>72.284261513408254</v>
      </c>
      <c r="E3853" s="9"/>
      <c r="F3853" s="9">
        <f ca="1">IFERROR(__xludf.DUMMYFUNCTION("""COMPUTED_VALUE"""),41454)</f>
        <v>41454</v>
      </c>
      <c r="G3853" s="9" t="str">
        <f ca="1">IFERROR(__xludf.DUMMYFUNCTION("""COMPUTED_VALUE"""),"1 USD = 99.4286 PKR")</f>
        <v>1 USD = 99.4286 PKR</v>
      </c>
      <c r="H3853" s="9" t="str">
        <f ca="1">IFERROR(__xludf.DUMMYFUNCTION("""COMPUTED_VALUE"""),"USD PKR rate for 29/06/2013")</f>
        <v>USD PKR rate for 29/06/2013</v>
      </c>
      <c r="I3853" s="9"/>
    </row>
    <row r="3854" spans="1:9" ht="14.25" customHeight="1" x14ac:dyDescent="0.3">
      <c r="A3854" s="6">
        <v>43571</v>
      </c>
      <c r="B3854" s="7">
        <v>141.6499</v>
      </c>
      <c r="C3854" s="8">
        <f t="shared" si="31"/>
        <v>157.3103241445381</v>
      </c>
      <c r="D3854" s="9">
        <f t="shared" si="30"/>
        <v>72.286999346205519</v>
      </c>
      <c r="E3854" s="9"/>
      <c r="F3854" s="9">
        <f ca="1">IFERROR(__xludf.DUMMYFUNCTION("""COMPUTED_VALUE"""),41453)</f>
        <v>41453</v>
      </c>
      <c r="G3854" s="9" t="str">
        <f ca="1">IFERROR(__xludf.DUMMYFUNCTION("""COMPUTED_VALUE"""),"1 USD = 99.3793 PKR")</f>
        <v>1 USD = 99.3793 PKR</v>
      </c>
      <c r="H3854" s="9" t="str">
        <f ca="1">IFERROR(__xludf.DUMMYFUNCTION("""COMPUTED_VALUE"""),"USD PKR rate for 28/06/2013")</f>
        <v>USD PKR rate for 28/06/2013</v>
      </c>
      <c r="I3854" s="9"/>
    </row>
    <row r="3855" spans="1:9" ht="14.25" customHeight="1" x14ac:dyDescent="0.3">
      <c r="A3855" s="6">
        <v>43572</v>
      </c>
      <c r="B3855" s="7">
        <v>141.6499</v>
      </c>
      <c r="C3855" s="8">
        <f t="shared" si="31"/>
        <v>157.33845905957168</v>
      </c>
      <c r="D3855" s="9">
        <f t="shared" si="30"/>
        <v>72.289737179002785</v>
      </c>
      <c r="E3855" s="9"/>
      <c r="F3855" s="9">
        <f ca="1">IFERROR(__xludf.DUMMYFUNCTION("""COMPUTED_VALUE"""),41452)</f>
        <v>41452</v>
      </c>
      <c r="G3855" s="9" t="str">
        <f ca="1">IFERROR(__xludf.DUMMYFUNCTION("""COMPUTED_VALUE"""),"1 USD = 99.0006 PKR")</f>
        <v>1 USD = 99.0006 PKR</v>
      </c>
      <c r="H3855" s="9" t="str">
        <f ca="1">IFERROR(__xludf.DUMMYFUNCTION("""COMPUTED_VALUE"""),"USD PKR rate for 27/06/2013")</f>
        <v>USD PKR rate for 27/06/2013</v>
      </c>
      <c r="I3855" s="9"/>
    </row>
    <row r="3856" spans="1:9" ht="14.25" customHeight="1" x14ac:dyDescent="0.3">
      <c r="A3856" s="6">
        <v>43573</v>
      </c>
      <c r="B3856" s="7">
        <v>141.65039999999999</v>
      </c>
      <c r="C3856" s="8">
        <f t="shared" si="31"/>
        <v>157.36659900652833</v>
      </c>
      <c r="D3856" s="9">
        <f t="shared" si="30"/>
        <v>72.29247501180005</v>
      </c>
      <c r="E3856" s="9"/>
      <c r="F3856" s="9">
        <f ca="1">IFERROR(__xludf.DUMMYFUNCTION("""COMPUTED_VALUE"""),41451)</f>
        <v>41451</v>
      </c>
      <c r="G3856" s="9" t="str">
        <f ca="1">IFERROR(__xludf.DUMMYFUNCTION("""COMPUTED_VALUE"""),"1 USD = 98.952 PKR")</f>
        <v>1 USD = 98.952 PKR</v>
      </c>
      <c r="H3856" s="9" t="str">
        <f ca="1">IFERROR(__xludf.DUMMYFUNCTION("""COMPUTED_VALUE"""),"USD PKR rate for 26/06/2013")</f>
        <v>USD PKR rate for 26/06/2013</v>
      </c>
      <c r="I3856" s="9"/>
    </row>
    <row r="3857" spans="1:9" ht="14.25" customHeight="1" x14ac:dyDescent="0.3">
      <c r="A3857" s="6">
        <v>43574</v>
      </c>
      <c r="B3857" s="7">
        <v>141.59960000000001</v>
      </c>
      <c r="C3857" s="8">
        <f t="shared" si="31"/>
        <v>157.39474398630782</v>
      </c>
      <c r="D3857" s="9">
        <f t="shared" si="30"/>
        <v>72.295212844597316</v>
      </c>
      <c r="E3857" s="9"/>
      <c r="F3857" s="9">
        <f ca="1">IFERROR(__xludf.DUMMYFUNCTION("""COMPUTED_VALUE"""),41450)</f>
        <v>41450</v>
      </c>
      <c r="G3857" s="9" t="str">
        <f ca="1">IFERROR(__xludf.DUMMYFUNCTION("""COMPUTED_VALUE"""),"1 USD = 99.1699 PKR")</f>
        <v>1 USD = 99.1699 PKR</v>
      </c>
      <c r="H3857" s="9" t="str">
        <f ca="1">IFERROR(__xludf.DUMMYFUNCTION("""COMPUTED_VALUE"""),"USD PKR rate for 25/06/2013")</f>
        <v>USD PKR rate for 25/06/2013</v>
      </c>
      <c r="I3857" s="9"/>
    </row>
    <row r="3858" spans="1:9" ht="14.25" customHeight="1" x14ac:dyDescent="0.3">
      <c r="A3858" s="6">
        <v>43575</v>
      </c>
      <c r="B3858" s="7">
        <v>141.59960000000001</v>
      </c>
      <c r="C3858" s="8">
        <f t="shared" si="31"/>
        <v>157.42289399981055</v>
      </c>
      <c r="D3858" s="9">
        <f t="shared" si="30"/>
        <v>72.297950677394581</v>
      </c>
      <c r="E3858" s="9"/>
      <c r="F3858" s="9">
        <f ca="1">IFERROR(__xludf.DUMMYFUNCTION("""COMPUTED_VALUE"""),41449)</f>
        <v>41449</v>
      </c>
      <c r="G3858" s="9" t="str">
        <f ca="1">IFERROR(__xludf.DUMMYFUNCTION("""COMPUTED_VALUE"""),"1 USD = 98.9384 PKR")</f>
        <v>1 USD = 98.9384 PKR</v>
      </c>
      <c r="H3858" s="9" t="str">
        <f ca="1">IFERROR(__xludf.DUMMYFUNCTION("""COMPUTED_VALUE"""),"USD PKR rate for 24/06/2013")</f>
        <v>USD PKR rate for 24/06/2013</v>
      </c>
      <c r="I3858" s="9"/>
    </row>
    <row r="3859" spans="1:9" ht="14.25" customHeight="1" x14ac:dyDescent="0.3">
      <c r="A3859" s="6">
        <v>43576</v>
      </c>
      <c r="B3859" s="7">
        <v>141.76689999999999</v>
      </c>
      <c r="C3859" s="8">
        <f t="shared" si="31"/>
        <v>157.45104904793672</v>
      </c>
      <c r="D3859" s="9">
        <f t="shared" si="30"/>
        <v>72.300688510191847</v>
      </c>
      <c r="E3859" s="9"/>
      <c r="F3859" s="9">
        <f ca="1">IFERROR(__xludf.DUMMYFUNCTION("""COMPUTED_VALUE"""),41448)</f>
        <v>41448</v>
      </c>
      <c r="G3859" s="9" t="str">
        <f ca="1">IFERROR(__xludf.DUMMYFUNCTION("""COMPUTED_VALUE"""),"1 USD = 99.2679 PKR")</f>
        <v>1 USD = 99.2679 PKR</v>
      </c>
      <c r="H3859" s="9" t="str">
        <f ca="1">IFERROR(__xludf.DUMMYFUNCTION("""COMPUTED_VALUE"""),"USD PKR rate for 23/06/2013")</f>
        <v>USD PKR rate for 23/06/2013</v>
      </c>
      <c r="I3859" s="9"/>
    </row>
    <row r="3860" spans="1:9" ht="14.25" customHeight="1" x14ac:dyDescent="0.3">
      <c r="A3860" s="6">
        <v>43577</v>
      </c>
      <c r="B3860" s="7">
        <v>141.73480000000001</v>
      </c>
      <c r="C3860" s="8">
        <f t="shared" si="31"/>
        <v>157.47920913158669</v>
      </c>
      <c r="D3860" s="9">
        <f t="shared" si="30"/>
        <v>72.303426342989113</v>
      </c>
      <c r="E3860" s="9"/>
      <c r="F3860" s="9">
        <f ca="1">IFERROR(__xludf.DUMMYFUNCTION("""COMPUTED_VALUE"""),41447)</f>
        <v>41447</v>
      </c>
      <c r="G3860" s="9" t="str">
        <f ca="1">IFERROR(__xludf.DUMMYFUNCTION("""COMPUTED_VALUE"""),"1 USD = 98.9523 PKR")</f>
        <v>1 USD = 98.9523 PKR</v>
      </c>
      <c r="H3860" s="9" t="str">
        <f ca="1">IFERROR(__xludf.DUMMYFUNCTION("""COMPUTED_VALUE"""),"USD PKR rate for 22/06/2013")</f>
        <v>USD PKR rate for 22/06/2013</v>
      </c>
      <c r="I3860" s="9"/>
    </row>
    <row r="3861" spans="1:9" ht="14.25" customHeight="1" x14ac:dyDescent="0.3">
      <c r="A3861" s="6">
        <v>43578</v>
      </c>
      <c r="B3861" s="7">
        <v>141.614</v>
      </c>
      <c r="C3861" s="8">
        <f t="shared" si="31"/>
        <v>157.50737425166108</v>
      </c>
      <c r="D3861" s="9">
        <f t="shared" si="30"/>
        <v>72.306164175786378</v>
      </c>
      <c r="E3861" s="9"/>
      <c r="F3861" s="9">
        <f ca="1">IFERROR(__xludf.DUMMYFUNCTION("""COMPUTED_VALUE"""),41446)</f>
        <v>41446</v>
      </c>
      <c r="G3861" s="9" t="str">
        <f ca="1">IFERROR(__xludf.DUMMYFUNCTION("""COMPUTED_VALUE"""),"1 USD = 99.0573 PKR")</f>
        <v>1 USD = 99.0573 PKR</v>
      </c>
      <c r="H3861" s="9" t="str">
        <f ca="1">IFERROR(__xludf.DUMMYFUNCTION("""COMPUTED_VALUE"""),"USD PKR rate for 21/06/2013")</f>
        <v>USD PKR rate for 21/06/2013</v>
      </c>
      <c r="I3861" s="9"/>
    </row>
    <row r="3862" spans="1:9" ht="14.25" customHeight="1" x14ac:dyDescent="0.3">
      <c r="A3862" s="6">
        <v>43579</v>
      </c>
      <c r="B3862" s="7">
        <v>141.5958</v>
      </c>
      <c r="C3862" s="8">
        <f t="shared" si="31"/>
        <v>157.53554440906069</v>
      </c>
      <c r="D3862" s="9">
        <f t="shared" si="30"/>
        <v>72.308902008583644</v>
      </c>
      <c r="E3862" s="9"/>
      <c r="F3862" s="9">
        <f ca="1">IFERROR(__xludf.DUMMYFUNCTION("""COMPUTED_VALUE"""),41445)</f>
        <v>41445</v>
      </c>
      <c r="G3862" s="9" t="str">
        <f ca="1">IFERROR(__xludf.DUMMYFUNCTION("""COMPUTED_VALUE"""),"1 USD = 98.6373 PKR")</f>
        <v>1 USD = 98.6373 PKR</v>
      </c>
      <c r="H3862" s="9" t="str">
        <f ca="1">IFERROR(__xludf.DUMMYFUNCTION("""COMPUTED_VALUE"""),"USD PKR rate for 20/06/2013")</f>
        <v>USD PKR rate for 20/06/2013</v>
      </c>
      <c r="I3862" s="9"/>
    </row>
    <row r="3863" spans="1:9" ht="14.25" customHeight="1" x14ac:dyDescent="0.3">
      <c r="A3863" s="6">
        <v>43580</v>
      </c>
      <c r="B3863" s="7">
        <v>141.61359999999999</v>
      </c>
      <c r="C3863" s="8">
        <f t="shared" si="31"/>
        <v>157.56371960468644</v>
      </c>
      <c r="D3863" s="9">
        <f t="shared" si="30"/>
        <v>72.311639841380909</v>
      </c>
      <c r="E3863" s="9"/>
      <c r="F3863" s="9">
        <f ca="1">IFERROR(__xludf.DUMMYFUNCTION("""COMPUTED_VALUE"""),41444)</f>
        <v>41444</v>
      </c>
      <c r="G3863" s="9" t="str">
        <f ca="1">IFERROR(__xludf.DUMMYFUNCTION("""COMPUTED_VALUE"""),"1 USD = 98.8196 PKR")</f>
        <v>1 USD = 98.8196 PKR</v>
      </c>
      <c r="H3863" s="9" t="str">
        <f ca="1">IFERROR(__xludf.DUMMYFUNCTION("""COMPUTED_VALUE"""),"USD PKR rate for 19/06/2013")</f>
        <v>USD PKR rate for 19/06/2013</v>
      </c>
      <c r="I3863" s="9"/>
    </row>
    <row r="3864" spans="1:9" ht="14.25" customHeight="1" x14ac:dyDescent="0.3">
      <c r="A3864" s="6">
        <v>43581</v>
      </c>
      <c r="B3864" s="7">
        <v>141.5284</v>
      </c>
      <c r="C3864" s="8">
        <f t="shared" si="31"/>
        <v>157.59189983943941</v>
      </c>
      <c r="D3864" s="9">
        <f t="shared" si="30"/>
        <v>72.314377674178175</v>
      </c>
      <c r="E3864" s="9"/>
      <c r="F3864" s="9">
        <f ca="1">IFERROR(__xludf.DUMMYFUNCTION("""COMPUTED_VALUE"""),41443)</f>
        <v>41443</v>
      </c>
      <c r="G3864" s="9" t="str">
        <f ca="1">IFERROR(__xludf.DUMMYFUNCTION("""COMPUTED_VALUE"""),"1 USD = 98.6334 PKR")</f>
        <v>1 USD = 98.6334 PKR</v>
      </c>
      <c r="H3864" s="9" t="str">
        <f ca="1">IFERROR(__xludf.DUMMYFUNCTION("""COMPUTED_VALUE"""),"USD PKR rate for 18/06/2013")</f>
        <v>USD PKR rate for 18/06/2013</v>
      </c>
      <c r="I3864" s="9"/>
    </row>
    <row r="3865" spans="1:9" ht="14.25" customHeight="1" x14ac:dyDescent="0.3">
      <c r="A3865" s="6">
        <v>43582</v>
      </c>
      <c r="B3865" s="7">
        <v>141.5257</v>
      </c>
      <c r="C3865" s="8">
        <f t="shared" si="31"/>
        <v>157.62008511422081</v>
      </c>
      <c r="D3865" s="9">
        <f t="shared" si="30"/>
        <v>72.317115506975441</v>
      </c>
      <c r="E3865" s="9"/>
      <c r="F3865" s="9">
        <f ca="1">IFERROR(__xludf.DUMMYFUNCTION("""COMPUTED_VALUE"""),41442)</f>
        <v>41442</v>
      </c>
      <c r="G3865" s="9" t="str">
        <f ca="1">IFERROR(__xludf.DUMMYFUNCTION("""COMPUTED_VALUE"""),"1 USD = 98.4801 PKR")</f>
        <v>1 USD = 98.4801 PKR</v>
      </c>
      <c r="H3865" s="9" t="str">
        <f ca="1">IFERROR(__xludf.DUMMYFUNCTION("""COMPUTED_VALUE"""),"USD PKR rate for 17/06/2013")</f>
        <v>USD PKR rate for 17/06/2013</v>
      </c>
      <c r="I3865" s="9"/>
    </row>
    <row r="3866" spans="1:9" ht="14.25" customHeight="1" x14ac:dyDescent="0.3">
      <c r="A3866" s="6">
        <v>43583</v>
      </c>
      <c r="B3866" s="7">
        <v>141.33750000000001</v>
      </c>
      <c r="C3866" s="8">
        <f t="shared" si="31"/>
        <v>157.64827542993194</v>
      </c>
      <c r="D3866" s="9">
        <f t="shared" si="30"/>
        <v>72.319853339772706</v>
      </c>
      <c r="E3866" s="9"/>
      <c r="F3866" s="9">
        <f ca="1">IFERROR(__xludf.DUMMYFUNCTION("""COMPUTED_VALUE"""),41441)</f>
        <v>41441</v>
      </c>
      <c r="G3866" s="9" t="str">
        <f ca="1">IFERROR(__xludf.DUMMYFUNCTION("""COMPUTED_VALUE"""),"1 USD = 98.3787 PKR")</f>
        <v>1 USD = 98.3787 PKR</v>
      </c>
      <c r="H3866" s="9" t="str">
        <f ca="1">IFERROR(__xludf.DUMMYFUNCTION("""COMPUTED_VALUE"""),"USD PKR rate for 16/06/2013")</f>
        <v>USD PKR rate for 16/06/2013</v>
      </c>
      <c r="I3866" s="9"/>
    </row>
    <row r="3867" spans="1:9" ht="14.25" customHeight="1" x14ac:dyDescent="0.3">
      <c r="A3867" s="6">
        <v>43584</v>
      </c>
      <c r="B3867" s="7">
        <v>141.53890000000001</v>
      </c>
      <c r="C3867" s="8">
        <f t="shared" si="31"/>
        <v>157.67647078747467</v>
      </c>
      <c r="D3867" s="9">
        <f t="shared" si="30"/>
        <v>72.322591172569972</v>
      </c>
      <c r="E3867" s="9"/>
      <c r="F3867" s="9">
        <f ca="1">IFERROR(__xludf.DUMMYFUNCTION("""COMPUTED_VALUE"""),41440)</f>
        <v>41440</v>
      </c>
      <c r="G3867" s="9" t="str">
        <f ca="1">IFERROR(__xludf.DUMMYFUNCTION("""COMPUTED_VALUE"""),"1 USD = 98.4795 PKR")</f>
        <v>1 USD = 98.4795 PKR</v>
      </c>
      <c r="H3867" s="9" t="str">
        <f ca="1">IFERROR(__xludf.DUMMYFUNCTION("""COMPUTED_VALUE"""),"USD PKR rate for 15/06/2013")</f>
        <v>USD PKR rate for 15/06/2013</v>
      </c>
      <c r="I3867" s="9"/>
    </row>
    <row r="3868" spans="1:9" ht="14.25" customHeight="1" x14ac:dyDescent="0.3">
      <c r="A3868" s="6">
        <v>43585</v>
      </c>
      <c r="B3868" s="7">
        <v>141.62129999999999</v>
      </c>
      <c r="C3868" s="8">
        <f t="shared" si="31"/>
        <v>157.70467118775051</v>
      </c>
      <c r="D3868" s="9">
        <f t="shared" si="30"/>
        <v>72.325329005367237</v>
      </c>
      <c r="E3868" s="9"/>
      <c r="F3868" s="9">
        <f ca="1">IFERROR(__xludf.DUMMYFUNCTION("""COMPUTED_VALUE"""),41439)</f>
        <v>41439</v>
      </c>
      <c r="G3868" s="9" t="str">
        <f ca="1">IFERROR(__xludf.DUMMYFUNCTION("""COMPUTED_VALUE"""),"1 USD = 98.3331 PKR")</f>
        <v>1 USD = 98.3331 PKR</v>
      </c>
      <c r="H3868" s="9" t="str">
        <f ca="1">IFERROR(__xludf.DUMMYFUNCTION("""COMPUTED_VALUE"""),"USD PKR rate for 14/06/2013")</f>
        <v>USD PKR rate for 14/06/2013</v>
      </c>
      <c r="I3868" s="9"/>
    </row>
    <row r="3869" spans="1:9" ht="14.25" customHeight="1" x14ac:dyDescent="0.3">
      <c r="A3869" s="6">
        <v>43586</v>
      </c>
      <c r="B3869" s="7">
        <v>141.6146</v>
      </c>
      <c r="C3869" s="8">
        <f t="shared" si="31"/>
        <v>157.73287663166147</v>
      </c>
      <c r="D3869" s="9">
        <f t="shared" si="30"/>
        <v>72.328066838164503</v>
      </c>
      <c r="E3869" s="9"/>
      <c r="F3869" s="9">
        <f ca="1">IFERROR(__xludf.DUMMYFUNCTION("""COMPUTED_VALUE"""),41438)</f>
        <v>41438</v>
      </c>
      <c r="G3869" s="9" t="str">
        <f ca="1">IFERROR(__xludf.DUMMYFUNCTION("""COMPUTED_VALUE"""),"1 USD = 98.2899 PKR")</f>
        <v>1 USD = 98.2899 PKR</v>
      </c>
      <c r="H3869" s="9" t="str">
        <f ca="1">IFERROR(__xludf.DUMMYFUNCTION("""COMPUTED_VALUE"""),"USD PKR rate for 13/06/2013")</f>
        <v>USD PKR rate for 13/06/2013</v>
      </c>
      <c r="I3869" s="9"/>
    </row>
    <row r="3870" spans="1:9" ht="14.25" customHeight="1" x14ac:dyDescent="0.3">
      <c r="A3870" s="6">
        <v>43587</v>
      </c>
      <c r="B3870" s="7">
        <v>141.47020000000001</v>
      </c>
      <c r="C3870" s="8">
        <f t="shared" si="31"/>
        <v>157.76108712010949</v>
      </c>
      <c r="D3870" s="9">
        <f t="shared" si="30"/>
        <v>72.330804670961768</v>
      </c>
      <c r="E3870" s="9"/>
      <c r="F3870" s="9">
        <f ca="1">IFERROR(__xludf.DUMMYFUNCTION("""COMPUTED_VALUE"""),41437)</f>
        <v>41437</v>
      </c>
      <c r="G3870" s="9" t="str">
        <f ca="1">IFERROR(__xludf.DUMMYFUNCTION("""COMPUTED_VALUE"""),"1 USD = 98.4022 PKR")</f>
        <v>1 USD = 98.4022 PKR</v>
      </c>
      <c r="H3870" s="9" t="str">
        <f ca="1">IFERROR(__xludf.DUMMYFUNCTION("""COMPUTED_VALUE"""),"USD PKR rate for 12/06/2013")</f>
        <v>USD PKR rate for 12/06/2013</v>
      </c>
      <c r="I3870" s="9"/>
    </row>
    <row r="3871" spans="1:9" ht="14.25" customHeight="1" x14ac:dyDescent="0.3">
      <c r="A3871" s="6">
        <v>43588</v>
      </c>
      <c r="B3871" s="7">
        <v>141.44990000000001</v>
      </c>
      <c r="C3871" s="8">
        <f t="shared" si="31"/>
        <v>157.78930265399686</v>
      </c>
      <c r="D3871" s="9">
        <f t="shared" si="30"/>
        <v>72.333542503759034</v>
      </c>
      <c r="E3871" s="9"/>
      <c r="F3871" s="9">
        <f ca="1">IFERROR(__xludf.DUMMYFUNCTION("""COMPUTED_VALUE"""),41436)</f>
        <v>41436</v>
      </c>
      <c r="G3871" s="9" t="str">
        <f ca="1">IFERROR(__xludf.DUMMYFUNCTION("""COMPUTED_VALUE"""),"1 USD = 98.3704 PKR")</f>
        <v>1 USD = 98.3704 PKR</v>
      </c>
      <c r="H3871" s="9" t="str">
        <f ca="1">IFERROR(__xludf.DUMMYFUNCTION("""COMPUTED_VALUE"""),"USD PKR rate for 11/06/2013")</f>
        <v>USD PKR rate for 11/06/2013</v>
      </c>
      <c r="I3871" s="9"/>
    </row>
    <row r="3872" spans="1:9" ht="14.25" customHeight="1" x14ac:dyDescent="0.3">
      <c r="A3872" s="6">
        <v>43589</v>
      </c>
      <c r="B3872" s="7">
        <v>141.44990000000001</v>
      </c>
      <c r="C3872" s="8">
        <f t="shared" si="31"/>
        <v>157.81752323422594</v>
      </c>
      <c r="D3872" s="9">
        <f t="shared" si="30"/>
        <v>72.3362803365563</v>
      </c>
      <c r="E3872" s="9"/>
      <c r="F3872" s="9">
        <f ca="1">IFERROR(__xludf.DUMMYFUNCTION("""COMPUTED_VALUE"""),41435)</f>
        <v>41435</v>
      </c>
      <c r="G3872" s="9" t="str">
        <f ca="1">IFERROR(__xludf.DUMMYFUNCTION("""COMPUTED_VALUE"""),"1 USD = 98.5248 PKR")</f>
        <v>1 USD = 98.5248 PKR</v>
      </c>
      <c r="H3872" s="9" t="str">
        <f ca="1">IFERROR(__xludf.DUMMYFUNCTION("""COMPUTED_VALUE"""),"USD PKR rate for 10/06/2013")</f>
        <v>USD PKR rate for 10/06/2013</v>
      </c>
      <c r="I3872" s="9"/>
    </row>
    <row r="3873" spans="1:9" ht="14.25" customHeight="1" x14ac:dyDescent="0.3">
      <c r="A3873" s="6">
        <v>43590</v>
      </c>
      <c r="B3873" s="7">
        <v>141.50749999999999</v>
      </c>
      <c r="C3873" s="8">
        <f t="shared" si="31"/>
        <v>157.84574886169924</v>
      </c>
      <c r="D3873" s="9">
        <f t="shared" si="30"/>
        <v>72.339018169353565</v>
      </c>
      <c r="E3873" s="9"/>
      <c r="F3873" s="9">
        <f ca="1">IFERROR(__xludf.DUMMYFUNCTION("""COMPUTED_VALUE"""),41434)</f>
        <v>41434</v>
      </c>
      <c r="G3873" s="9" t="str">
        <f ca="1">IFERROR(__xludf.DUMMYFUNCTION("""COMPUTED_VALUE"""),"1 USD = 98.7252 PKR")</f>
        <v>1 USD = 98.7252 PKR</v>
      </c>
      <c r="H3873" s="9" t="str">
        <f ca="1">IFERROR(__xludf.DUMMYFUNCTION("""COMPUTED_VALUE"""),"USD PKR rate for 09/06/2013")</f>
        <v>USD PKR rate for 09/06/2013</v>
      </c>
      <c r="I3873" s="9"/>
    </row>
    <row r="3874" spans="1:9" ht="14.25" customHeight="1" x14ac:dyDescent="0.3">
      <c r="A3874" s="6">
        <v>43591</v>
      </c>
      <c r="B3874" s="7">
        <v>141.52029999999999</v>
      </c>
      <c r="C3874" s="8">
        <f t="shared" si="31"/>
        <v>157.87397953731946</v>
      </c>
      <c r="D3874" s="9">
        <f t="shared" si="30"/>
        <v>72.341756002150831</v>
      </c>
      <c r="E3874" s="9"/>
      <c r="F3874" s="9">
        <f ca="1">IFERROR(__xludf.DUMMYFUNCTION("""COMPUTED_VALUE"""),41433)</f>
        <v>41433</v>
      </c>
      <c r="G3874" s="9" t="str">
        <f ca="1">IFERROR(__xludf.DUMMYFUNCTION("""COMPUTED_VALUE"""),"1 USD = 98.3352 PKR")</f>
        <v>1 USD = 98.3352 PKR</v>
      </c>
      <c r="H3874" s="9" t="str">
        <f ca="1">IFERROR(__xludf.DUMMYFUNCTION("""COMPUTED_VALUE"""),"USD PKR rate for 08/06/2013")</f>
        <v>USD PKR rate for 08/06/2013</v>
      </c>
      <c r="I3874" s="9"/>
    </row>
    <row r="3875" spans="1:9" ht="14.25" customHeight="1" x14ac:dyDescent="0.3">
      <c r="A3875" s="6">
        <v>43592</v>
      </c>
      <c r="B3875" s="7">
        <v>141.4461</v>
      </c>
      <c r="C3875" s="8">
        <f t="shared" si="31"/>
        <v>157.90221526198937</v>
      </c>
      <c r="D3875" s="9">
        <f t="shared" si="30"/>
        <v>72.344493834948096</v>
      </c>
      <c r="E3875" s="9"/>
      <c r="F3875" s="9">
        <f ca="1">IFERROR(__xludf.DUMMYFUNCTION("""COMPUTED_VALUE"""),41432)</f>
        <v>41432</v>
      </c>
      <c r="G3875" s="9" t="str">
        <f ca="1">IFERROR(__xludf.DUMMYFUNCTION("""COMPUTED_VALUE"""),"1 USD = 98.4984 PKR")</f>
        <v>1 USD = 98.4984 PKR</v>
      </c>
      <c r="H3875" s="9" t="str">
        <f ca="1">IFERROR(__xludf.DUMMYFUNCTION("""COMPUTED_VALUE"""),"USD PKR rate for 07/06/2013")</f>
        <v>USD PKR rate for 07/06/2013</v>
      </c>
      <c r="I3875" s="9"/>
    </row>
    <row r="3876" spans="1:9" ht="14.25" customHeight="1" x14ac:dyDescent="0.3">
      <c r="A3876" s="6">
        <v>43593</v>
      </c>
      <c r="B3876" s="7">
        <v>141.58150000000001</v>
      </c>
      <c r="C3876" s="8">
        <f t="shared" si="31"/>
        <v>157.93045603661221</v>
      </c>
      <c r="D3876" s="9">
        <f t="shared" si="30"/>
        <v>72.347231667745362</v>
      </c>
      <c r="E3876" s="9"/>
      <c r="F3876" s="9">
        <f ca="1">IFERROR(__xludf.DUMMYFUNCTION("""COMPUTED_VALUE"""),41431)</f>
        <v>41431</v>
      </c>
      <c r="G3876" s="9" t="str">
        <f ca="1">IFERROR(__xludf.DUMMYFUNCTION("""COMPUTED_VALUE"""),"1 USD = 98.0532 PKR")</f>
        <v>1 USD = 98.0532 PKR</v>
      </c>
      <c r="H3876" s="9" t="str">
        <f ca="1">IFERROR(__xludf.DUMMYFUNCTION("""COMPUTED_VALUE"""),"USD PKR rate for 06/06/2013")</f>
        <v>USD PKR rate for 06/06/2013</v>
      </c>
      <c r="I3876" s="9"/>
    </row>
    <row r="3877" spans="1:9" ht="14.25" customHeight="1" x14ac:dyDescent="0.3">
      <c r="A3877" s="6">
        <v>43594</v>
      </c>
      <c r="B3877" s="7">
        <v>141.5266</v>
      </c>
      <c r="C3877" s="8">
        <f t="shared" si="31"/>
        <v>157.95870186209106</v>
      </c>
      <c r="D3877" s="9">
        <f t="shared" si="30"/>
        <v>72.349969500542628</v>
      </c>
      <c r="E3877" s="9"/>
      <c r="F3877" s="9">
        <f ca="1">IFERROR(__xludf.DUMMYFUNCTION("""COMPUTED_VALUE"""),41430)</f>
        <v>41430</v>
      </c>
      <c r="G3877" s="9" t="str">
        <f ca="1">IFERROR(__xludf.DUMMYFUNCTION("""COMPUTED_VALUE"""),"1 USD = 98.242 PKR")</f>
        <v>1 USD = 98.242 PKR</v>
      </c>
      <c r="H3877" s="9" t="str">
        <f ca="1">IFERROR(__xludf.DUMMYFUNCTION("""COMPUTED_VALUE"""),"USD PKR rate for 05/06/2013")</f>
        <v>USD PKR rate for 05/06/2013</v>
      </c>
      <c r="I3877" s="9"/>
    </row>
    <row r="3878" spans="1:9" ht="14.25" customHeight="1" x14ac:dyDescent="0.3">
      <c r="A3878" s="6">
        <v>43595</v>
      </c>
      <c r="B3878" s="7">
        <v>141.62310000000002</v>
      </c>
      <c r="C3878" s="8">
        <f t="shared" si="31"/>
        <v>157.98695273932924</v>
      </c>
      <c r="D3878" s="9">
        <f t="shared" si="30"/>
        <v>72.352707333339893</v>
      </c>
      <c r="E3878" s="9"/>
      <c r="F3878" s="9">
        <f ca="1">IFERROR(__xludf.DUMMYFUNCTION("""COMPUTED_VALUE"""),41429)</f>
        <v>41429</v>
      </c>
      <c r="G3878" s="9" t="str">
        <f ca="1">IFERROR(__xludf.DUMMYFUNCTION("""COMPUTED_VALUE"""),"1 USD = 97.6948 PKR")</f>
        <v>1 USD = 97.6948 PKR</v>
      </c>
      <c r="H3878" s="9" t="str">
        <f ca="1">IFERROR(__xludf.DUMMYFUNCTION("""COMPUTED_VALUE"""),"USD PKR rate for 04/06/2013")</f>
        <v>USD PKR rate for 04/06/2013</v>
      </c>
      <c r="I3878" s="9"/>
    </row>
    <row r="3879" spans="1:9" ht="14.25" customHeight="1" x14ac:dyDescent="0.3">
      <c r="A3879" s="6">
        <v>43596</v>
      </c>
      <c r="B3879" s="7">
        <v>141.62310000000002</v>
      </c>
      <c r="C3879" s="8">
        <f t="shared" si="31"/>
        <v>158.0152086692303</v>
      </c>
      <c r="D3879" s="9">
        <f t="shared" si="30"/>
        <v>72.355445166137159</v>
      </c>
      <c r="E3879" s="9"/>
      <c r="F3879" s="9">
        <f ca="1">IFERROR(__xludf.DUMMYFUNCTION("""COMPUTED_VALUE"""),41428)</f>
        <v>41428</v>
      </c>
      <c r="G3879" s="9" t="str">
        <f ca="1">IFERROR(__xludf.DUMMYFUNCTION("""COMPUTED_VALUE"""),"1 USD = 97.9069 PKR")</f>
        <v>1 USD = 97.9069 PKR</v>
      </c>
      <c r="H3879" s="9" t="str">
        <f ca="1">IFERROR(__xludf.DUMMYFUNCTION("""COMPUTED_VALUE"""),"USD PKR rate for 03/06/2013")</f>
        <v>USD PKR rate for 03/06/2013</v>
      </c>
      <c r="I3879" s="9"/>
    </row>
    <row r="3880" spans="1:9" ht="14.25" customHeight="1" x14ac:dyDescent="0.3">
      <c r="A3880" s="6">
        <v>43597</v>
      </c>
      <c r="B3880" s="7">
        <v>141.5848</v>
      </c>
      <c r="C3880" s="8">
        <f t="shared" si="31"/>
        <v>158.04346965269787</v>
      </c>
      <c r="D3880" s="9">
        <f t="shared" si="30"/>
        <v>72.358182998934424</v>
      </c>
      <c r="E3880" s="9"/>
      <c r="F3880" s="9">
        <f ca="1">IFERROR(__xludf.DUMMYFUNCTION("""COMPUTED_VALUE"""),41427)</f>
        <v>41427</v>
      </c>
      <c r="G3880" s="9" t="str">
        <f ca="1">IFERROR(__xludf.DUMMYFUNCTION("""COMPUTED_VALUE"""),"1 USD = 98.4721 PKR")</f>
        <v>1 USD = 98.4721 PKR</v>
      </c>
      <c r="H3880" s="9" t="str">
        <f ca="1">IFERROR(__xludf.DUMMYFUNCTION("""COMPUTED_VALUE"""),"USD PKR rate for 02/06/2013")</f>
        <v>USD PKR rate for 02/06/2013</v>
      </c>
      <c r="I3880" s="9"/>
    </row>
    <row r="3881" spans="1:9" ht="14.25" customHeight="1" x14ac:dyDescent="0.3">
      <c r="A3881" s="6">
        <v>43598</v>
      </c>
      <c r="B3881" s="7">
        <v>141.59100000000001</v>
      </c>
      <c r="C3881" s="8">
        <f t="shared" si="31"/>
        <v>158.07173569063576</v>
      </c>
      <c r="D3881" s="9">
        <f t="shared" si="30"/>
        <v>72.36092083173169</v>
      </c>
      <c r="E3881" s="9"/>
      <c r="F3881" s="9">
        <f ca="1">IFERROR(__xludf.DUMMYFUNCTION("""COMPUTED_VALUE"""),41426)</f>
        <v>41426</v>
      </c>
      <c r="G3881" s="9" t="str">
        <f ca="1">IFERROR(__xludf.DUMMYFUNCTION("""COMPUTED_VALUE"""),"1 USD = 98.4737 PKR")</f>
        <v>1 USD = 98.4737 PKR</v>
      </c>
      <c r="H3881" s="9" t="str">
        <f ca="1">IFERROR(__xludf.DUMMYFUNCTION("""COMPUTED_VALUE"""),"USD PKR rate for 01/06/2013")</f>
        <v>USD PKR rate for 01/06/2013</v>
      </c>
      <c r="I3881" s="9"/>
    </row>
    <row r="3882" spans="1:9" ht="14.25" customHeight="1" x14ac:dyDescent="0.3">
      <c r="A3882" s="6">
        <v>43599</v>
      </c>
      <c r="B3882" s="7">
        <v>141.66319999999999</v>
      </c>
      <c r="C3882" s="8">
        <f t="shared" si="31"/>
        <v>158.100006783948</v>
      </c>
      <c r="D3882" s="9">
        <f t="shared" si="30"/>
        <v>72.363658664528955</v>
      </c>
      <c r="E3882" s="9"/>
      <c r="F3882" s="9">
        <f ca="1">IFERROR(__xludf.DUMMYFUNCTION("""COMPUTED_VALUE"""),41425)</f>
        <v>41425</v>
      </c>
      <c r="G3882" s="9" t="str">
        <f ca="1">IFERROR(__xludf.DUMMYFUNCTION("""COMPUTED_VALUE"""),"1 USD = 98.5253 PKR")</f>
        <v>1 USD = 98.5253 PKR</v>
      </c>
      <c r="H3882" s="9" t="str">
        <f ca="1">IFERROR(__xludf.DUMMYFUNCTION("""COMPUTED_VALUE"""),"USD PKR rate for 31/05/2013")</f>
        <v>USD PKR rate for 31/05/2013</v>
      </c>
      <c r="I3882" s="9"/>
    </row>
    <row r="3883" spans="1:9" ht="14.25" customHeight="1" x14ac:dyDescent="0.3">
      <c r="A3883" s="6">
        <v>43600</v>
      </c>
      <c r="B3883" s="7">
        <v>141.83320000000001</v>
      </c>
      <c r="C3883" s="8">
        <f t="shared" si="31"/>
        <v>158.12828293353877</v>
      </c>
      <c r="D3883" s="9">
        <f t="shared" si="30"/>
        <v>72.366396497326221</v>
      </c>
      <c r="E3883" s="9"/>
      <c r="F3883" s="9">
        <f ca="1">IFERROR(__xludf.DUMMYFUNCTION("""COMPUTED_VALUE"""),41424)</f>
        <v>41424</v>
      </c>
      <c r="G3883" s="9" t="str">
        <f ca="1">IFERROR(__xludf.DUMMYFUNCTION("""COMPUTED_VALUE"""),"1 USD = 98.4355 PKR")</f>
        <v>1 USD = 98.4355 PKR</v>
      </c>
      <c r="H3883" s="9" t="str">
        <f ca="1">IFERROR(__xludf.DUMMYFUNCTION("""COMPUTED_VALUE"""),"USD PKR rate for 30/05/2013")</f>
        <v>USD PKR rate for 30/05/2013</v>
      </c>
      <c r="I3883" s="9"/>
    </row>
    <row r="3884" spans="1:9" ht="14.25" customHeight="1" x14ac:dyDescent="0.3">
      <c r="A3884" s="6">
        <v>43601</v>
      </c>
      <c r="B3884" s="7">
        <v>141.54949999999999</v>
      </c>
      <c r="C3884" s="8">
        <f t="shared" si="31"/>
        <v>158.15656414031216</v>
      </c>
      <c r="D3884" s="9">
        <f t="shared" si="30"/>
        <v>72.369134330123487</v>
      </c>
      <c r="E3884" s="9"/>
      <c r="F3884" s="9">
        <f ca="1">IFERROR(__xludf.DUMMYFUNCTION("""COMPUTED_VALUE"""),41423)</f>
        <v>41423</v>
      </c>
      <c r="G3884" s="9" t="str">
        <f ca="1">IFERROR(__xludf.DUMMYFUNCTION("""COMPUTED_VALUE"""),"1 USD = 98.3685 PKR")</f>
        <v>1 USD = 98.3685 PKR</v>
      </c>
      <c r="H3884" s="9" t="str">
        <f ca="1">IFERROR(__xludf.DUMMYFUNCTION("""COMPUTED_VALUE"""),"USD PKR rate for 29/05/2013")</f>
        <v>USD PKR rate for 29/05/2013</v>
      </c>
      <c r="I3884" s="9"/>
    </row>
    <row r="3885" spans="1:9" ht="14.25" customHeight="1" x14ac:dyDescent="0.3">
      <c r="A3885" s="6">
        <v>43602</v>
      </c>
      <c r="B3885" s="7">
        <v>143.93</v>
      </c>
      <c r="C3885" s="8">
        <f t="shared" si="31"/>
        <v>158.18485040517311</v>
      </c>
      <c r="D3885" s="9">
        <f t="shared" si="30"/>
        <v>72.371872162920766</v>
      </c>
      <c r="E3885" s="9"/>
      <c r="F3885" s="9">
        <f ca="1">IFERROR(__xludf.DUMMYFUNCTION("""COMPUTED_VALUE"""),41422)</f>
        <v>41422</v>
      </c>
      <c r="G3885" s="9" t="str">
        <f ca="1">IFERROR(__xludf.DUMMYFUNCTION("""COMPUTED_VALUE"""),"1 USD = 98.7413 PKR")</f>
        <v>1 USD = 98.7413 PKR</v>
      </c>
      <c r="H3885" s="9" t="str">
        <f ca="1">IFERROR(__xludf.DUMMYFUNCTION("""COMPUTED_VALUE"""),"USD PKR rate for 28/05/2013")</f>
        <v>USD PKR rate for 28/05/2013</v>
      </c>
      <c r="I3885" s="9"/>
    </row>
    <row r="3886" spans="1:9" ht="14.25" customHeight="1" x14ac:dyDescent="0.3">
      <c r="A3886" s="6">
        <v>43603</v>
      </c>
      <c r="B3886" s="7">
        <v>143.93</v>
      </c>
      <c r="C3886" s="8">
        <f t="shared" si="31"/>
        <v>158.21314172902586</v>
      </c>
      <c r="D3886" s="9">
        <f t="shared" si="30"/>
        <v>72.374609995718032</v>
      </c>
      <c r="E3886" s="9"/>
      <c r="F3886" s="9">
        <f ca="1">IFERROR(__xludf.DUMMYFUNCTION("""COMPUTED_VALUE"""),41421)</f>
        <v>41421</v>
      </c>
      <c r="G3886" s="9" t="str">
        <f ca="1">IFERROR(__xludf.DUMMYFUNCTION("""COMPUTED_VALUE"""),"1 USD = 98.5309 PKR")</f>
        <v>1 USD = 98.5309 PKR</v>
      </c>
      <c r="H3886" s="9" t="str">
        <f ca="1">IFERROR(__xludf.DUMMYFUNCTION("""COMPUTED_VALUE"""),"USD PKR rate for 27/05/2013")</f>
        <v>USD PKR rate for 27/05/2013</v>
      </c>
      <c r="I3886" s="9"/>
    </row>
    <row r="3887" spans="1:9" ht="14.25" customHeight="1" x14ac:dyDescent="0.3">
      <c r="A3887" s="6">
        <v>43604</v>
      </c>
      <c r="B3887" s="7">
        <v>148.22370000000001</v>
      </c>
      <c r="C3887" s="8">
        <f t="shared" si="31"/>
        <v>158.24143811277531</v>
      </c>
      <c r="D3887" s="9">
        <f t="shared" si="30"/>
        <v>72.377347828515298</v>
      </c>
      <c r="E3887" s="9"/>
      <c r="F3887" s="9">
        <f ca="1">IFERROR(__xludf.DUMMYFUNCTION("""COMPUTED_VALUE"""),41420)</f>
        <v>41420</v>
      </c>
      <c r="G3887" s="9" t="str">
        <f ca="1">IFERROR(__xludf.DUMMYFUNCTION("""COMPUTED_VALUE"""),"1 USD = 98.4122 PKR")</f>
        <v>1 USD = 98.4122 PKR</v>
      </c>
      <c r="H3887" s="9" t="str">
        <f ca="1">IFERROR(__xludf.DUMMYFUNCTION("""COMPUTED_VALUE"""),"USD PKR rate for 26/05/2013")</f>
        <v>USD PKR rate for 26/05/2013</v>
      </c>
      <c r="I3887" s="9"/>
    </row>
    <row r="3888" spans="1:9" ht="14.25" customHeight="1" x14ac:dyDescent="0.3">
      <c r="A3888" s="6">
        <v>43605</v>
      </c>
      <c r="B3888" s="7">
        <v>147.91040000000004</v>
      </c>
      <c r="C3888" s="8">
        <f t="shared" si="31"/>
        <v>158.26973955732643</v>
      </c>
      <c r="D3888" s="9">
        <f t="shared" si="30"/>
        <v>72.380085661312563</v>
      </c>
      <c r="E3888" s="9"/>
      <c r="F3888" s="9">
        <f ca="1">IFERROR(__xludf.DUMMYFUNCTION("""COMPUTED_VALUE"""),41419)</f>
        <v>41419</v>
      </c>
      <c r="G3888" s="9" t="str">
        <f ca="1">IFERROR(__xludf.DUMMYFUNCTION("""COMPUTED_VALUE"""),"1 USD = 98.3546 PKR")</f>
        <v>1 USD = 98.3546 PKR</v>
      </c>
      <c r="H3888" s="9" t="str">
        <f ca="1">IFERROR(__xludf.DUMMYFUNCTION("""COMPUTED_VALUE"""),"USD PKR rate for 25/05/2013")</f>
        <v>USD PKR rate for 25/05/2013</v>
      </c>
      <c r="I3888" s="9"/>
    </row>
    <row r="3889" spans="1:9" ht="14.25" customHeight="1" x14ac:dyDescent="0.3">
      <c r="A3889" s="6">
        <v>43606</v>
      </c>
      <c r="B3889" s="7">
        <v>150.834</v>
      </c>
      <c r="C3889" s="8">
        <f t="shared" si="31"/>
        <v>158.29804606358437</v>
      </c>
      <c r="D3889" s="9">
        <f t="shared" si="30"/>
        <v>72.382823494109829</v>
      </c>
      <c r="E3889" s="9"/>
      <c r="F3889" s="9">
        <f ca="1">IFERROR(__xludf.DUMMYFUNCTION("""COMPUTED_VALUE"""),41418)</f>
        <v>41418</v>
      </c>
      <c r="G3889" s="9" t="str">
        <f ca="1">IFERROR(__xludf.DUMMYFUNCTION("""COMPUTED_VALUE"""),"1 USD = 98.432 PKR")</f>
        <v>1 USD = 98.432 PKR</v>
      </c>
      <c r="H3889" s="9" t="str">
        <f ca="1">IFERROR(__xludf.DUMMYFUNCTION("""COMPUTED_VALUE"""),"USD PKR rate for 24/05/2013")</f>
        <v>USD PKR rate for 24/05/2013</v>
      </c>
      <c r="I3889" s="9"/>
    </row>
    <row r="3890" spans="1:9" ht="14.25" customHeight="1" x14ac:dyDescent="0.3">
      <c r="A3890" s="6">
        <v>43607</v>
      </c>
      <c r="B3890" s="7">
        <v>152.28569999999999</v>
      </c>
      <c r="C3890" s="8">
        <f t="shared" si="31"/>
        <v>158.3263576324544</v>
      </c>
      <c r="D3890" s="9">
        <f t="shared" si="30"/>
        <v>72.385561326907094</v>
      </c>
      <c r="E3890" s="9"/>
      <c r="F3890" s="9">
        <f ca="1">IFERROR(__xludf.DUMMYFUNCTION("""COMPUTED_VALUE"""),41417)</f>
        <v>41417</v>
      </c>
      <c r="G3890" s="9" t="str">
        <f ca="1">IFERROR(__xludf.DUMMYFUNCTION("""COMPUTED_VALUE"""),"1 USD = 98.294 PKR")</f>
        <v>1 USD = 98.294 PKR</v>
      </c>
      <c r="H3890" s="9" t="str">
        <f ca="1">IFERROR(__xludf.DUMMYFUNCTION("""COMPUTED_VALUE"""),"USD PKR rate for 23/05/2013")</f>
        <v>USD PKR rate for 23/05/2013</v>
      </c>
      <c r="I3890" s="9"/>
    </row>
    <row r="3891" spans="1:9" ht="14.25" customHeight="1" x14ac:dyDescent="0.3">
      <c r="A3891" s="6">
        <v>43608</v>
      </c>
      <c r="B3891" s="7">
        <v>151.95310000000001</v>
      </c>
      <c r="C3891" s="8">
        <f t="shared" si="31"/>
        <v>158.35467426484198</v>
      </c>
      <c r="D3891" s="9">
        <f t="shared" si="30"/>
        <v>72.38829915970436</v>
      </c>
      <c r="E3891" s="9"/>
      <c r="F3891" s="9">
        <f ca="1">IFERROR(__xludf.DUMMYFUNCTION("""COMPUTED_VALUE"""),41416)</f>
        <v>41416</v>
      </c>
      <c r="G3891" s="9" t="str">
        <f ca="1">IFERROR(__xludf.DUMMYFUNCTION("""COMPUTED_VALUE"""),"1 USD = 98.8476 PKR")</f>
        <v>1 USD = 98.8476 PKR</v>
      </c>
      <c r="H3891" s="9" t="str">
        <f ca="1">IFERROR(__xludf.DUMMYFUNCTION("""COMPUTED_VALUE"""),"USD PKR rate for 22/05/2013")</f>
        <v>USD PKR rate for 22/05/2013</v>
      </c>
      <c r="I3891" s="9"/>
    </row>
    <row r="3892" spans="1:9" ht="14.25" customHeight="1" x14ac:dyDescent="0.3">
      <c r="A3892" s="6">
        <v>43609</v>
      </c>
      <c r="B3892" s="7">
        <v>151.9999</v>
      </c>
      <c r="C3892" s="8">
        <f t="shared" si="31"/>
        <v>158.38299596165265</v>
      </c>
      <c r="D3892" s="9">
        <f t="shared" si="30"/>
        <v>72.391036992501625</v>
      </c>
      <c r="E3892" s="9"/>
      <c r="F3892" s="9">
        <f ca="1">IFERROR(__xludf.DUMMYFUNCTION("""COMPUTED_VALUE"""),41415)</f>
        <v>41415</v>
      </c>
      <c r="G3892" s="9" t="str">
        <f ca="1">IFERROR(__xludf.DUMMYFUNCTION("""COMPUTED_VALUE"""),"1 USD = 98.3336 PKR")</f>
        <v>1 USD = 98.3336 PKR</v>
      </c>
      <c r="H3892" s="9" t="str">
        <f ca="1">IFERROR(__xludf.DUMMYFUNCTION("""COMPUTED_VALUE"""),"USD PKR rate for 21/05/2013")</f>
        <v>USD PKR rate for 21/05/2013</v>
      </c>
      <c r="I3892" s="9"/>
    </row>
    <row r="3893" spans="1:9" ht="14.25" customHeight="1" x14ac:dyDescent="0.3">
      <c r="A3893" s="6">
        <v>43610</v>
      </c>
      <c r="B3893" s="7">
        <v>151.46549999999999</v>
      </c>
      <c r="C3893" s="8">
        <f t="shared" si="31"/>
        <v>158.41132272379227</v>
      </c>
      <c r="D3893" s="9">
        <f t="shared" si="30"/>
        <v>72.393774825298891</v>
      </c>
      <c r="E3893" s="9"/>
      <c r="F3893" s="9">
        <f ca="1">IFERROR(__xludf.DUMMYFUNCTION("""COMPUTED_VALUE"""),41414)</f>
        <v>41414</v>
      </c>
      <c r="G3893" s="9" t="str">
        <f ca="1">IFERROR(__xludf.DUMMYFUNCTION("""COMPUTED_VALUE"""),"1 USD = 98.1712 PKR")</f>
        <v>1 USD = 98.1712 PKR</v>
      </c>
      <c r="H3893" s="9" t="str">
        <f ca="1">IFERROR(__xludf.DUMMYFUNCTION("""COMPUTED_VALUE"""),"USD PKR rate for 20/05/2013")</f>
        <v>USD PKR rate for 20/05/2013</v>
      </c>
      <c r="I3893" s="9"/>
    </row>
    <row r="3894" spans="1:9" ht="14.25" customHeight="1" x14ac:dyDescent="0.3">
      <c r="A3894" s="6">
        <v>43611</v>
      </c>
      <c r="B3894" s="7">
        <v>151.56630000000001</v>
      </c>
      <c r="C3894" s="8">
        <f t="shared" si="31"/>
        <v>158.43965455216662</v>
      </c>
      <c r="D3894" s="9">
        <f t="shared" si="30"/>
        <v>72.396512658096157</v>
      </c>
      <c r="E3894" s="9"/>
      <c r="F3894" s="9">
        <f ca="1">IFERROR(__xludf.DUMMYFUNCTION("""COMPUTED_VALUE"""),41413)</f>
        <v>41413</v>
      </c>
      <c r="G3894" s="9" t="str">
        <f ca="1">IFERROR(__xludf.DUMMYFUNCTION("""COMPUTED_VALUE"""),"1 USD = 98.6191 PKR")</f>
        <v>1 USD = 98.6191 PKR</v>
      </c>
      <c r="H3894" s="9" t="str">
        <f ca="1">IFERROR(__xludf.DUMMYFUNCTION("""COMPUTED_VALUE"""),"USD PKR rate for 19/05/2013")</f>
        <v>USD PKR rate for 19/05/2013</v>
      </c>
      <c r="I3894" s="9"/>
    </row>
    <row r="3895" spans="1:9" ht="14.25" customHeight="1" x14ac:dyDescent="0.3">
      <c r="A3895" s="6">
        <v>43612</v>
      </c>
      <c r="B3895" s="7">
        <v>150.87049999999999</v>
      </c>
      <c r="C3895" s="8">
        <f t="shared" si="31"/>
        <v>158.46799144768201</v>
      </c>
      <c r="D3895" s="9">
        <f t="shared" si="30"/>
        <v>72.399250490893422</v>
      </c>
      <c r="E3895" s="9"/>
      <c r="F3895" s="9">
        <f ca="1">IFERROR(__xludf.DUMMYFUNCTION("""COMPUTED_VALUE"""),41412)</f>
        <v>41412</v>
      </c>
      <c r="G3895" s="9" t="str">
        <f ca="1">IFERROR(__xludf.DUMMYFUNCTION("""COMPUTED_VALUE"""),"1 USD = 98.5519 PKR")</f>
        <v>1 USD = 98.5519 PKR</v>
      </c>
      <c r="H3895" s="9" t="str">
        <f ca="1">IFERROR(__xludf.DUMMYFUNCTION("""COMPUTED_VALUE"""),"USD PKR rate for 18/05/2013")</f>
        <v>USD PKR rate for 18/05/2013</v>
      </c>
      <c r="I3895" s="9"/>
    </row>
    <row r="3896" spans="1:9" ht="14.25" customHeight="1" x14ac:dyDescent="0.3">
      <c r="A3896" s="6">
        <v>43613</v>
      </c>
      <c r="B3896" s="7">
        <v>150.99340000000001</v>
      </c>
      <c r="C3896" s="8">
        <f t="shared" si="31"/>
        <v>158.49633341124462</v>
      </c>
      <c r="D3896" s="9">
        <f t="shared" si="30"/>
        <v>72.401988323690688</v>
      </c>
      <c r="E3896" s="9"/>
      <c r="F3896" s="9">
        <f ca="1">IFERROR(__xludf.DUMMYFUNCTION("""COMPUTED_VALUE"""),41411)</f>
        <v>41411</v>
      </c>
      <c r="G3896" s="9" t="str">
        <f ca="1">IFERROR(__xludf.DUMMYFUNCTION("""COMPUTED_VALUE"""),"1 USD = 98.5102 PKR")</f>
        <v>1 USD = 98.5102 PKR</v>
      </c>
      <c r="H3896" s="9" t="str">
        <f ca="1">IFERROR(__xludf.DUMMYFUNCTION("""COMPUTED_VALUE"""),"USD PKR rate for 17/05/2013")</f>
        <v>USD PKR rate for 17/05/2013</v>
      </c>
      <c r="I3896" s="9"/>
    </row>
    <row r="3897" spans="1:9" ht="14.25" customHeight="1" x14ac:dyDescent="0.3">
      <c r="A3897" s="6">
        <v>43614</v>
      </c>
      <c r="B3897" s="7">
        <v>150.00060000000002</v>
      </c>
      <c r="C3897" s="8">
        <f t="shared" si="31"/>
        <v>158.52468044376084</v>
      </c>
      <c r="D3897" s="9">
        <f t="shared" si="30"/>
        <v>72.404726156487953</v>
      </c>
      <c r="E3897" s="9"/>
      <c r="F3897" s="9">
        <f ca="1">IFERROR(__xludf.DUMMYFUNCTION("""COMPUTED_VALUE"""),41410)</f>
        <v>41410</v>
      </c>
      <c r="G3897" s="9" t="str">
        <f ca="1">IFERROR(__xludf.DUMMYFUNCTION("""COMPUTED_VALUE"""),"1 USD = 98.5589 PKR")</f>
        <v>1 USD = 98.5589 PKR</v>
      </c>
      <c r="H3897" s="9" t="str">
        <f ca="1">IFERROR(__xludf.DUMMYFUNCTION("""COMPUTED_VALUE"""),"USD PKR rate for 16/05/2013")</f>
        <v>USD PKR rate for 16/05/2013</v>
      </c>
      <c r="I3897" s="9"/>
    </row>
    <row r="3898" spans="1:9" ht="14.25" customHeight="1" x14ac:dyDescent="0.3">
      <c r="A3898" s="6">
        <v>43615</v>
      </c>
      <c r="B3898" s="7">
        <v>151.0335</v>
      </c>
      <c r="C3898" s="8">
        <f t="shared" si="31"/>
        <v>158.55303254613725</v>
      </c>
      <c r="D3898" s="9">
        <f t="shared" si="30"/>
        <v>72.407463989285219</v>
      </c>
      <c r="E3898" s="9"/>
      <c r="F3898" s="9">
        <f ca="1">IFERROR(__xludf.DUMMYFUNCTION("""COMPUTED_VALUE"""),41409)</f>
        <v>41409</v>
      </c>
      <c r="G3898" s="9" t="str">
        <f ca="1">IFERROR(__xludf.DUMMYFUNCTION("""COMPUTED_VALUE"""),"1 USD = 98.5061 PKR")</f>
        <v>1 USD = 98.5061 PKR</v>
      </c>
      <c r="H3898" s="9" t="str">
        <f ca="1">IFERROR(__xludf.DUMMYFUNCTION("""COMPUTED_VALUE"""),"USD PKR rate for 15/05/2013")</f>
        <v>USD PKR rate for 15/05/2013</v>
      </c>
      <c r="I3898" s="9"/>
    </row>
    <row r="3899" spans="1:9" ht="14.25" customHeight="1" x14ac:dyDescent="0.3">
      <c r="A3899" s="6">
        <v>43616</v>
      </c>
      <c r="B3899" s="7">
        <v>146.8604</v>
      </c>
      <c r="C3899" s="8">
        <f t="shared" si="31"/>
        <v>158.58138971928059</v>
      </c>
      <c r="D3899" s="9">
        <f t="shared" si="30"/>
        <v>72.410201822082485</v>
      </c>
      <c r="E3899" s="9"/>
      <c r="F3899" s="9">
        <f ca="1">IFERROR(__xludf.DUMMYFUNCTION("""COMPUTED_VALUE"""),41408)</f>
        <v>41408</v>
      </c>
      <c r="G3899" s="9" t="str">
        <f ca="1">IFERROR(__xludf.DUMMYFUNCTION("""COMPUTED_VALUE"""),"1 USD = 98.7482 PKR")</f>
        <v>1 USD = 98.7482 PKR</v>
      </c>
      <c r="H3899" s="9" t="str">
        <f ca="1">IFERROR(__xludf.DUMMYFUNCTION("""COMPUTED_VALUE"""),"USD PKR rate for 14/05/2013")</f>
        <v>USD PKR rate for 14/05/2013</v>
      </c>
      <c r="I3899" s="9"/>
    </row>
    <row r="3900" spans="1:9" ht="14.25" customHeight="1" x14ac:dyDescent="0.3">
      <c r="A3900" s="6">
        <v>43617</v>
      </c>
      <c r="B3900" s="7">
        <v>146.8604</v>
      </c>
      <c r="C3900" s="8">
        <f t="shared" si="31"/>
        <v>158.60975196409782</v>
      </c>
      <c r="D3900" s="9">
        <f t="shared" si="30"/>
        <v>72.41293965487975</v>
      </c>
      <c r="E3900" s="9"/>
      <c r="F3900" s="9">
        <f ca="1">IFERROR(__xludf.DUMMYFUNCTION("""COMPUTED_VALUE"""),41407)</f>
        <v>41407</v>
      </c>
      <c r="G3900" s="9" t="str">
        <f ca="1">IFERROR(__xludf.DUMMYFUNCTION("""COMPUTED_VALUE"""),"1 USD = 98.6232 PKR")</f>
        <v>1 USD = 98.6232 PKR</v>
      </c>
      <c r="H3900" s="9" t="str">
        <f ca="1">IFERROR(__xludf.DUMMYFUNCTION("""COMPUTED_VALUE"""),"USD PKR rate for 13/05/2013")</f>
        <v>USD PKR rate for 13/05/2013</v>
      </c>
      <c r="I3900" s="9"/>
    </row>
    <row r="3901" spans="1:9" ht="14.25" customHeight="1" x14ac:dyDescent="0.3">
      <c r="A3901" s="6">
        <v>43618</v>
      </c>
      <c r="B3901" s="7">
        <v>146.30070000000001</v>
      </c>
      <c r="C3901" s="8">
        <f t="shared" si="31"/>
        <v>158.63811928149596</v>
      </c>
      <c r="D3901" s="9">
        <f t="shared" si="30"/>
        <v>72.415677487677016</v>
      </c>
      <c r="E3901" s="9"/>
      <c r="F3901" s="9">
        <f ca="1">IFERROR(__xludf.DUMMYFUNCTION("""COMPUTED_VALUE"""),41406)</f>
        <v>41406</v>
      </c>
      <c r="G3901" s="9" t="str">
        <f ca="1">IFERROR(__xludf.DUMMYFUNCTION("""COMPUTED_VALUE"""),"1 USD = 98.4402 PKR")</f>
        <v>1 USD = 98.4402 PKR</v>
      </c>
      <c r="H3901" s="9" t="str">
        <f ca="1">IFERROR(__xludf.DUMMYFUNCTION("""COMPUTED_VALUE"""),"USD PKR rate for 12/05/2013")</f>
        <v>USD PKR rate for 12/05/2013</v>
      </c>
      <c r="I3901" s="9"/>
    </row>
    <row r="3902" spans="1:9" ht="14.25" customHeight="1" x14ac:dyDescent="0.3">
      <c r="A3902" s="6">
        <v>43619</v>
      </c>
      <c r="B3902" s="7">
        <v>146.84610000000001</v>
      </c>
      <c r="C3902" s="8">
        <f t="shared" si="31"/>
        <v>158.66649167238222</v>
      </c>
      <c r="D3902" s="9">
        <f t="shared" si="30"/>
        <v>72.418415320474281</v>
      </c>
      <c r="E3902" s="9"/>
      <c r="F3902" s="9">
        <f ca="1">IFERROR(__xludf.DUMMYFUNCTION("""COMPUTED_VALUE"""),41405)</f>
        <v>41405</v>
      </c>
      <c r="G3902" s="9" t="str">
        <f ca="1">IFERROR(__xludf.DUMMYFUNCTION("""COMPUTED_VALUE"""),"1 USD = 98.3865 PKR")</f>
        <v>1 USD = 98.3865 PKR</v>
      </c>
      <c r="H3902" s="9" t="str">
        <f ca="1">IFERROR(__xludf.DUMMYFUNCTION("""COMPUTED_VALUE"""),"USD PKR rate for 11/05/2013")</f>
        <v>USD PKR rate for 11/05/2013</v>
      </c>
      <c r="I3902" s="9"/>
    </row>
    <row r="3903" spans="1:9" ht="14.25" customHeight="1" x14ac:dyDescent="0.3">
      <c r="A3903" s="6">
        <v>43620</v>
      </c>
      <c r="B3903" s="7">
        <v>147.45439999999999</v>
      </c>
      <c r="C3903" s="8">
        <f t="shared" si="31"/>
        <v>158.69486913766389</v>
      </c>
      <c r="D3903" s="9">
        <f t="shared" si="30"/>
        <v>72.421153153271547</v>
      </c>
      <c r="E3903" s="9"/>
      <c r="F3903" s="9">
        <f ca="1">IFERROR(__xludf.DUMMYFUNCTION("""COMPUTED_VALUE"""),41404)</f>
        <v>41404</v>
      </c>
      <c r="G3903" s="9" t="str">
        <f ca="1">IFERROR(__xludf.DUMMYFUNCTION("""COMPUTED_VALUE"""),"1 USD = 98.4159 PKR")</f>
        <v>1 USD = 98.4159 PKR</v>
      </c>
      <c r="H3903" s="9" t="str">
        <f ca="1">IFERROR(__xludf.DUMMYFUNCTION("""COMPUTED_VALUE"""),"USD PKR rate for 10/05/2013")</f>
        <v>USD PKR rate for 10/05/2013</v>
      </c>
      <c r="I3903" s="9"/>
    </row>
    <row r="3904" spans="1:9" ht="14.25" customHeight="1" x14ac:dyDescent="0.3">
      <c r="A3904" s="6">
        <v>43621</v>
      </c>
      <c r="B3904" s="7">
        <v>147.29050000000001</v>
      </c>
      <c r="C3904" s="8">
        <f t="shared" si="31"/>
        <v>158.7232516782488</v>
      </c>
      <c r="D3904" s="9">
        <f t="shared" si="30"/>
        <v>72.423890986068812</v>
      </c>
      <c r="E3904" s="9"/>
      <c r="F3904" s="9">
        <f ca="1">IFERROR(__xludf.DUMMYFUNCTION("""COMPUTED_VALUE"""),41403)</f>
        <v>41403</v>
      </c>
      <c r="G3904" s="9" t="str">
        <f ca="1">IFERROR(__xludf.DUMMYFUNCTION("""COMPUTED_VALUE"""),"1 USD = 98.621 PKR")</f>
        <v>1 USD = 98.621 PKR</v>
      </c>
      <c r="H3904" s="9" t="str">
        <f ca="1">IFERROR(__xludf.DUMMYFUNCTION("""COMPUTED_VALUE"""),"USD PKR rate for 09/05/2013")</f>
        <v>USD PKR rate for 09/05/2013</v>
      </c>
      <c r="I3904" s="9"/>
    </row>
    <row r="3905" spans="1:9" ht="14.25" customHeight="1" x14ac:dyDescent="0.3">
      <c r="A3905" s="6">
        <v>43622</v>
      </c>
      <c r="B3905" s="7">
        <v>147.53319999999999</v>
      </c>
      <c r="C3905" s="8">
        <f t="shared" si="31"/>
        <v>158.7516392950445</v>
      </c>
      <c r="D3905" s="9">
        <f t="shared" si="30"/>
        <v>72.426628818866078</v>
      </c>
      <c r="E3905" s="9"/>
      <c r="F3905" s="9">
        <f ca="1">IFERROR(__xludf.DUMMYFUNCTION("""COMPUTED_VALUE"""),41402)</f>
        <v>41402</v>
      </c>
      <c r="G3905" s="9" t="str">
        <f ca="1">IFERROR(__xludf.DUMMYFUNCTION("""COMPUTED_VALUE"""),"1 USD = 98.305 PKR")</f>
        <v>1 USD = 98.305 PKR</v>
      </c>
      <c r="H3905" s="9" t="str">
        <f ca="1">IFERROR(__xludf.DUMMYFUNCTION("""COMPUTED_VALUE"""),"USD PKR rate for 08/05/2013")</f>
        <v>USD PKR rate for 08/05/2013</v>
      </c>
      <c r="I3905" s="9"/>
    </row>
    <row r="3906" spans="1:9" ht="14.25" customHeight="1" x14ac:dyDescent="0.3">
      <c r="A3906" s="6">
        <v>43623</v>
      </c>
      <c r="B3906" s="7">
        <v>149.53980000000001</v>
      </c>
      <c r="C3906" s="8">
        <f t="shared" si="31"/>
        <v>158.78003198895891</v>
      </c>
      <c r="D3906" s="9">
        <f t="shared" si="30"/>
        <v>72.429366651663344</v>
      </c>
      <c r="E3906" s="9"/>
      <c r="F3906" s="9">
        <f ca="1">IFERROR(__xludf.DUMMYFUNCTION("""COMPUTED_VALUE"""),41401)</f>
        <v>41401</v>
      </c>
      <c r="G3906" s="9" t="str">
        <f ca="1">IFERROR(__xludf.DUMMYFUNCTION("""COMPUTED_VALUE"""),"1 USD = 98.508 PKR")</f>
        <v>1 USD = 98.508 PKR</v>
      </c>
      <c r="H3906" s="9" t="str">
        <f ca="1">IFERROR(__xludf.DUMMYFUNCTION("""COMPUTED_VALUE"""),"USD PKR rate for 07/05/2013")</f>
        <v>USD PKR rate for 07/05/2013</v>
      </c>
      <c r="I3906" s="9"/>
    </row>
    <row r="3907" spans="1:9" ht="14.25" customHeight="1" x14ac:dyDescent="0.3">
      <c r="A3907" s="6">
        <v>43624</v>
      </c>
      <c r="B3907" s="7">
        <v>149.53980000000001</v>
      </c>
      <c r="C3907" s="8">
        <f t="shared" si="31"/>
        <v>158.80842976090003</v>
      </c>
      <c r="D3907" s="9">
        <f t="shared" si="30"/>
        <v>72.432104484460609</v>
      </c>
      <c r="E3907" s="9"/>
      <c r="F3907" s="9">
        <f ca="1">IFERROR(__xludf.DUMMYFUNCTION("""COMPUTED_VALUE"""),41400)</f>
        <v>41400</v>
      </c>
      <c r="G3907" s="9" t="str">
        <f ca="1">IFERROR(__xludf.DUMMYFUNCTION("""COMPUTED_VALUE"""),"1 USD = 98.4329 PKR")</f>
        <v>1 USD = 98.4329 PKR</v>
      </c>
      <c r="H3907" s="9" t="str">
        <f ca="1">IFERROR(__xludf.DUMMYFUNCTION("""COMPUTED_VALUE"""),"USD PKR rate for 06/05/2013")</f>
        <v>USD PKR rate for 06/05/2013</v>
      </c>
      <c r="I3907" s="9"/>
    </row>
    <row r="3908" spans="1:9" ht="14.25" customHeight="1" x14ac:dyDescent="0.3">
      <c r="A3908" s="6">
        <v>43625</v>
      </c>
      <c r="B3908" s="7">
        <v>147.7047</v>
      </c>
      <c r="C3908" s="8">
        <f t="shared" si="31"/>
        <v>158.83683261177609</v>
      </c>
      <c r="D3908" s="9">
        <f t="shared" si="30"/>
        <v>72.434842317257875</v>
      </c>
      <c r="E3908" s="9"/>
      <c r="F3908" s="9">
        <f ca="1">IFERROR(__xludf.DUMMYFUNCTION("""COMPUTED_VALUE"""),41399)</f>
        <v>41399</v>
      </c>
      <c r="G3908" s="9" t="str">
        <f ca="1">IFERROR(__xludf.DUMMYFUNCTION("""COMPUTED_VALUE"""),"1 USD = 98.3519 PKR")</f>
        <v>1 USD = 98.3519 PKR</v>
      </c>
      <c r="H3908" s="9" t="str">
        <f ca="1">IFERROR(__xludf.DUMMYFUNCTION("""COMPUTED_VALUE"""),"USD PKR rate for 05/05/2013")</f>
        <v>USD PKR rate for 05/05/2013</v>
      </c>
      <c r="I3908" s="9"/>
    </row>
    <row r="3909" spans="1:9" ht="14.25" customHeight="1" x14ac:dyDescent="0.3">
      <c r="A3909" s="6">
        <v>43626</v>
      </c>
      <c r="B3909" s="7">
        <v>150.66730000000001</v>
      </c>
      <c r="C3909" s="8">
        <f t="shared" si="31"/>
        <v>158.86524054249546</v>
      </c>
      <c r="D3909" s="9">
        <f t="shared" si="30"/>
        <v>72.43758015005514</v>
      </c>
      <c r="E3909" s="9"/>
      <c r="F3909" s="9">
        <f ca="1">IFERROR(__xludf.DUMMYFUNCTION("""COMPUTED_VALUE"""),41398)</f>
        <v>41398</v>
      </c>
      <c r="G3909" s="9" t="str">
        <f ca="1">IFERROR(__xludf.DUMMYFUNCTION("""COMPUTED_VALUE"""),"1 USD = 98.3602 PKR")</f>
        <v>1 USD = 98.3602 PKR</v>
      </c>
      <c r="H3909" s="9" t="str">
        <f ca="1">IFERROR(__xludf.DUMMYFUNCTION("""COMPUTED_VALUE"""),"USD PKR rate for 04/05/2013")</f>
        <v>USD PKR rate for 04/05/2013</v>
      </c>
      <c r="I3909" s="9"/>
    </row>
    <row r="3910" spans="1:9" ht="14.25" customHeight="1" x14ac:dyDescent="0.3">
      <c r="A3910" s="6">
        <v>43627</v>
      </c>
      <c r="B3910" s="7">
        <v>151.38</v>
      </c>
      <c r="C3910" s="8">
        <f t="shared" si="31"/>
        <v>158.89365355396666</v>
      </c>
      <c r="D3910" s="9">
        <f t="shared" si="30"/>
        <v>72.440317982852406</v>
      </c>
      <c r="E3910" s="9"/>
      <c r="F3910" s="9">
        <f ca="1">IFERROR(__xludf.DUMMYFUNCTION("""COMPUTED_VALUE"""),41397)</f>
        <v>41397</v>
      </c>
      <c r="G3910" s="9" t="str">
        <f ca="1">IFERROR(__xludf.DUMMYFUNCTION("""COMPUTED_VALUE"""),"1 USD = 98.2589 PKR")</f>
        <v>1 USD = 98.2589 PKR</v>
      </c>
      <c r="H3910" s="9" t="str">
        <f ca="1">IFERROR(__xludf.DUMMYFUNCTION("""COMPUTED_VALUE"""),"USD PKR rate for 03/05/2013")</f>
        <v>USD PKR rate for 03/05/2013</v>
      </c>
      <c r="I3910" s="9"/>
    </row>
    <row r="3911" spans="1:9" ht="14.25" customHeight="1" x14ac:dyDescent="0.3">
      <c r="A3911" s="6">
        <v>43628</v>
      </c>
      <c r="B3911" s="7">
        <v>151.51439999999999</v>
      </c>
      <c r="C3911" s="8">
        <f t="shared" si="31"/>
        <v>158.92207164709836</v>
      </c>
      <c r="D3911" s="9">
        <f t="shared" si="30"/>
        <v>72.443055815649672</v>
      </c>
      <c r="E3911" s="9"/>
      <c r="F3911" s="9">
        <f ca="1">IFERROR(__xludf.DUMMYFUNCTION("""COMPUTED_VALUE"""),41396)</f>
        <v>41396</v>
      </c>
      <c r="G3911" s="9" t="str">
        <f ca="1">IFERROR(__xludf.DUMMYFUNCTION("""COMPUTED_VALUE"""),"1 USD = 98.2952 PKR")</f>
        <v>1 USD = 98.2952 PKR</v>
      </c>
      <c r="H3911" s="9" t="str">
        <f ca="1">IFERROR(__xludf.DUMMYFUNCTION("""COMPUTED_VALUE"""),"USD PKR rate for 02/05/2013")</f>
        <v>USD PKR rate for 02/05/2013</v>
      </c>
      <c r="I3911" s="9"/>
    </row>
    <row r="3912" spans="1:9" ht="14.25" customHeight="1" x14ac:dyDescent="0.3">
      <c r="A3912" s="6">
        <v>43629</v>
      </c>
      <c r="B3912" s="7">
        <v>151.9958</v>
      </c>
      <c r="C3912" s="8">
        <f t="shared" si="31"/>
        <v>158.9504948227993</v>
      </c>
      <c r="D3912" s="9">
        <f t="shared" si="30"/>
        <v>72.445793648446937</v>
      </c>
      <c r="E3912" s="9"/>
      <c r="F3912" s="9">
        <f ca="1">IFERROR(__xludf.DUMMYFUNCTION("""COMPUTED_VALUE"""),41395)</f>
        <v>41395</v>
      </c>
      <c r="G3912" s="9" t="str">
        <f ca="1">IFERROR(__xludf.DUMMYFUNCTION("""COMPUTED_VALUE"""),"1 USD = 98.4176 PKR")</f>
        <v>1 USD = 98.4176 PKR</v>
      </c>
      <c r="H3912" s="9" t="str">
        <f ca="1">IFERROR(__xludf.DUMMYFUNCTION("""COMPUTED_VALUE"""),"USD PKR rate for 01/05/2013")</f>
        <v>USD PKR rate for 01/05/2013</v>
      </c>
      <c r="I3912" s="9"/>
    </row>
    <row r="3913" spans="1:9" ht="14.25" customHeight="1" x14ac:dyDescent="0.3">
      <c r="A3913" s="6">
        <v>43630</v>
      </c>
      <c r="B3913" s="7">
        <v>153.49959999999999</v>
      </c>
      <c r="C3913" s="8">
        <f t="shared" si="31"/>
        <v>158.97892308197876</v>
      </c>
      <c r="D3913" s="9">
        <f t="shared" si="30"/>
        <v>72.448531481244203</v>
      </c>
      <c r="E3913" s="9"/>
      <c r="F3913" s="9">
        <f ca="1">IFERROR(__xludf.DUMMYFUNCTION("""COMPUTED_VALUE"""),41394)</f>
        <v>41394</v>
      </c>
      <c r="G3913" s="9" t="str">
        <f ca="1">IFERROR(__xludf.DUMMYFUNCTION("""COMPUTED_VALUE"""),"1 USD = 98.2404 PKR")</f>
        <v>1 USD = 98.2404 PKR</v>
      </c>
      <c r="H3913" s="9" t="str">
        <f ca="1">IFERROR(__xludf.DUMMYFUNCTION("""COMPUTED_VALUE"""),"USD PKR rate for 30/04/2013")</f>
        <v>USD PKR rate for 30/04/2013</v>
      </c>
      <c r="I3913" s="9"/>
    </row>
    <row r="3914" spans="1:9" ht="14.25" customHeight="1" x14ac:dyDescent="0.3">
      <c r="A3914" s="6">
        <v>43631</v>
      </c>
      <c r="B3914" s="7">
        <v>153.4999</v>
      </c>
      <c r="C3914" s="8">
        <f t="shared" si="31"/>
        <v>159.00735642554582</v>
      </c>
      <c r="D3914" s="9">
        <f t="shared" si="30"/>
        <v>72.451269314041468</v>
      </c>
      <c r="E3914" s="9"/>
      <c r="F3914" s="9">
        <f ca="1">IFERROR(__xludf.DUMMYFUNCTION("""COMPUTED_VALUE"""),41393)</f>
        <v>41393</v>
      </c>
      <c r="G3914" s="9" t="str">
        <f ca="1">IFERROR(__xludf.DUMMYFUNCTION("""COMPUTED_VALUE"""),"1 USD = 98.4433 PKR")</f>
        <v>1 USD = 98.4433 PKR</v>
      </c>
      <c r="H3914" s="9" t="str">
        <f ca="1">IFERROR(__xludf.DUMMYFUNCTION("""COMPUTED_VALUE"""),"USD PKR rate for 29/04/2013")</f>
        <v>USD PKR rate for 29/04/2013</v>
      </c>
      <c r="I3914" s="9"/>
    </row>
    <row r="3915" spans="1:9" ht="14.25" customHeight="1" x14ac:dyDescent="0.3">
      <c r="A3915" s="6">
        <v>43632</v>
      </c>
      <c r="B3915" s="7">
        <v>153.5035</v>
      </c>
      <c r="C3915" s="8">
        <f t="shared" si="31"/>
        <v>159.0357948544098</v>
      </c>
      <c r="D3915" s="9">
        <f t="shared" si="30"/>
        <v>72.454007146838734</v>
      </c>
      <c r="E3915" s="9"/>
      <c r="F3915" s="9">
        <f ca="1">IFERROR(__xludf.DUMMYFUNCTION("""COMPUTED_VALUE"""),41392)</f>
        <v>41392</v>
      </c>
      <c r="G3915" s="9" t="str">
        <f ca="1">IFERROR(__xludf.DUMMYFUNCTION("""COMPUTED_VALUE"""),"1 USD = 98.263 PKR")</f>
        <v>1 USD = 98.263 PKR</v>
      </c>
      <c r="H3915" s="9" t="str">
        <f ca="1">IFERROR(__xludf.DUMMYFUNCTION("""COMPUTED_VALUE"""),"USD PKR rate for 28/04/2013")</f>
        <v>USD PKR rate for 28/04/2013</v>
      </c>
      <c r="I3915" s="9"/>
    </row>
    <row r="3916" spans="1:9" ht="14.25" customHeight="1" x14ac:dyDescent="0.3">
      <c r="A3916" s="6">
        <v>43633</v>
      </c>
      <c r="B3916" s="7">
        <v>156.8768</v>
      </c>
      <c r="C3916" s="8">
        <f t="shared" si="31"/>
        <v>159.06423836948017</v>
      </c>
      <c r="D3916" s="9">
        <f t="shared" si="30"/>
        <v>72.456744979635999</v>
      </c>
      <c r="E3916" s="9"/>
      <c r="F3916" s="9">
        <f ca="1">IFERROR(__xludf.DUMMYFUNCTION("""COMPUTED_VALUE"""),41391)</f>
        <v>41391</v>
      </c>
      <c r="G3916" s="9" t="str">
        <f ca="1">IFERROR(__xludf.DUMMYFUNCTION("""COMPUTED_VALUE"""),"1 USD = 98.4796 PKR")</f>
        <v>1 USD = 98.4796 PKR</v>
      </c>
      <c r="H3916" s="9" t="str">
        <f ca="1">IFERROR(__xludf.DUMMYFUNCTION("""COMPUTED_VALUE"""),"USD PKR rate for 27/04/2013")</f>
        <v>USD PKR rate for 27/04/2013</v>
      </c>
      <c r="I3916" s="9"/>
    </row>
    <row r="3917" spans="1:9" ht="14.25" customHeight="1" x14ac:dyDescent="0.3">
      <c r="A3917" s="6">
        <v>43634</v>
      </c>
      <c r="B3917" s="7">
        <v>157.0838</v>
      </c>
      <c r="C3917" s="8">
        <f t="shared" si="31"/>
        <v>159.09268697166661</v>
      </c>
      <c r="D3917" s="9">
        <f t="shared" si="30"/>
        <v>72.459482812433265</v>
      </c>
      <c r="E3917" s="9"/>
      <c r="F3917" s="9">
        <f ca="1">IFERROR(__xludf.DUMMYFUNCTION("""COMPUTED_VALUE"""),41390)</f>
        <v>41390</v>
      </c>
      <c r="G3917" s="9" t="str">
        <f ca="1">IFERROR(__xludf.DUMMYFUNCTION("""COMPUTED_VALUE"""),"1 USD = 98.4244 PKR")</f>
        <v>1 USD = 98.4244 PKR</v>
      </c>
      <c r="H3917" s="9" t="str">
        <f ca="1">IFERROR(__xludf.DUMMYFUNCTION("""COMPUTED_VALUE"""),"USD PKR rate for 26/04/2013")</f>
        <v>USD PKR rate for 26/04/2013</v>
      </c>
      <c r="I3917" s="9"/>
    </row>
    <row r="3918" spans="1:9" ht="14.25" customHeight="1" x14ac:dyDescent="0.3">
      <c r="A3918" s="6">
        <v>43635</v>
      </c>
      <c r="B3918" s="7">
        <v>157.07069999999999</v>
      </c>
      <c r="C3918" s="8">
        <f t="shared" si="31"/>
        <v>159.12114066187897</v>
      </c>
      <c r="D3918" s="9">
        <f t="shared" si="30"/>
        <v>72.462220645230531</v>
      </c>
      <c r="E3918" s="9"/>
      <c r="F3918" s="9">
        <f ca="1">IFERROR(__xludf.DUMMYFUNCTION("""COMPUTED_VALUE"""),41389)</f>
        <v>41389</v>
      </c>
      <c r="G3918" s="9" t="str">
        <f ca="1">IFERROR(__xludf.DUMMYFUNCTION("""COMPUTED_VALUE"""),"1 USD = 98.5276 PKR")</f>
        <v>1 USD = 98.5276 PKR</v>
      </c>
      <c r="H3918" s="9" t="str">
        <f ca="1">IFERROR(__xludf.DUMMYFUNCTION("""COMPUTED_VALUE"""),"USD PKR rate for 25/04/2013")</f>
        <v>USD PKR rate for 25/04/2013</v>
      </c>
      <c r="I3918" s="9"/>
    </row>
    <row r="3919" spans="1:9" ht="14.25" customHeight="1" x14ac:dyDescent="0.3">
      <c r="A3919" s="6">
        <v>43636</v>
      </c>
      <c r="B3919" s="7">
        <v>157.07150000000001</v>
      </c>
      <c r="C3919" s="8">
        <f t="shared" si="31"/>
        <v>159.14959944102725</v>
      </c>
      <c r="D3919" s="9">
        <f t="shared" si="30"/>
        <v>72.464958478027796</v>
      </c>
      <c r="E3919" s="9"/>
      <c r="F3919" s="9">
        <f ca="1">IFERROR(__xludf.DUMMYFUNCTION("""COMPUTED_VALUE"""),41388)</f>
        <v>41388</v>
      </c>
      <c r="G3919" s="9" t="str">
        <f ca="1">IFERROR(__xludf.DUMMYFUNCTION("""COMPUTED_VALUE"""),"1 USD = 98.3793 PKR")</f>
        <v>1 USD = 98.3793 PKR</v>
      </c>
      <c r="H3919" s="9" t="str">
        <f ca="1">IFERROR(__xludf.DUMMYFUNCTION("""COMPUTED_VALUE"""),"USD PKR rate for 24/04/2013")</f>
        <v>USD PKR rate for 24/04/2013</v>
      </c>
      <c r="I3919" s="9"/>
    </row>
    <row r="3920" spans="1:9" ht="14.25" customHeight="1" x14ac:dyDescent="0.3">
      <c r="A3920" s="6">
        <v>43637</v>
      </c>
      <c r="B3920" s="7">
        <v>157.14019999999999</v>
      </c>
      <c r="C3920" s="8">
        <f t="shared" si="31"/>
        <v>159.17806331002157</v>
      </c>
      <c r="D3920" s="9">
        <f t="shared" si="30"/>
        <v>72.467696310825062</v>
      </c>
      <c r="E3920" s="9"/>
      <c r="F3920" s="9">
        <f ca="1">IFERROR(__xludf.DUMMYFUNCTION("""COMPUTED_VALUE"""),41387)</f>
        <v>41387</v>
      </c>
      <c r="G3920" s="9" t="str">
        <f ca="1">IFERROR(__xludf.DUMMYFUNCTION("""COMPUTED_VALUE"""),"1 USD = 98.3896 PKR")</f>
        <v>1 USD = 98.3896 PKR</v>
      </c>
      <c r="H3920" s="9" t="str">
        <f ca="1">IFERROR(__xludf.DUMMYFUNCTION("""COMPUTED_VALUE"""),"USD PKR rate for 23/04/2013")</f>
        <v>USD PKR rate for 23/04/2013</v>
      </c>
      <c r="I3920" s="9"/>
    </row>
    <row r="3921" spans="1:9" ht="14.25" customHeight="1" x14ac:dyDescent="0.3">
      <c r="A3921" s="6">
        <v>43638</v>
      </c>
      <c r="B3921" s="7">
        <v>157.14019999999999</v>
      </c>
      <c r="C3921" s="8">
        <f t="shared" si="31"/>
        <v>159.20653226977211</v>
      </c>
      <c r="D3921" s="9">
        <f t="shared" si="30"/>
        <v>72.470434143622327</v>
      </c>
      <c r="E3921" s="9"/>
      <c r="F3921" s="9">
        <f ca="1">IFERROR(__xludf.DUMMYFUNCTION("""COMPUTED_VALUE"""),41386)</f>
        <v>41386</v>
      </c>
      <c r="G3921" s="9" t="str">
        <f ca="1">IFERROR(__xludf.DUMMYFUNCTION("""COMPUTED_VALUE"""),"1 USD = 98.3665 PKR")</f>
        <v>1 USD = 98.3665 PKR</v>
      </c>
      <c r="H3921" s="9" t="str">
        <f ca="1">IFERROR(__xludf.DUMMYFUNCTION("""COMPUTED_VALUE"""),"USD PKR rate for 22/04/2013")</f>
        <v>USD PKR rate for 22/04/2013</v>
      </c>
      <c r="I3921" s="9"/>
    </row>
    <row r="3922" spans="1:9" ht="14.25" customHeight="1" x14ac:dyDescent="0.3">
      <c r="A3922" s="6">
        <v>43639</v>
      </c>
      <c r="B3922" s="7">
        <v>157.16329999999999</v>
      </c>
      <c r="C3922" s="8">
        <f t="shared" si="31"/>
        <v>159.23500632118967</v>
      </c>
      <c r="D3922" s="9">
        <f t="shared" si="30"/>
        <v>72.473171976419593</v>
      </c>
      <c r="E3922" s="9"/>
      <c r="F3922" s="9">
        <f ca="1">IFERROR(__xludf.DUMMYFUNCTION("""COMPUTED_VALUE"""),41385)</f>
        <v>41385</v>
      </c>
      <c r="G3922" s="9" t="str">
        <f ca="1">IFERROR(__xludf.DUMMYFUNCTION("""COMPUTED_VALUE"""),"1 USD = 98.4407 PKR")</f>
        <v>1 USD = 98.4407 PKR</v>
      </c>
      <c r="H3922" s="9" t="str">
        <f ca="1">IFERROR(__xludf.DUMMYFUNCTION("""COMPUTED_VALUE"""),"USD PKR rate for 21/04/2013")</f>
        <v>USD PKR rate for 21/04/2013</v>
      </c>
      <c r="I3922" s="9"/>
    </row>
    <row r="3923" spans="1:9" ht="14.25" customHeight="1" x14ac:dyDescent="0.3">
      <c r="A3923" s="6">
        <v>43640</v>
      </c>
      <c r="B3923" s="7">
        <v>157.24860000000001</v>
      </c>
      <c r="C3923" s="8">
        <f t="shared" si="31"/>
        <v>159.26348546518471</v>
      </c>
      <c r="D3923" s="9">
        <f t="shared" si="30"/>
        <v>72.475909809216859</v>
      </c>
      <c r="E3923" s="9"/>
      <c r="F3923" s="9">
        <f ca="1">IFERROR(__xludf.DUMMYFUNCTION("""COMPUTED_VALUE"""),41384)</f>
        <v>41384</v>
      </c>
      <c r="G3923" s="9" t="str">
        <f ca="1">IFERROR(__xludf.DUMMYFUNCTION("""COMPUTED_VALUE"""),"1 USD = 98.404 PKR")</f>
        <v>1 USD = 98.404 PKR</v>
      </c>
      <c r="H3923" s="9" t="str">
        <f ca="1">IFERROR(__xludf.DUMMYFUNCTION("""COMPUTED_VALUE"""),"USD PKR rate for 20/04/2013")</f>
        <v>USD PKR rate for 20/04/2013</v>
      </c>
      <c r="I3923" s="9"/>
    </row>
    <row r="3924" spans="1:9" ht="14.25" customHeight="1" x14ac:dyDescent="0.3">
      <c r="A3924" s="6">
        <v>43641</v>
      </c>
      <c r="B3924" s="7">
        <v>157.24940000000001</v>
      </c>
      <c r="C3924" s="8">
        <f t="shared" si="31"/>
        <v>159.2919697026681</v>
      </c>
      <c r="D3924" s="9">
        <f t="shared" si="30"/>
        <v>72.478647642014124</v>
      </c>
      <c r="E3924" s="9"/>
      <c r="F3924" s="9">
        <f ca="1">IFERROR(__xludf.DUMMYFUNCTION("""COMPUTED_VALUE"""),41383)</f>
        <v>41383</v>
      </c>
      <c r="G3924" s="9" t="str">
        <f ca="1">IFERROR(__xludf.DUMMYFUNCTION("""COMPUTED_VALUE"""),"1 USD = 98.4941 PKR")</f>
        <v>1 USD = 98.4941 PKR</v>
      </c>
      <c r="H3924" s="9" t="str">
        <f ca="1">IFERROR(__xludf.DUMMYFUNCTION("""COMPUTED_VALUE"""),"USD PKR rate for 19/04/2013")</f>
        <v>USD PKR rate for 19/04/2013</v>
      </c>
      <c r="I3924" s="9"/>
    </row>
    <row r="3925" spans="1:9" ht="14.25" customHeight="1" x14ac:dyDescent="0.3">
      <c r="A3925" s="6">
        <v>43642</v>
      </c>
      <c r="B3925" s="7">
        <v>156.95000000000002</v>
      </c>
      <c r="C3925" s="8">
        <f t="shared" si="31"/>
        <v>159.32045903455074</v>
      </c>
      <c r="D3925" s="9">
        <f t="shared" si="30"/>
        <v>72.48138547481139</v>
      </c>
      <c r="E3925" s="9"/>
      <c r="F3925" s="9">
        <f ca="1">IFERROR(__xludf.DUMMYFUNCTION("""COMPUTED_VALUE"""),41382)</f>
        <v>41382</v>
      </c>
      <c r="G3925" s="9" t="str">
        <f ca="1">IFERROR(__xludf.DUMMYFUNCTION("""COMPUTED_VALUE"""),"1 USD = 98.4386 PKR")</f>
        <v>1 USD = 98.4386 PKR</v>
      </c>
      <c r="H3925" s="9" t="str">
        <f ca="1">IFERROR(__xludf.DUMMYFUNCTION("""COMPUTED_VALUE"""),"USD PKR rate for 18/04/2013")</f>
        <v>USD PKR rate for 18/04/2013</v>
      </c>
      <c r="I3925" s="9"/>
    </row>
    <row r="3926" spans="1:9" ht="14.25" customHeight="1" x14ac:dyDescent="0.3">
      <c r="A3926" s="6">
        <v>43643</v>
      </c>
      <c r="B3926" s="7">
        <v>160.90100000000001</v>
      </c>
      <c r="C3926" s="8">
        <f t="shared" si="31"/>
        <v>159.34895346174378</v>
      </c>
      <c r="D3926" s="9">
        <f t="shared" si="30"/>
        <v>72.484123307608655</v>
      </c>
      <c r="E3926" s="9"/>
      <c r="F3926" s="9">
        <f ca="1">IFERROR(__xludf.DUMMYFUNCTION("""COMPUTED_VALUE"""),41381)</f>
        <v>41381</v>
      </c>
      <c r="G3926" s="9" t="str">
        <f ca="1">IFERROR(__xludf.DUMMYFUNCTION("""COMPUTED_VALUE"""),"1 USD = 98.6504 PKR")</f>
        <v>1 USD = 98.6504 PKR</v>
      </c>
      <c r="H3926" s="9" t="str">
        <f ca="1">IFERROR(__xludf.DUMMYFUNCTION("""COMPUTED_VALUE"""),"USD PKR rate for 17/04/2013")</f>
        <v>USD PKR rate for 17/04/2013</v>
      </c>
      <c r="I3926" s="9"/>
    </row>
    <row r="3927" spans="1:9" ht="14.25" customHeight="1" x14ac:dyDescent="0.3">
      <c r="A3927" s="6">
        <v>43644</v>
      </c>
      <c r="B3927" s="7">
        <v>163.00040000000001</v>
      </c>
      <c r="C3927" s="8">
        <f t="shared" si="31"/>
        <v>159.37745298515856</v>
      </c>
      <c r="D3927" s="9">
        <f t="shared" si="30"/>
        <v>72.486861140405921</v>
      </c>
      <c r="E3927" s="9"/>
      <c r="F3927" s="9">
        <f ca="1">IFERROR(__xludf.DUMMYFUNCTION("""COMPUTED_VALUE"""),41380)</f>
        <v>41380</v>
      </c>
      <c r="G3927" s="9" t="str">
        <f ca="1">IFERROR(__xludf.DUMMYFUNCTION("""COMPUTED_VALUE"""),"1 USD = 98.1291 PKR")</f>
        <v>1 USD = 98.1291 PKR</v>
      </c>
      <c r="H3927" s="9" t="str">
        <f ca="1">IFERROR(__xludf.DUMMYFUNCTION("""COMPUTED_VALUE"""),"USD PKR rate for 16/04/2013")</f>
        <v>USD PKR rate for 16/04/2013</v>
      </c>
      <c r="I3927" s="9"/>
    </row>
    <row r="3928" spans="1:9" ht="14.25" customHeight="1" x14ac:dyDescent="0.3">
      <c r="A3928" s="6">
        <v>43645</v>
      </c>
      <c r="B3928" s="7">
        <v>163.00040000000001</v>
      </c>
      <c r="C3928" s="8">
        <f t="shared" si="31"/>
        <v>159.40595760570645</v>
      </c>
      <c r="D3928" s="9">
        <f t="shared" si="30"/>
        <v>72.489598973203186</v>
      </c>
      <c r="E3928" s="9"/>
      <c r="F3928" s="9">
        <f ca="1">IFERROR(__xludf.DUMMYFUNCTION("""COMPUTED_VALUE"""),41379)</f>
        <v>41379</v>
      </c>
      <c r="G3928" s="9" t="str">
        <f ca="1">IFERROR(__xludf.DUMMYFUNCTION("""COMPUTED_VALUE"""),"1 USD = 98.2685 PKR")</f>
        <v>1 USD = 98.2685 PKR</v>
      </c>
      <c r="H3928" s="9" t="str">
        <f ca="1">IFERROR(__xludf.DUMMYFUNCTION("""COMPUTED_VALUE"""),"USD PKR rate for 15/04/2013")</f>
        <v>USD PKR rate for 15/04/2013</v>
      </c>
      <c r="I3928" s="9"/>
    </row>
    <row r="3929" spans="1:9" ht="14.25" customHeight="1" x14ac:dyDescent="0.3">
      <c r="A3929" s="6">
        <v>43646</v>
      </c>
      <c r="B3929" s="7">
        <v>163.7568</v>
      </c>
      <c r="C3929" s="8">
        <f t="shared" si="31"/>
        <v>159.43446732429913</v>
      </c>
      <c r="D3929" s="9">
        <f t="shared" si="30"/>
        <v>72.492336806000452</v>
      </c>
      <c r="E3929" s="9"/>
      <c r="F3929" s="9">
        <f ca="1">IFERROR(__xludf.DUMMYFUNCTION("""COMPUTED_VALUE"""),41378)</f>
        <v>41378</v>
      </c>
      <c r="G3929" s="9" t="str">
        <f ca="1">IFERROR(__xludf.DUMMYFUNCTION("""COMPUTED_VALUE"""),"1 USD = 98.0532 PKR")</f>
        <v>1 USD = 98.0532 PKR</v>
      </c>
      <c r="H3929" s="9" t="str">
        <f ca="1">IFERROR(__xludf.DUMMYFUNCTION("""COMPUTED_VALUE"""),"USD PKR rate for 14/04/2013")</f>
        <v>USD PKR rate for 14/04/2013</v>
      </c>
      <c r="I3929" s="9"/>
    </row>
    <row r="3930" spans="1:9" ht="14.25" customHeight="1" x14ac:dyDescent="0.3">
      <c r="A3930" s="6">
        <v>43647</v>
      </c>
      <c r="B3930" s="7">
        <v>162.3038</v>
      </c>
      <c r="C3930" s="8">
        <f t="shared" si="31"/>
        <v>159.46298214184827</v>
      </c>
      <c r="D3930" s="9">
        <f t="shared" si="30"/>
        <v>72.495074638797718</v>
      </c>
      <c r="E3930" s="9"/>
      <c r="F3930" s="9">
        <f ca="1">IFERROR(__xludf.DUMMYFUNCTION("""COMPUTED_VALUE"""),41377)</f>
        <v>41377</v>
      </c>
      <c r="G3930" s="9" t="str">
        <f ca="1">IFERROR(__xludf.DUMMYFUNCTION("""COMPUTED_VALUE"""),"1 USD = 98.2361 PKR")</f>
        <v>1 USD = 98.2361 PKR</v>
      </c>
      <c r="H3930" s="9" t="str">
        <f ca="1">IFERROR(__xludf.DUMMYFUNCTION("""COMPUTED_VALUE"""),"USD PKR rate for 13/04/2013")</f>
        <v>USD PKR rate for 13/04/2013</v>
      </c>
      <c r="I3930" s="9"/>
    </row>
    <row r="3931" spans="1:9" ht="14.25" customHeight="1" x14ac:dyDescent="0.3">
      <c r="A3931" s="6">
        <v>43648</v>
      </c>
      <c r="B3931" s="7">
        <v>156.49879999999999</v>
      </c>
      <c r="C3931" s="8">
        <f t="shared" si="31"/>
        <v>159.49150205926605</v>
      </c>
      <c r="D3931" s="9">
        <f t="shared" si="30"/>
        <v>72.497812471594983</v>
      </c>
      <c r="E3931" s="9"/>
      <c r="F3931" s="9">
        <f ca="1">IFERROR(__xludf.DUMMYFUNCTION("""COMPUTED_VALUE"""),41376)</f>
        <v>41376</v>
      </c>
      <c r="G3931" s="9" t="str">
        <f ca="1">IFERROR(__xludf.DUMMYFUNCTION("""COMPUTED_VALUE"""),"1 USD = 98.2412 PKR")</f>
        <v>1 USD = 98.2412 PKR</v>
      </c>
      <c r="H3931" s="9" t="str">
        <f ca="1">IFERROR(__xludf.DUMMYFUNCTION("""COMPUTED_VALUE"""),"USD PKR rate for 12/04/2013")</f>
        <v>USD PKR rate for 12/04/2013</v>
      </c>
      <c r="I3931" s="9"/>
    </row>
    <row r="3932" spans="1:9" ht="14.25" customHeight="1" x14ac:dyDescent="0.3">
      <c r="A3932" s="6">
        <v>43649</v>
      </c>
      <c r="B3932" s="7">
        <v>158.61869999999999</v>
      </c>
      <c r="C3932" s="8">
        <f t="shared" si="31"/>
        <v>159.52002707746445</v>
      </c>
      <c r="D3932" s="9">
        <f t="shared" si="30"/>
        <v>72.500550304392249</v>
      </c>
      <c r="E3932" s="9"/>
      <c r="F3932" s="9">
        <f ca="1">IFERROR(__xludf.DUMMYFUNCTION("""COMPUTED_VALUE"""),41375)</f>
        <v>41375</v>
      </c>
      <c r="G3932" s="9" t="str">
        <f ca="1">IFERROR(__xludf.DUMMYFUNCTION("""COMPUTED_VALUE"""),"1 USD = 98.2466 PKR")</f>
        <v>1 USD = 98.2466 PKR</v>
      </c>
      <c r="H3932" s="9" t="str">
        <f ca="1">IFERROR(__xludf.DUMMYFUNCTION("""COMPUTED_VALUE"""),"USD PKR rate for 11/04/2013")</f>
        <v>USD PKR rate for 11/04/2013</v>
      </c>
      <c r="I3932" s="9"/>
    </row>
    <row r="3933" spans="1:9" ht="14.25" customHeight="1" x14ac:dyDescent="0.3">
      <c r="A3933" s="6">
        <v>43650</v>
      </c>
      <c r="B3933" s="7">
        <v>158.06809999999999</v>
      </c>
      <c r="C3933" s="8">
        <f t="shared" si="31"/>
        <v>159.54855719735573</v>
      </c>
      <c r="D3933" s="9">
        <f t="shared" si="30"/>
        <v>72.503288137189514</v>
      </c>
      <c r="E3933" s="9"/>
      <c r="F3933" s="9">
        <f ca="1">IFERROR(__xludf.DUMMYFUNCTION("""COMPUTED_VALUE"""),41374)</f>
        <v>41374</v>
      </c>
      <c r="G3933" s="9" t="str">
        <f ca="1">IFERROR(__xludf.DUMMYFUNCTION("""COMPUTED_VALUE"""),"1 USD = 98.3671 PKR")</f>
        <v>1 USD = 98.3671 PKR</v>
      </c>
      <c r="H3933" s="9" t="str">
        <f ca="1">IFERROR(__xludf.DUMMYFUNCTION("""COMPUTED_VALUE"""),"USD PKR rate for 10/04/2013")</f>
        <v>USD PKR rate for 10/04/2013</v>
      </c>
      <c r="I3933" s="9"/>
    </row>
    <row r="3934" spans="1:9" ht="14.25" customHeight="1" x14ac:dyDescent="0.3">
      <c r="A3934" s="6">
        <v>43651</v>
      </c>
      <c r="B3934" s="7">
        <v>156.9006</v>
      </c>
      <c r="C3934" s="8">
        <f t="shared" si="31"/>
        <v>159.57709241985236</v>
      </c>
      <c r="D3934" s="9">
        <f t="shared" si="30"/>
        <v>72.50602596998678</v>
      </c>
      <c r="E3934" s="9"/>
      <c r="F3934" s="9">
        <f ca="1">IFERROR(__xludf.DUMMYFUNCTION("""COMPUTED_VALUE"""),41373)</f>
        <v>41373</v>
      </c>
      <c r="G3934" s="9" t="str">
        <f ca="1">IFERROR(__xludf.DUMMYFUNCTION("""COMPUTED_VALUE"""),"1 USD = 98.317 PKR")</f>
        <v>1 USD = 98.317 PKR</v>
      </c>
      <c r="H3934" s="9" t="str">
        <f ca="1">IFERROR(__xludf.DUMMYFUNCTION("""COMPUTED_VALUE"""),"USD PKR rate for 09/04/2013")</f>
        <v>USD PKR rate for 09/04/2013</v>
      </c>
      <c r="I3934" s="9"/>
    </row>
    <row r="3935" spans="1:9" ht="14.25" customHeight="1" x14ac:dyDescent="0.3">
      <c r="A3935" s="6">
        <v>43652</v>
      </c>
      <c r="B3935" s="7">
        <v>156.8999</v>
      </c>
      <c r="C3935" s="8">
        <f t="shared" si="31"/>
        <v>159.6056327458669</v>
      </c>
      <c r="D3935" s="9">
        <f t="shared" si="30"/>
        <v>72.508763802784046</v>
      </c>
      <c r="E3935" s="9"/>
      <c r="F3935" s="9">
        <f ca="1">IFERROR(__xludf.DUMMYFUNCTION("""COMPUTED_VALUE"""),41372)</f>
        <v>41372</v>
      </c>
      <c r="G3935" s="9" t="str">
        <f ca="1">IFERROR(__xludf.DUMMYFUNCTION("""COMPUTED_VALUE"""),"1 USD = 98.4956 PKR")</f>
        <v>1 USD = 98.4956 PKR</v>
      </c>
      <c r="H3935" s="9" t="str">
        <f ca="1">IFERROR(__xludf.DUMMYFUNCTION("""COMPUTED_VALUE"""),"USD PKR rate for 08/04/2013")</f>
        <v>USD PKR rate for 08/04/2013</v>
      </c>
      <c r="I3935" s="9"/>
    </row>
    <row r="3936" spans="1:9" ht="14.25" customHeight="1" x14ac:dyDescent="0.3">
      <c r="A3936" s="6">
        <v>43653</v>
      </c>
      <c r="B3936" s="7">
        <v>156.90010000000001</v>
      </c>
      <c r="C3936" s="8">
        <f t="shared" si="31"/>
        <v>159.63417817631216</v>
      </c>
      <c r="D3936" s="9">
        <f t="shared" si="30"/>
        <v>72.511501635581311</v>
      </c>
      <c r="E3936" s="9"/>
      <c r="F3936" s="9">
        <f ca="1">IFERROR(__xludf.DUMMYFUNCTION("""COMPUTED_VALUE"""),41371)</f>
        <v>41371</v>
      </c>
      <c r="G3936" s="9" t="str">
        <f ca="1">IFERROR(__xludf.DUMMYFUNCTION("""COMPUTED_VALUE"""),"1 USD = 98.4241 PKR")</f>
        <v>1 USD = 98.4241 PKR</v>
      </c>
      <c r="H3936" s="9" t="str">
        <f ca="1">IFERROR(__xludf.DUMMYFUNCTION("""COMPUTED_VALUE"""),"USD PKR rate for 07/04/2013")</f>
        <v>USD PKR rate for 07/04/2013</v>
      </c>
      <c r="I3936" s="9"/>
    </row>
    <row r="3937" spans="1:9" ht="14.25" customHeight="1" x14ac:dyDescent="0.3">
      <c r="A3937" s="6">
        <v>43654</v>
      </c>
      <c r="B3937" s="7">
        <v>158.24940000000001</v>
      </c>
      <c r="C3937" s="8">
        <f t="shared" si="31"/>
        <v>159.66272871210106</v>
      </c>
      <c r="D3937" s="9">
        <f t="shared" si="30"/>
        <v>72.514239468378577</v>
      </c>
      <c r="E3937" s="9"/>
      <c r="F3937" s="9">
        <f ca="1">IFERROR(__xludf.DUMMYFUNCTION("""COMPUTED_VALUE"""),41370)</f>
        <v>41370</v>
      </c>
      <c r="G3937" s="9" t="str">
        <f ca="1">IFERROR(__xludf.DUMMYFUNCTION("""COMPUTED_VALUE"""),"1 USD = 98.4207 PKR")</f>
        <v>1 USD = 98.4207 PKR</v>
      </c>
      <c r="H3937" s="9" t="str">
        <f ca="1">IFERROR(__xludf.DUMMYFUNCTION("""COMPUTED_VALUE"""),"USD PKR rate for 06/04/2013")</f>
        <v>USD PKR rate for 06/04/2013</v>
      </c>
      <c r="I3937" s="9"/>
    </row>
    <row r="3938" spans="1:9" ht="14.25" customHeight="1" x14ac:dyDescent="0.3">
      <c r="A3938" s="6">
        <v>43655</v>
      </c>
      <c r="B3938" s="7">
        <v>158.357</v>
      </c>
      <c r="C3938" s="8">
        <f t="shared" si="31"/>
        <v>159.69128435414666</v>
      </c>
      <c r="D3938" s="9">
        <f t="shared" si="30"/>
        <v>72.516977301175842</v>
      </c>
      <c r="E3938" s="9"/>
      <c r="F3938" s="9">
        <f ca="1">IFERROR(__xludf.DUMMYFUNCTION("""COMPUTED_VALUE"""),41369)</f>
        <v>41369</v>
      </c>
      <c r="G3938" s="9" t="str">
        <f ca="1">IFERROR(__xludf.DUMMYFUNCTION("""COMPUTED_VALUE"""),"1 USD = 98.3452 PKR")</f>
        <v>1 USD = 98.3452 PKR</v>
      </c>
      <c r="H3938" s="9" t="str">
        <f ca="1">IFERROR(__xludf.DUMMYFUNCTION("""COMPUTED_VALUE"""),"USD PKR rate for 05/04/2013")</f>
        <v>USD PKR rate for 05/04/2013</v>
      </c>
      <c r="I3938" s="9"/>
    </row>
    <row r="3939" spans="1:9" ht="14.25" customHeight="1" x14ac:dyDescent="0.3">
      <c r="A3939" s="6">
        <v>43656</v>
      </c>
      <c r="B3939" s="7">
        <v>158.24420000000001</v>
      </c>
      <c r="C3939" s="8">
        <f t="shared" si="31"/>
        <v>159.71984510336208</v>
      </c>
      <c r="D3939" s="9">
        <f t="shared" si="30"/>
        <v>72.519715133973108</v>
      </c>
      <c r="E3939" s="9"/>
      <c r="F3939" s="9">
        <f ca="1">IFERROR(__xludf.DUMMYFUNCTION("""COMPUTED_VALUE"""),41368)</f>
        <v>41368</v>
      </c>
      <c r="G3939" s="9" t="str">
        <f ca="1">IFERROR(__xludf.DUMMYFUNCTION("""COMPUTED_VALUE"""),"1 USD = 98.3577 PKR")</f>
        <v>1 USD = 98.3577 PKR</v>
      </c>
      <c r="H3939" s="9" t="str">
        <f ca="1">IFERROR(__xludf.DUMMYFUNCTION("""COMPUTED_VALUE"""),"USD PKR rate for 04/04/2013")</f>
        <v>USD PKR rate for 04/04/2013</v>
      </c>
      <c r="I3939" s="9"/>
    </row>
    <row r="3940" spans="1:9" ht="14.25" customHeight="1" x14ac:dyDescent="0.3">
      <c r="A3940" s="6">
        <v>43657</v>
      </c>
      <c r="B3940" s="7">
        <v>158.5549</v>
      </c>
      <c r="C3940" s="8">
        <f t="shared" si="31"/>
        <v>159.748410960661</v>
      </c>
      <c r="D3940" s="9">
        <f t="shared" si="30"/>
        <v>72.522452966770373</v>
      </c>
      <c r="E3940" s="9"/>
      <c r="F3940" s="9">
        <f ca="1">IFERROR(__xludf.DUMMYFUNCTION("""COMPUTED_VALUE"""),41367)</f>
        <v>41367</v>
      </c>
      <c r="G3940" s="9" t="str">
        <f ca="1">IFERROR(__xludf.DUMMYFUNCTION("""COMPUTED_VALUE"""),"1 USD = 98.351 PKR")</f>
        <v>1 USD = 98.351 PKR</v>
      </c>
      <c r="H3940" s="9" t="str">
        <f ca="1">IFERROR(__xludf.DUMMYFUNCTION("""COMPUTED_VALUE"""),"USD PKR rate for 03/04/2013")</f>
        <v>USD PKR rate for 03/04/2013</v>
      </c>
      <c r="I3940" s="9"/>
    </row>
    <row r="3941" spans="1:9" ht="14.25" customHeight="1" x14ac:dyDescent="0.3">
      <c r="A3941" s="6">
        <v>43658</v>
      </c>
      <c r="B3941" s="7">
        <v>157.99969999999999</v>
      </c>
      <c r="C3941" s="8">
        <f t="shared" si="31"/>
        <v>159.77698192695689</v>
      </c>
      <c r="D3941" s="9">
        <f t="shared" si="30"/>
        <v>72.525190799567639</v>
      </c>
      <c r="E3941" s="9"/>
      <c r="F3941" s="9">
        <f ca="1">IFERROR(__xludf.DUMMYFUNCTION("""COMPUTED_VALUE"""),41366)</f>
        <v>41366</v>
      </c>
      <c r="G3941" s="9" t="str">
        <f ca="1">IFERROR(__xludf.DUMMYFUNCTION("""COMPUTED_VALUE"""),"1 USD = 98.4879 PKR")</f>
        <v>1 USD = 98.4879 PKR</v>
      </c>
      <c r="H3941" s="9" t="str">
        <f ca="1">IFERROR(__xludf.DUMMYFUNCTION("""COMPUTED_VALUE"""),"USD PKR rate for 02/04/2013")</f>
        <v>USD PKR rate for 02/04/2013</v>
      </c>
      <c r="I3941" s="9"/>
    </row>
    <row r="3942" spans="1:9" ht="14.25" customHeight="1" x14ac:dyDescent="0.3">
      <c r="A3942" s="6">
        <v>43659</v>
      </c>
      <c r="B3942" s="7">
        <v>157.99969999999999</v>
      </c>
      <c r="C3942" s="8">
        <f t="shared" si="31"/>
        <v>159.80555800316353</v>
      </c>
      <c r="D3942" s="9">
        <f t="shared" si="30"/>
        <v>72.527928632364905</v>
      </c>
      <c r="E3942" s="9"/>
      <c r="F3942" s="9">
        <f ca="1">IFERROR(__xludf.DUMMYFUNCTION("""COMPUTED_VALUE"""),41365)</f>
        <v>41365</v>
      </c>
      <c r="G3942" s="9" t="str">
        <f ca="1">IFERROR(__xludf.DUMMYFUNCTION("""COMPUTED_VALUE"""),"1 USD = 98.4202 PKR")</f>
        <v>1 USD = 98.4202 PKR</v>
      </c>
      <c r="H3942" s="9" t="str">
        <f ca="1">IFERROR(__xludf.DUMMYFUNCTION("""COMPUTED_VALUE"""),"USD PKR rate for 01/04/2013")</f>
        <v>USD PKR rate for 01/04/2013</v>
      </c>
      <c r="I3942" s="9"/>
    </row>
    <row r="3943" spans="1:9" ht="14.25" customHeight="1" x14ac:dyDescent="0.3">
      <c r="A3943" s="6">
        <v>43660</v>
      </c>
      <c r="B3943" s="7">
        <v>158.92099999999999</v>
      </c>
      <c r="C3943" s="8">
        <f t="shared" si="31"/>
        <v>159.83413919019475</v>
      </c>
      <c r="D3943" s="9">
        <f t="shared" si="30"/>
        <v>72.53066646516217</v>
      </c>
      <c r="E3943" s="9"/>
      <c r="F3943" s="9">
        <f ca="1">IFERROR(__xludf.DUMMYFUNCTION("""COMPUTED_VALUE"""),41364)</f>
        <v>41364</v>
      </c>
      <c r="G3943" s="9" t="str">
        <f ca="1">IFERROR(__xludf.DUMMYFUNCTION("""COMPUTED_VALUE"""),"1 USD = 98.3843 PKR")</f>
        <v>1 USD = 98.3843 PKR</v>
      </c>
      <c r="H3943" s="9" t="str">
        <f ca="1">IFERROR(__xludf.DUMMYFUNCTION("""COMPUTED_VALUE"""),"USD PKR rate for 31/03/2013")</f>
        <v>USD PKR rate for 31/03/2013</v>
      </c>
      <c r="I3943" s="9"/>
    </row>
    <row r="3944" spans="1:9" ht="14.25" customHeight="1" x14ac:dyDescent="0.3">
      <c r="A3944" s="6">
        <v>43661</v>
      </c>
      <c r="B3944" s="7">
        <v>159.52930000000003</v>
      </c>
      <c r="C3944" s="8">
        <f t="shared" si="31"/>
        <v>159.86272548896463</v>
      </c>
      <c r="D3944" s="9">
        <f t="shared" si="30"/>
        <v>72.533404297959436</v>
      </c>
      <c r="E3944" s="9"/>
      <c r="F3944" s="9">
        <f ca="1">IFERROR(__xludf.DUMMYFUNCTION("""COMPUTED_VALUE"""),41363)</f>
        <v>41363</v>
      </c>
      <c r="G3944" s="9" t="str">
        <f ca="1">IFERROR(__xludf.DUMMYFUNCTION("""COMPUTED_VALUE"""),"1 USD = 98.4101 PKR")</f>
        <v>1 USD = 98.4101 PKR</v>
      </c>
      <c r="H3944" s="9" t="str">
        <f ca="1">IFERROR(__xludf.DUMMYFUNCTION("""COMPUTED_VALUE"""),"USD PKR rate for 30/03/2013")</f>
        <v>USD PKR rate for 30/03/2013</v>
      </c>
      <c r="I3944" s="9"/>
    </row>
    <row r="3945" spans="1:9" ht="14.25" customHeight="1" x14ac:dyDescent="0.3">
      <c r="A3945" s="6">
        <v>43662</v>
      </c>
      <c r="B3945" s="7">
        <v>159.66569999999999</v>
      </c>
      <c r="C3945" s="8">
        <f t="shared" si="31"/>
        <v>159.89131690038744</v>
      </c>
      <c r="D3945" s="9">
        <f t="shared" si="30"/>
        <v>72.536142130756701</v>
      </c>
      <c r="E3945" s="9"/>
      <c r="F3945" s="9">
        <f ca="1">IFERROR(__xludf.DUMMYFUNCTION("""COMPUTED_VALUE"""),41362)</f>
        <v>41362</v>
      </c>
      <c r="G3945" s="9" t="str">
        <f ca="1">IFERROR(__xludf.DUMMYFUNCTION("""COMPUTED_VALUE"""),"1 USD = 98.4289 PKR")</f>
        <v>1 USD = 98.4289 PKR</v>
      </c>
      <c r="H3945" s="9" t="str">
        <f ca="1">IFERROR(__xludf.DUMMYFUNCTION("""COMPUTED_VALUE"""),"USD PKR rate for 29/03/2013")</f>
        <v>USD PKR rate for 29/03/2013</v>
      </c>
      <c r="I3945" s="9"/>
    </row>
    <row r="3946" spans="1:9" ht="14.25" customHeight="1" x14ac:dyDescent="0.3">
      <c r="A3946" s="6">
        <v>43663</v>
      </c>
      <c r="B3946" s="7">
        <v>159.53370000000001</v>
      </c>
      <c r="C3946" s="8">
        <f t="shared" si="31"/>
        <v>159.91991342537756</v>
      </c>
      <c r="D3946" s="9">
        <f t="shared" si="30"/>
        <v>72.538879963553967</v>
      </c>
      <c r="E3946" s="9"/>
      <c r="F3946" s="9">
        <f ca="1">IFERROR(__xludf.DUMMYFUNCTION("""COMPUTED_VALUE"""),41361)</f>
        <v>41361</v>
      </c>
      <c r="G3946" s="9" t="str">
        <f ca="1">IFERROR(__xludf.DUMMYFUNCTION("""COMPUTED_VALUE"""),"1 USD = 98.3456 PKR")</f>
        <v>1 USD = 98.3456 PKR</v>
      </c>
      <c r="H3946" s="9" t="str">
        <f ca="1">IFERROR(__xludf.DUMMYFUNCTION("""COMPUTED_VALUE"""),"USD PKR rate for 28/03/2013")</f>
        <v>USD PKR rate for 28/03/2013</v>
      </c>
      <c r="I3946" s="9"/>
    </row>
    <row r="3947" spans="1:9" ht="14.25" customHeight="1" x14ac:dyDescent="0.3">
      <c r="A3947" s="6">
        <v>43664</v>
      </c>
      <c r="B3947" s="7">
        <v>159.49109999999999</v>
      </c>
      <c r="C3947" s="8">
        <f t="shared" si="31"/>
        <v>159.94851506484954</v>
      </c>
      <c r="D3947" s="9">
        <f t="shared" si="30"/>
        <v>72.541617796351233</v>
      </c>
      <c r="E3947" s="9"/>
      <c r="F3947" s="9">
        <f ca="1">IFERROR(__xludf.DUMMYFUNCTION("""COMPUTED_VALUE"""),41360)</f>
        <v>41360</v>
      </c>
      <c r="G3947" s="9" t="str">
        <f ca="1">IFERROR(__xludf.DUMMYFUNCTION("""COMPUTED_VALUE"""),"1 USD = 98.573 PKR")</f>
        <v>1 USD = 98.573 PKR</v>
      </c>
      <c r="H3947" s="9" t="str">
        <f ca="1">IFERROR(__xludf.DUMMYFUNCTION("""COMPUTED_VALUE"""),"USD PKR rate for 27/03/2013")</f>
        <v>USD PKR rate for 27/03/2013</v>
      </c>
      <c r="I3947" s="9"/>
    </row>
    <row r="3948" spans="1:9" ht="14.25" customHeight="1" x14ac:dyDescent="0.3">
      <c r="A3948" s="6">
        <v>43665</v>
      </c>
      <c r="B3948" s="7">
        <v>159.93440000000004</v>
      </c>
      <c r="C3948" s="8">
        <f t="shared" si="31"/>
        <v>159.97712181971798</v>
      </c>
      <c r="D3948" s="9">
        <f t="shared" si="30"/>
        <v>72.544355629148498</v>
      </c>
      <c r="E3948" s="9"/>
      <c r="F3948" s="9">
        <f ca="1">IFERROR(__xludf.DUMMYFUNCTION("""COMPUTED_VALUE"""),41359)</f>
        <v>41359</v>
      </c>
      <c r="G3948" s="9" t="str">
        <f ca="1">IFERROR(__xludf.DUMMYFUNCTION("""COMPUTED_VALUE"""),"1 USD = 98.3816 PKR")</f>
        <v>1 USD = 98.3816 PKR</v>
      </c>
      <c r="H3948" s="9" t="str">
        <f ca="1">IFERROR(__xludf.DUMMYFUNCTION("""COMPUTED_VALUE"""),"USD PKR rate for 26/03/2013")</f>
        <v>USD PKR rate for 26/03/2013</v>
      </c>
      <c r="I3948" s="9"/>
    </row>
    <row r="3949" spans="1:9" ht="14.25" customHeight="1" x14ac:dyDescent="0.3">
      <c r="A3949" s="6">
        <v>43666</v>
      </c>
      <c r="B3949" s="7">
        <v>159.94</v>
      </c>
      <c r="C3949" s="8">
        <f t="shared" si="31"/>
        <v>160.00573369089804</v>
      </c>
      <c r="D3949" s="9">
        <f t="shared" si="30"/>
        <v>72.547093461945764</v>
      </c>
      <c r="E3949" s="9"/>
      <c r="F3949" s="9">
        <f ca="1">IFERROR(__xludf.DUMMYFUNCTION("""COMPUTED_VALUE"""),41358)</f>
        <v>41358</v>
      </c>
      <c r="G3949" s="9" t="str">
        <f ca="1">IFERROR(__xludf.DUMMYFUNCTION("""COMPUTED_VALUE"""),"1 USD = 98.5473 PKR")</f>
        <v>1 USD = 98.5473 PKR</v>
      </c>
      <c r="H3949" s="9" t="str">
        <f ca="1">IFERROR(__xludf.DUMMYFUNCTION("""COMPUTED_VALUE"""),"USD PKR rate for 25/03/2013")</f>
        <v>USD PKR rate for 25/03/2013</v>
      </c>
      <c r="I3949" s="9"/>
    </row>
    <row r="3950" spans="1:9" ht="14.25" customHeight="1" x14ac:dyDescent="0.3">
      <c r="A3950" s="6">
        <v>43667</v>
      </c>
      <c r="B3950" s="7">
        <v>159.93889999999999</v>
      </c>
      <c r="C3950" s="8">
        <f t="shared" si="31"/>
        <v>160.03435067930465</v>
      </c>
      <c r="D3950" s="9">
        <f t="shared" si="30"/>
        <v>72.549831294743029</v>
      </c>
      <c r="E3950" s="9"/>
      <c r="F3950" s="9">
        <f ca="1">IFERROR(__xludf.DUMMYFUNCTION("""COMPUTED_VALUE"""),41357)</f>
        <v>41357</v>
      </c>
      <c r="G3950" s="9" t="str">
        <f ca="1">IFERROR(__xludf.DUMMYFUNCTION("""COMPUTED_VALUE"""),"1 USD = 98.0575 PKR")</f>
        <v>1 USD = 98.0575 PKR</v>
      </c>
      <c r="H3950" s="9" t="str">
        <f ca="1">IFERROR(__xludf.DUMMYFUNCTION("""COMPUTED_VALUE"""),"USD PKR rate for 24/03/2013")</f>
        <v>USD PKR rate for 24/03/2013</v>
      </c>
      <c r="I3950" s="9"/>
    </row>
    <row r="3951" spans="1:9" ht="14.25" customHeight="1" x14ac:dyDescent="0.3">
      <c r="A3951" s="6">
        <v>43668</v>
      </c>
      <c r="B3951" s="7">
        <v>160.08510000000001</v>
      </c>
      <c r="C3951" s="8">
        <f t="shared" si="31"/>
        <v>160.06297278585296</v>
      </c>
      <c r="D3951" s="9">
        <f t="shared" si="30"/>
        <v>72.552569127540295</v>
      </c>
      <c r="E3951" s="9"/>
      <c r="F3951" s="9">
        <f ca="1">IFERROR(__xludf.DUMMYFUNCTION("""COMPUTED_VALUE"""),41356)</f>
        <v>41356</v>
      </c>
      <c r="G3951" s="9" t="str">
        <f ca="1">IFERROR(__xludf.DUMMYFUNCTION("""COMPUTED_VALUE"""),"1 USD = 98.2689 PKR")</f>
        <v>1 USD = 98.2689 PKR</v>
      </c>
      <c r="H3951" s="9" t="str">
        <f ca="1">IFERROR(__xludf.DUMMYFUNCTION("""COMPUTED_VALUE"""),"USD PKR rate for 23/03/2013")</f>
        <v>USD PKR rate for 23/03/2013</v>
      </c>
      <c r="I3951" s="9"/>
    </row>
    <row r="3952" spans="1:9" ht="14.25" customHeight="1" x14ac:dyDescent="0.3">
      <c r="A3952" s="6">
        <v>43669</v>
      </c>
      <c r="B3952" s="7">
        <v>160.49799999999999</v>
      </c>
      <c r="C3952" s="8">
        <f t="shared" si="31"/>
        <v>160.09160001145847</v>
      </c>
      <c r="D3952" s="9">
        <f t="shared" si="30"/>
        <v>72.55530696033756</v>
      </c>
      <c r="E3952" s="9"/>
      <c r="F3952" s="9">
        <f ca="1">IFERROR(__xludf.DUMMYFUNCTION("""COMPUTED_VALUE"""),41355)</f>
        <v>41355</v>
      </c>
      <c r="G3952" s="9" t="str">
        <f ca="1">IFERROR(__xludf.DUMMYFUNCTION("""COMPUTED_VALUE"""),"1 USD = 98.2328 PKR")</f>
        <v>1 USD = 98.2328 PKR</v>
      </c>
      <c r="H3952" s="9" t="str">
        <f ca="1">IFERROR(__xludf.DUMMYFUNCTION("""COMPUTED_VALUE"""),"USD PKR rate for 22/03/2013")</f>
        <v>USD PKR rate for 22/03/2013</v>
      </c>
      <c r="I3952" s="9"/>
    </row>
    <row r="3953" spans="1:9" ht="14.25" customHeight="1" x14ac:dyDescent="0.3">
      <c r="A3953" s="6">
        <v>43670</v>
      </c>
      <c r="B3953" s="7">
        <v>160.75210000000001</v>
      </c>
      <c r="C3953" s="8">
        <f t="shared" si="31"/>
        <v>160.1202323570366</v>
      </c>
      <c r="D3953" s="9">
        <f t="shared" si="30"/>
        <v>72.558044793134826</v>
      </c>
      <c r="E3953" s="9"/>
      <c r="F3953" s="9">
        <f ca="1">IFERROR(__xludf.DUMMYFUNCTION("""COMPUTED_VALUE"""),41354)</f>
        <v>41354</v>
      </c>
      <c r="G3953" s="9" t="str">
        <f ca="1">IFERROR(__xludf.DUMMYFUNCTION("""COMPUTED_VALUE"""),"1 USD = 98.3126 PKR")</f>
        <v>1 USD = 98.3126 PKR</v>
      </c>
      <c r="H3953" s="9" t="str">
        <f ca="1">IFERROR(__xludf.DUMMYFUNCTION("""COMPUTED_VALUE"""),"USD PKR rate for 21/03/2013")</f>
        <v>USD PKR rate for 21/03/2013</v>
      </c>
      <c r="I3953" s="9"/>
    </row>
    <row r="3954" spans="1:9" ht="14.25" customHeight="1" x14ac:dyDescent="0.3">
      <c r="A3954" s="6">
        <v>43671</v>
      </c>
      <c r="B3954" s="7">
        <v>161.02510000000001</v>
      </c>
      <c r="C3954" s="8">
        <f t="shared" si="31"/>
        <v>160.14886982350311</v>
      </c>
      <c r="D3954" s="9">
        <f t="shared" si="30"/>
        <v>72.560782625932092</v>
      </c>
      <c r="E3954" s="9"/>
      <c r="F3954" s="9">
        <f ca="1">IFERROR(__xludf.DUMMYFUNCTION("""COMPUTED_VALUE"""),41353)</f>
        <v>41353</v>
      </c>
      <c r="G3954" s="9" t="str">
        <f ca="1">IFERROR(__xludf.DUMMYFUNCTION("""COMPUTED_VALUE"""),"1 USD = 98.1593 PKR")</f>
        <v>1 USD = 98.1593 PKR</v>
      </c>
      <c r="H3954" s="9" t="str">
        <f ca="1">IFERROR(__xludf.DUMMYFUNCTION("""COMPUTED_VALUE"""),"USD PKR rate for 20/03/2013")</f>
        <v>USD PKR rate for 20/03/2013</v>
      </c>
      <c r="I3954" s="9"/>
    </row>
    <row r="3955" spans="1:9" ht="14.25" customHeight="1" x14ac:dyDescent="0.3">
      <c r="A3955" s="6">
        <v>43672</v>
      </c>
      <c r="B3955" s="7">
        <v>160.7508</v>
      </c>
      <c r="C3955" s="8">
        <f t="shared" si="31"/>
        <v>160.17751241177388</v>
      </c>
      <c r="D3955" s="9">
        <f t="shared" si="30"/>
        <v>72.563520458729357</v>
      </c>
      <c r="E3955" s="9"/>
      <c r="F3955" s="9">
        <f ca="1">IFERROR(__xludf.DUMMYFUNCTION("""COMPUTED_VALUE"""),41352)</f>
        <v>41352</v>
      </c>
      <c r="G3955" s="9" t="str">
        <f ca="1">IFERROR(__xludf.DUMMYFUNCTION("""COMPUTED_VALUE"""),"1 USD = 98.2468 PKR")</f>
        <v>1 USD = 98.2468 PKR</v>
      </c>
      <c r="H3955" s="9" t="str">
        <f ca="1">IFERROR(__xludf.DUMMYFUNCTION("""COMPUTED_VALUE"""),"USD PKR rate for 19/03/2013")</f>
        <v>USD PKR rate for 19/03/2013</v>
      </c>
      <c r="I3955" s="9"/>
    </row>
    <row r="3956" spans="1:9" ht="14.25" customHeight="1" x14ac:dyDescent="0.3">
      <c r="A3956" s="6">
        <v>43673</v>
      </c>
      <c r="B3956" s="7">
        <v>160.7508</v>
      </c>
      <c r="C3956" s="8">
        <f t="shared" si="31"/>
        <v>160.20616012276491</v>
      </c>
      <c r="D3956" s="9">
        <f t="shared" si="30"/>
        <v>72.566258291526623</v>
      </c>
      <c r="E3956" s="9"/>
      <c r="F3956" s="9">
        <f ca="1">IFERROR(__xludf.DUMMYFUNCTION("""COMPUTED_VALUE"""),41351)</f>
        <v>41351</v>
      </c>
      <c r="G3956" s="9" t="str">
        <f ca="1">IFERROR(__xludf.DUMMYFUNCTION("""COMPUTED_VALUE"""),"1 USD = 98.249 PKR")</f>
        <v>1 USD = 98.249 PKR</v>
      </c>
      <c r="H3956" s="9" t="str">
        <f ca="1">IFERROR(__xludf.DUMMYFUNCTION("""COMPUTED_VALUE"""),"USD PKR rate for 18/03/2013")</f>
        <v>USD PKR rate for 18/03/2013</v>
      </c>
      <c r="I3956" s="9"/>
    </row>
    <row r="3957" spans="1:9" ht="14.25" customHeight="1" x14ac:dyDescent="0.3">
      <c r="A3957" s="6">
        <v>43674</v>
      </c>
      <c r="B3957" s="7">
        <v>161.08590000000004</v>
      </c>
      <c r="C3957" s="8">
        <f t="shared" si="31"/>
        <v>160.23481295739225</v>
      </c>
      <c r="D3957" s="9">
        <f t="shared" si="30"/>
        <v>72.568996124323888</v>
      </c>
      <c r="E3957" s="9"/>
      <c r="F3957" s="9">
        <f ca="1">IFERROR(__xludf.DUMMYFUNCTION("""COMPUTED_VALUE"""),41350)</f>
        <v>41350</v>
      </c>
      <c r="G3957" s="9" t="str">
        <f ca="1">IFERROR(__xludf.DUMMYFUNCTION("""COMPUTED_VALUE"""),"1 USD = 98.2643 PKR")</f>
        <v>1 USD = 98.2643 PKR</v>
      </c>
      <c r="H3957" s="9" t="str">
        <f ca="1">IFERROR(__xludf.DUMMYFUNCTION("""COMPUTED_VALUE"""),"USD PKR rate for 17/03/2013")</f>
        <v>USD PKR rate for 17/03/2013</v>
      </c>
      <c r="I3957" s="9"/>
    </row>
    <row r="3958" spans="1:9" ht="14.25" customHeight="1" x14ac:dyDescent="0.3">
      <c r="A3958" s="6">
        <v>43675</v>
      </c>
      <c r="B3958" s="7">
        <v>161.22970000000001</v>
      </c>
      <c r="C3958" s="8">
        <f t="shared" si="31"/>
        <v>160.2634709165726</v>
      </c>
      <c r="D3958" s="9">
        <f t="shared" si="30"/>
        <v>72.571733957121154</v>
      </c>
      <c r="E3958" s="9"/>
      <c r="F3958" s="9">
        <f ca="1">IFERROR(__xludf.DUMMYFUNCTION("""COMPUTED_VALUE"""),41349)</f>
        <v>41349</v>
      </c>
      <c r="G3958" s="9" t="str">
        <f ca="1">IFERROR(__xludf.DUMMYFUNCTION("""COMPUTED_VALUE"""),"1 USD = 97.9191 PKR")</f>
        <v>1 USD = 97.9191 PKR</v>
      </c>
      <c r="H3958" s="9" t="str">
        <f ca="1">IFERROR(__xludf.DUMMYFUNCTION("""COMPUTED_VALUE"""),"USD PKR rate for 16/03/2013")</f>
        <v>USD PKR rate for 16/03/2013</v>
      </c>
      <c r="I3958" s="9"/>
    </row>
    <row r="3959" spans="1:9" ht="14.25" customHeight="1" x14ac:dyDescent="0.3">
      <c r="A3959" s="6">
        <v>43676</v>
      </c>
      <c r="B3959" s="7">
        <v>160.9965</v>
      </c>
      <c r="C3959" s="8">
        <f t="shared" si="31"/>
        <v>160.29213400122231</v>
      </c>
      <c r="D3959" s="9">
        <f t="shared" si="30"/>
        <v>72.57447178991842</v>
      </c>
      <c r="E3959" s="9"/>
      <c r="F3959" s="9">
        <f ca="1">IFERROR(__xludf.DUMMYFUNCTION("""COMPUTED_VALUE"""),41348)</f>
        <v>41348</v>
      </c>
      <c r="G3959" s="9" t="str">
        <f ca="1">IFERROR(__xludf.DUMMYFUNCTION("""COMPUTED_VALUE"""),"1 USD = 98.0881 PKR")</f>
        <v>1 USD = 98.0881 PKR</v>
      </c>
      <c r="H3959" s="9" t="str">
        <f ca="1">IFERROR(__xludf.DUMMYFUNCTION("""COMPUTED_VALUE"""),"USD PKR rate for 15/03/2013")</f>
        <v>USD PKR rate for 15/03/2013</v>
      </c>
      <c r="I3959" s="9"/>
    </row>
    <row r="3960" spans="1:9" ht="14.25" customHeight="1" x14ac:dyDescent="0.3">
      <c r="A3960" s="6">
        <v>43677</v>
      </c>
      <c r="B3960" s="7">
        <v>160.75479999999999</v>
      </c>
      <c r="C3960" s="8">
        <f t="shared" si="31"/>
        <v>160.32080221225806</v>
      </c>
      <c r="D3960" s="9">
        <f t="shared" si="30"/>
        <v>72.577209622715685</v>
      </c>
      <c r="E3960" s="9"/>
      <c r="F3960" s="9">
        <f ca="1">IFERROR(__xludf.DUMMYFUNCTION("""COMPUTED_VALUE"""),41347)</f>
        <v>41347</v>
      </c>
      <c r="G3960" s="9" t="str">
        <f ca="1">IFERROR(__xludf.DUMMYFUNCTION("""COMPUTED_VALUE"""),"1 USD = 97.6236 PKR")</f>
        <v>1 USD = 97.6236 PKR</v>
      </c>
      <c r="H3960" s="9" t="str">
        <f ca="1">IFERROR(__xludf.DUMMYFUNCTION("""COMPUTED_VALUE"""),"USD PKR rate for 14/03/2013")</f>
        <v>USD PKR rate for 14/03/2013</v>
      </c>
      <c r="I3960" s="9"/>
    </row>
    <row r="3961" spans="1:9" ht="14.25" customHeight="1" x14ac:dyDescent="0.3">
      <c r="A3961" s="6">
        <v>43678</v>
      </c>
      <c r="B3961" s="7">
        <v>160.6645</v>
      </c>
      <c r="C3961" s="8">
        <f t="shared" si="31"/>
        <v>160.34947555059674</v>
      </c>
      <c r="D3961" s="9">
        <f t="shared" si="30"/>
        <v>72.579947455512951</v>
      </c>
      <c r="E3961" s="9"/>
      <c r="F3961" s="9">
        <f ca="1">IFERROR(__xludf.DUMMYFUNCTION("""COMPUTED_VALUE"""),41346)</f>
        <v>41346</v>
      </c>
      <c r="G3961" s="9" t="str">
        <f ca="1">IFERROR(__xludf.DUMMYFUNCTION("""COMPUTED_VALUE"""),"1 USD = 97.9218 PKR")</f>
        <v>1 USD = 97.9218 PKR</v>
      </c>
      <c r="H3961" s="9" t="str">
        <f ca="1">IFERROR(__xludf.DUMMYFUNCTION("""COMPUTED_VALUE"""),"USD PKR rate for 13/03/2013")</f>
        <v>USD PKR rate for 13/03/2013</v>
      </c>
      <c r="I3961" s="9"/>
    </row>
    <row r="3962" spans="1:9" ht="14.25" customHeight="1" x14ac:dyDescent="0.3">
      <c r="A3962" s="6">
        <v>43679</v>
      </c>
      <c r="B3962" s="7">
        <v>159.55009999999999</v>
      </c>
      <c r="C3962" s="8">
        <f t="shared" si="31"/>
        <v>160.37815401715531</v>
      </c>
      <c r="D3962" s="9">
        <f t="shared" si="30"/>
        <v>72.582685288310216</v>
      </c>
      <c r="E3962" s="9"/>
      <c r="F3962" s="9">
        <f ca="1">IFERROR(__xludf.DUMMYFUNCTION("""COMPUTED_VALUE"""),41345)</f>
        <v>41345</v>
      </c>
      <c r="G3962" s="9" t="str">
        <f ca="1">IFERROR(__xludf.DUMMYFUNCTION("""COMPUTED_VALUE"""),"1 USD = 97.8311 PKR")</f>
        <v>1 USD = 97.8311 PKR</v>
      </c>
      <c r="H3962" s="9" t="str">
        <f ca="1">IFERROR(__xludf.DUMMYFUNCTION("""COMPUTED_VALUE"""),"USD PKR rate for 12/03/2013")</f>
        <v>USD PKR rate for 12/03/2013</v>
      </c>
      <c r="I3962" s="9"/>
    </row>
    <row r="3963" spans="1:9" ht="14.25" customHeight="1" x14ac:dyDescent="0.3">
      <c r="A3963" s="6">
        <v>43680</v>
      </c>
      <c r="B3963" s="7">
        <v>159.55009999999999</v>
      </c>
      <c r="C3963" s="8">
        <f t="shared" si="31"/>
        <v>160.40683761285101</v>
      </c>
      <c r="D3963" s="9">
        <f t="shared" si="30"/>
        <v>72.585423121107482</v>
      </c>
      <c r="E3963" s="9"/>
      <c r="F3963" s="9">
        <f ca="1">IFERROR(__xludf.DUMMYFUNCTION("""COMPUTED_VALUE"""),41344)</f>
        <v>41344</v>
      </c>
      <c r="G3963" s="9" t="str">
        <f ca="1">IFERROR(__xludf.DUMMYFUNCTION("""COMPUTED_VALUE"""),"1 USD = 97.838 PKR")</f>
        <v>1 USD = 97.838 PKR</v>
      </c>
      <c r="H3963" s="9" t="str">
        <f ca="1">IFERROR(__xludf.DUMMYFUNCTION("""COMPUTED_VALUE"""),"USD PKR rate for 11/03/2013")</f>
        <v>USD PKR rate for 11/03/2013</v>
      </c>
      <c r="I3963" s="9"/>
    </row>
    <row r="3964" spans="1:9" ht="14.25" customHeight="1" x14ac:dyDescent="0.3">
      <c r="A3964" s="6">
        <v>43681</v>
      </c>
      <c r="B3964" s="7">
        <v>160.04300000000001</v>
      </c>
      <c r="C3964" s="8">
        <f t="shared" si="31"/>
        <v>160.43552633860111</v>
      </c>
      <c r="D3964" s="9">
        <f t="shared" si="30"/>
        <v>72.588160953904747</v>
      </c>
      <c r="E3964" s="9"/>
      <c r="F3964" s="9">
        <f ca="1">IFERROR(__xludf.DUMMYFUNCTION("""COMPUTED_VALUE"""),41343)</f>
        <v>41343</v>
      </c>
      <c r="G3964" s="9" t="str">
        <f ca="1">IFERROR(__xludf.DUMMYFUNCTION("""COMPUTED_VALUE"""),"1 USD = 98.1451 PKR")</f>
        <v>1 USD = 98.1451 PKR</v>
      </c>
      <c r="H3964" s="9" t="str">
        <f ca="1">IFERROR(__xludf.DUMMYFUNCTION("""COMPUTED_VALUE"""),"USD PKR rate for 10/03/2013")</f>
        <v>USD PKR rate for 10/03/2013</v>
      </c>
      <c r="I3964" s="9"/>
    </row>
    <row r="3965" spans="1:9" ht="14.25" customHeight="1" x14ac:dyDescent="0.3">
      <c r="A3965" s="6">
        <v>43682</v>
      </c>
      <c r="B3965" s="7">
        <v>159.85839999999999</v>
      </c>
      <c r="C3965" s="8">
        <f t="shared" si="31"/>
        <v>160.46422019532321</v>
      </c>
      <c r="D3965" s="9">
        <f t="shared" si="30"/>
        <v>72.590898786702013</v>
      </c>
      <c r="E3965" s="9"/>
      <c r="F3965" s="9">
        <f ca="1">IFERROR(__xludf.DUMMYFUNCTION("""COMPUTED_VALUE"""),41342)</f>
        <v>41342</v>
      </c>
      <c r="G3965" s="9" t="str">
        <f ca="1">IFERROR(__xludf.DUMMYFUNCTION("""COMPUTED_VALUE"""),"1 USD = 97.7514 PKR")</f>
        <v>1 USD = 97.7514 PKR</v>
      </c>
      <c r="H3965" s="9" t="str">
        <f ca="1">IFERROR(__xludf.DUMMYFUNCTION("""COMPUTED_VALUE"""),"USD PKR rate for 09/03/2013")</f>
        <v>USD PKR rate for 09/03/2013</v>
      </c>
      <c r="I3965" s="9"/>
    </row>
    <row r="3966" spans="1:9" ht="14.25" customHeight="1" x14ac:dyDescent="0.3">
      <c r="A3966" s="6">
        <v>43683</v>
      </c>
      <c r="B3966" s="7">
        <v>159.24109999999999</v>
      </c>
      <c r="C3966" s="8">
        <f t="shared" si="31"/>
        <v>160.49291918393479</v>
      </c>
      <c r="D3966" s="9">
        <f t="shared" si="30"/>
        <v>72.593636619499279</v>
      </c>
      <c r="E3966" s="9"/>
      <c r="F3966" s="9">
        <f ca="1">IFERROR(__xludf.DUMMYFUNCTION("""COMPUTED_VALUE"""),41341)</f>
        <v>41341</v>
      </c>
      <c r="G3966" s="9" t="str">
        <f ca="1">IFERROR(__xludf.DUMMYFUNCTION("""COMPUTED_VALUE"""),"1 USD = 97.901 PKR")</f>
        <v>1 USD = 97.901 PKR</v>
      </c>
      <c r="H3966" s="9" t="str">
        <f ca="1">IFERROR(__xludf.DUMMYFUNCTION("""COMPUTED_VALUE"""),"USD PKR rate for 08/03/2013")</f>
        <v>USD PKR rate for 08/03/2013</v>
      </c>
      <c r="I3966" s="9"/>
    </row>
    <row r="3967" spans="1:9" ht="14.25" customHeight="1" x14ac:dyDescent="0.3">
      <c r="A3967" s="6">
        <v>43684</v>
      </c>
      <c r="B3967" s="7">
        <v>159.77619999999999</v>
      </c>
      <c r="C3967" s="8">
        <f t="shared" si="31"/>
        <v>160.52162330535396</v>
      </c>
      <c r="D3967" s="9">
        <f t="shared" si="30"/>
        <v>72.596374452296544</v>
      </c>
      <c r="E3967" s="9"/>
      <c r="F3967" s="9">
        <f ca="1">IFERROR(__xludf.DUMMYFUNCTION("""COMPUTED_VALUE"""),41340)</f>
        <v>41340</v>
      </c>
      <c r="G3967" s="9" t="str">
        <f ca="1">IFERROR(__xludf.DUMMYFUNCTION("""COMPUTED_VALUE"""),"1 USD = 98.1089 PKR")</f>
        <v>1 USD = 98.1089 PKR</v>
      </c>
      <c r="H3967" s="9" t="str">
        <f ca="1">IFERROR(__xludf.DUMMYFUNCTION("""COMPUTED_VALUE"""),"USD PKR rate for 07/03/2013")</f>
        <v>USD PKR rate for 07/03/2013</v>
      </c>
      <c r="I3967" s="9"/>
    </row>
    <row r="3968" spans="1:9" ht="14.25" customHeight="1" x14ac:dyDescent="0.3">
      <c r="A3968" s="6">
        <v>43685</v>
      </c>
      <c r="B3968" s="7">
        <v>159.52850000000001</v>
      </c>
      <c r="C3968" s="8">
        <f t="shared" si="31"/>
        <v>160.55033256049859</v>
      </c>
      <c r="D3968" s="9">
        <f t="shared" si="30"/>
        <v>72.59911228509381</v>
      </c>
      <c r="E3968" s="9"/>
      <c r="F3968" s="9">
        <f ca="1">IFERROR(__xludf.DUMMYFUNCTION("""COMPUTED_VALUE"""),41339)</f>
        <v>41339</v>
      </c>
      <c r="G3968" s="9" t="str">
        <f ca="1">IFERROR(__xludf.DUMMYFUNCTION("""COMPUTED_VALUE"""),"1 USD = 98.1652 PKR")</f>
        <v>1 USD = 98.1652 PKR</v>
      </c>
      <c r="H3968" s="9" t="str">
        <f ca="1">IFERROR(__xludf.DUMMYFUNCTION("""COMPUTED_VALUE"""),"USD PKR rate for 06/03/2013")</f>
        <v>USD PKR rate for 06/03/2013</v>
      </c>
      <c r="I3968" s="9"/>
    </row>
    <row r="3969" spans="1:9" ht="14.25" customHeight="1" x14ac:dyDescent="0.3">
      <c r="A3969" s="6">
        <v>43686</v>
      </c>
      <c r="B3969" s="7">
        <v>157.95720000000003</v>
      </c>
      <c r="C3969" s="8">
        <f t="shared" si="31"/>
        <v>160.57904695028685</v>
      </c>
      <c r="D3969" s="9">
        <f t="shared" si="30"/>
        <v>72.601850117891075</v>
      </c>
      <c r="E3969" s="9"/>
      <c r="F3969" s="9">
        <f ca="1">IFERROR(__xludf.DUMMYFUNCTION("""COMPUTED_VALUE"""),41338)</f>
        <v>41338</v>
      </c>
      <c r="G3969" s="9" t="str">
        <f ca="1">IFERROR(__xludf.DUMMYFUNCTION("""COMPUTED_VALUE"""),"1 USD = 98.2071 PKR")</f>
        <v>1 USD = 98.2071 PKR</v>
      </c>
      <c r="H3969" s="9" t="str">
        <f ca="1">IFERROR(__xludf.DUMMYFUNCTION("""COMPUTED_VALUE"""),"USD PKR rate for 05/03/2013")</f>
        <v>USD PKR rate for 05/03/2013</v>
      </c>
      <c r="I3969" s="9"/>
    </row>
    <row r="3970" spans="1:9" ht="14.25" customHeight="1" x14ac:dyDescent="0.3">
      <c r="A3970" s="6">
        <v>43687</v>
      </c>
      <c r="B3970" s="7">
        <v>157.95720000000003</v>
      </c>
      <c r="C3970" s="8">
        <f t="shared" si="31"/>
        <v>160.60776647563708</v>
      </c>
      <c r="D3970" s="9">
        <f t="shared" si="30"/>
        <v>72.604587950688341</v>
      </c>
      <c r="E3970" s="9"/>
      <c r="F3970" s="9">
        <f ca="1">IFERROR(__xludf.DUMMYFUNCTION("""COMPUTED_VALUE"""),41337)</f>
        <v>41337</v>
      </c>
      <c r="G3970" s="9" t="str">
        <f ca="1">IFERROR(__xludf.DUMMYFUNCTION("""COMPUTED_VALUE"""),"1 USD = 97.9256 PKR")</f>
        <v>1 USD = 97.9256 PKR</v>
      </c>
      <c r="H3970" s="9" t="str">
        <f ca="1">IFERROR(__xludf.DUMMYFUNCTION("""COMPUTED_VALUE"""),"USD PKR rate for 04/03/2013")</f>
        <v>USD PKR rate for 04/03/2013</v>
      </c>
      <c r="I3970" s="9"/>
    </row>
    <row r="3971" spans="1:9" ht="14.25" customHeight="1" x14ac:dyDescent="0.3">
      <c r="A3971" s="6">
        <v>43688</v>
      </c>
      <c r="B3971" s="7">
        <v>157.95099999999999</v>
      </c>
      <c r="C3971" s="8">
        <f t="shared" si="31"/>
        <v>160.6364911374678</v>
      </c>
      <c r="D3971" s="9">
        <f t="shared" si="30"/>
        <v>72.607325783485607</v>
      </c>
      <c r="E3971" s="9"/>
      <c r="F3971" s="9">
        <f ca="1">IFERROR(__xludf.DUMMYFUNCTION("""COMPUTED_VALUE"""),41336)</f>
        <v>41336</v>
      </c>
      <c r="G3971" s="9" t="str">
        <f ca="1">IFERROR(__xludf.DUMMYFUNCTION("""COMPUTED_VALUE"""),"1 USD = 98.2436 PKR")</f>
        <v>1 USD = 98.2436 PKR</v>
      </c>
      <c r="H3971" s="9" t="str">
        <f ca="1">IFERROR(__xludf.DUMMYFUNCTION("""COMPUTED_VALUE"""),"USD PKR rate for 03/03/2013")</f>
        <v>USD PKR rate for 03/03/2013</v>
      </c>
      <c r="I3971" s="9"/>
    </row>
    <row r="3972" spans="1:9" ht="14.25" customHeight="1" x14ac:dyDescent="0.3">
      <c r="A3972" s="6">
        <v>43689</v>
      </c>
      <c r="B3972" s="7">
        <v>160.26900000000001</v>
      </c>
      <c r="C3972" s="8">
        <f t="shared" si="31"/>
        <v>160.66522093669758</v>
      </c>
      <c r="D3972" s="9">
        <f t="shared" si="30"/>
        <v>72.610063616282872</v>
      </c>
      <c r="E3972" s="9"/>
      <c r="F3972" s="9">
        <f ca="1">IFERROR(__xludf.DUMMYFUNCTION("""COMPUTED_VALUE"""),41335)</f>
        <v>41335</v>
      </c>
      <c r="G3972" s="9" t="str">
        <f ca="1">IFERROR(__xludf.DUMMYFUNCTION("""COMPUTED_VALUE"""),"1 USD = 98.3135 PKR")</f>
        <v>1 USD = 98.3135 PKR</v>
      </c>
      <c r="H3972" s="9" t="str">
        <f ca="1">IFERROR(__xludf.DUMMYFUNCTION("""COMPUTED_VALUE"""),"USD PKR rate for 02/03/2013")</f>
        <v>USD PKR rate for 02/03/2013</v>
      </c>
      <c r="I3972" s="9"/>
    </row>
    <row r="3973" spans="1:9" ht="14.25" customHeight="1" x14ac:dyDescent="0.3">
      <c r="A3973" s="6">
        <v>43690</v>
      </c>
      <c r="B3973" s="7">
        <v>160.26</v>
      </c>
      <c r="C3973" s="8">
        <f t="shared" si="31"/>
        <v>160.69395587424535</v>
      </c>
      <c r="D3973" s="9">
        <f t="shared" si="30"/>
        <v>72.612801449080138</v>
      </c>
      <c r="E3973" s="9"/>
      <c r="F3973" s="9">
        <f ca="1">IFERROR(__xludf.DUMMYFUNCTION("""COMPUTED_VALUE"""),41334)</f>
        <v>41334</v>
      </c>
      <c r="G3973" s="9" t="str">
        <f ca="1">IFERROR(__xludf.DUMMYFUNCTION("""COMPUTED_VALUE"""),"1 USD = 98.1714 PKR")</f>
        <v>1 USD = 98.1714 PKR</v>
      </c>
      <c r="H3973" s="9" t="str">
        <f ca="1">IFERROR(__xludf.DUMMYFUNCTION("""COMPUTED_VALUE"""),"USD PKR rate for 01/03/2013")</f>
        <v>USD PKR rate for 01/03/2013</v>
      </c>
      <c r="I3973" s="9"/>
    </row>
    <row r="3974" spans="1:9" ht="14.25" customHeight="1" x14ac:dyDescent="0.3">
      <c r="A3974" s="6">
        <v>43691</v>
      </c>
      <c r="B3974" s="7">
        <v>160.2336</v>
      </c>
      <c r="C3974" s="8">
        <f t="shared" si="31"/>
        <v>160.72269595103</v>
      </c>
      <c r="D3974" s="9">
        <f t="shared" si="30"/>
        <v>72.615539281877403</v>
      </c>
      <c r="E3974" s="9"/>
      <c r="F3974" s="9">
        <f ca="1">IFERROR(__xludf.DUMMYFUNCTION("""COMPUTED_VALUE"""),41333)</f>
        <v>41333</v>
      </c>
      <c r="G3974" s="9" t="str">
        <f ca="1">IFERROR(__xludf.DUMMYFUNCTION("""COMPUTED_VALUE"""),"1 USD = 98.305 PKR")</f>
        <v>1 USD = 98.305 PKR</v>
      </c>
      <c r="H3974" s="9" t="str">
        <f ca="1">IFERROR(__xludf.DUMMYFUNCTION("""COMPUTED_VALUE"""),"USD PKR rate for 28/02/2013")</f>
        <v>USD PKR rate for 28/02/2013</v>
      </c>
      <c r="I3974" s="9"/>
    </row>
    <row r="3975" spans="1:9" ht="14.25" customHeight="1" x14ac:dyDescent="0.3">
      <c r="A3975" s="6">
        <v>43692</v>
      </c>
      <c r="B3975" s="7">
        <v>160.22319999999999</v>
      </c>
      <c r="C3975" s="8">
        <f t="shared" si="31"/>
        <v>160.7514411679706</v>
      </c>
      <c r="D3975" s="9">
        <f t="shared" si="30"/>
        <v>72.618277114674669</v>
      </c>
      <c r="E3975" s="9"/>
      <c r="F3975" s="9">
        <f ca="1">IFERROR(__xludf.DUMMYFUNCTION("""COMPUTED_VALUE"""),41332)</f>
        <v>41332</v>
      </c>
      <c r="G3975" s="9" t="str">
        <f ca="1">IFERROR(__xludf.DUMMYFUNCTION("""COMPUTED_VALUE"""),"1 USD = 98.3096 PKR")</f>
        <v>1 USD = 98.3096 PKR</v>
      </c>
      <c r="H3975" s="9" t="str">
        <f ca="1">IFERROR(__xludf.DUMMYFUNCTION("""COMPUTED_VALUE"""),"USD PKR rate for 27/02/2013")</f>
        <v>USD PKR rate for 27/02/2013</v>
      </c>
      <c r="I3975" s="9"/>
    </row>
    <row r="3976" spans="1:9" ht="14.25" customHeight="1" x14ac:dyDescent="0.3">
      <c r="A3976" s="6">
        <v>43693</v>
      </c>
      <c r="B3976" s="7">
        <v>159.76500000000001</v>
      </c>
      <c r="C3976" s="8">
        <f t="shared" si="31"/>
        <v>160.78019152598674</v>
      </c>
      <c r="D3976" s="9">
        <f t="shared" si="30"/>
        <v>72.621014947471934</v>
      </c>
      <c r="E3976" s="9"/>
      <c r="F3976" s="9">
        <f ca="1">IFERROR(__xludf.DUMMYFUNCTION("""COMPUTED_VALUE"""),41331)</f>
        <v>41331</v>
      </c>
      <c r="G3976" s="9" t="str">
        <f ca="1">IFERROR(__xludf.DUMMYFUNCTION("""COMPUTED_VALUE"""),"1 USD = 98.2154 PKR")</f>
        <v>1 USD = 98.2154 PKR</v>
      </c>
      <c r="H3976" s="9" t="str">
        <f ca="1">IFERROR(__xludf.DUMMYFUNCTION("""COMPUTED_VALUE"""),"USD PKR rate for 26/02/2013")</f>
        <v>USD PKR rate for 26/02/2013</v>
      </c>
      <c r="I3976" s="9"/>
    </row>
    <row r="3977" spans="1:9" ht="14.25" customHeight="1" x14ac:dyDescent="0.3">
      <c r="A3977" s="6">
        <v>43694</v>
      </c>
      <c r="B3977" s="7">
        <v>159.76500000000001</v>
      </c>
      <c r="C3977" s="8">
        <f t="shared" si="31"/>
        <v>160.80894702599775</v>
      </c>
      <c r="D3977" s="9">
        <f t="shared" si="30"/>
        <v>72.6237527802692</v>
      </c>
      <c r="E3977" s="9"/>
      <c r="F3977" s="9">
        <f ca="1">IFERROR(__xludf.DUMMYFUNCTION("""COMPUTED_VALUE"""),41330)</f>
        <v>41330</v>
      </c>
      <c r="G3977" s="9" t="str">
        <f ca="1">IFERROR(__xludf.DUMMYFUNCTION("""COMPUTED_VALUE"""),"1 USD = 98.5119 PKR")</f>
        <v>1 USD = 98.5119 PKR</v>
      </c>
      <c r="H3977" s="9" t="str">
        <f ca="1">IFERROR(__xludf.DUMMYFUNCTION("""COMPUTED_VALUE"""),"USD PKR rate for 25/02/2013")</f>
        <v>USD PKR rate for 25/02/2013</v>
      </c>
      <c r="I3977" s="9"/>
    </row>
    <row r="3978" spans="1:9" ht="14.25" customHeight="1" x14ac:dyDescent="0.3">
      <c r="A3978" s="6">
        <v>43695</v>
      </c>
      <c r="B3978" s="7">
        <v>160.5925</v>
      </c>
      <c r="C3978" s="8">
        <f t="shared" si="31"/>
        <v>160.83770766892329</v>
      </c>
      <c r="D3978" s="9">
        <f t="shared" si="30"/>
        <v>72.626490613066466</v>
      </c>
      <c r="E3978" s="9"/>
      <c r="F3978" s="9">
        <f ca="1">IFERROR(__xludf.DUMMYFUNCTION("""COMPUTED_VALUE"""),41329)</f>
        <v>41329</v>
      </c>
      <c r="G3978" s="9" t="str">
        <f ca="1">IFERROR(__xludf.DUMMYFUNCTION("""COMPUTED_VALUE"""),"1 USD = 98.3516 PKR")</f>
        <v>1 USD = 98.3516 PKR</v>
      </c>
      <c r="H3978" s="9" t="str">
        <f ca="1">IFERROR(__xludf.DUMMYFUNCTION("""COMPUTED_VALUE"""),"USD PKR rate for 24/02/2013")</f>
        <v>USD PKR rate for 24/02/2013</v>
      </c>
      <c r="I3978" s="9"/>
    </row>
    <row r="3979" spans="1:9" ht="14.25" customHeight="1" x14ac:dyDescent="0.3">
      <c r="A3979" s="6">
        <v>43696</v>
      </c>
      <c r="B3979" s="7">
        <v>158.29910000000001</v>
      </c>
      <c r="C3979" s="8">
        <f t="shared" si="31"/>
        <v>160.86647345568312</v>
      </c>
      <c r="D3979" s="9">
        <f t="shared" si="30"/>
        <v>72.629228445863731</v>
      </c>
      <c r="E3979" s="9"/>
      <c r="F3979" s="9">
        <f ca="1">IFERROR(__xludf.DUMMYFUNCTION("""COMPUTED_VALUE"""),41328)</f>
        <v>41328</v>
      </c>
      <c r="G3979" s="9" t="str">
        <f ca="1">IFERROR(__xludf.DUMMYFUNCTION("""COMPUTED_VALUE"""),"1 USD = 98.1922 PKR")</f>
        <v>1 USD = 98.1922 PKR</v>
      </c>
      <c r="H3979" s="9" t="str">
        <f ca="1">IFERROR(__xludf.DUMMYFUNCTION("""COMPUTED_VALUE"""),"USD PKR rate for 23/02/2013")</f>
        <v>USD PKR rate for 23/02/2013</v>
      </c>
      <c r="I3979" s="9"/>
    </row>
    <row r="3980" spans="1:9" ht="14.25" customHeight="1" x14ac:dyDescent="0.3">
      <c r="A3980" s="6">
        <v>43697</v>
      </c>
      <c r="B3980" s="7">
        <v>160.22829999999999</v>
      </c>
      <c r="C3980" s="8">
        <f t="shared" si="31"/>
        <v>160.89524438719727</v>
      </c>
      <c r="D3980" s="9">
        <f t="shared" si="30"/>
        <v>72.631966278660997</v>
      </c>
      <c r="E3980" s="9"/>
      <c r="F3980" s="9">
        <f ca="1">IFERROR(__xludf.DUMMYFUNCTION("""COMPUTED_VALUE"""),41327)</f>
        <v>41327</v>
      </c>
      <c r="G3980" s="9" t="str">
        <f ca="1">IFERROR(__xludf.DUMMYFUNCTION("""COMPUTED_VALUE"""),"1 USD = 98.3463 PKR")</f>
        <v>1 USD = 98.3463 PKR</v>
      </c>
      <c r="H3980" s="9" t="str">
        <f ca="1">IFERROR(__xludf.DUMMYFUNCTION("""COMPUTED_VALUE"""),"USD PKR rate for 22/02/2013")</f>
        <v>USD PKR rate for 22/02/2013</v>
      </c>
      <c r="I3980" s="9"/>
    </row>
    <row r="3981" spans="1:9" ht="14.25" customHeight="1" x14ac:dyDescent="0.3">
      <c r="A3981" s="6">
        <v>43698</v>
      </c>
      <c r="B3981" s="7">
        <v>160.05279999999999</v>
      </c>
      <c r="C3981" s="8">
        <f t="shared" si="31"/>
        <v>160.92402046438585</v>
      </c>
      <c r="D3981" s="9">
        <f t="shared" si="30"/>
        <v>72.634704111458262</v>
      </c>
      <c r="E3981" s="9"/>
      <c r="F3981" s="9">
        <f ca="1">IFERROR(__xludf.DUMMYFUNCTION("""COMPUTED_VALUE"""),41326)</f>
        <v>41326</v>
      </c>
      <c r="G3981" s="9" t="str">
        <f ca="1">IFERROR(__xludf.DUMMYFUNCTION("""COMPUTED_VALUE"""),"1 USD = 98.0875 PKR")</f>
        <v>1 USD = 98.0875 PKR</v>
      </c>
      <c r="H3981" s="9" t="str">
        <f ca="1">IFERROR(__xludf.DUMMYFUNCTION("""COMPUTED_VALUE"""),"USD PKR rate for 21/02/2013")</f>
        <v>USD PKR rate for 21/02/2013</v>
      </c>
      <c r="I3981" s="9"/>
    </row>
    <row r="3982" spans="1:9" ht="14.25" customHeight="1" x14ac:dyDescent="0.3">
      <c r="A3982" s="6">
        <v>43699</v>
      </c>
      <c r="B3982" s="7">
        <v>160.36920000000001</v>
      </c>
      <c r="C3982" s="8">
        <f t="shared" si="31"/>
        <v>160.95280168816916</v>
      </c>
      <c r="D3982" s="9">
        <f t="shared" si="30"/>
        <v>72.637441944255528</v>
      </c>
      <c r="E3982" s="9"/>
      <c r="F3982" s="9">
        <f ca="1">IFERROR(__xludf.DUMMYFUNCTION("""COMPUTED_VALUE"""),41325)</f>
        <v>41325</v>
      </c>
      <c r="G3982" s="9" t="str">
        <f ca="1">IFERROR(__xludf.DUMMYFUNCTION("""COMPUTED_VALUE"""),"1 USD = 98.4099 PKR")</f>
        <v>1 USD = 98.4099 PKR</v>
      </c>
      <c r="H3982" s="9" t="str">
        <f ca="1">IFERROR(__xludf.DUMMYFUNCTION("""COMPUTED_VALUE"""),"USD PKR rate for 20/02/2013")</f>
        <v>USD PKR rate for 20/02/2013</v>
      </c>
      <c r="I3982" s="9"/>
    </row>
    <row r="3983" spans="1:9" ht="14.25" customHeight="1" x14ac:dyDescent="0.3">
      <c r="A3983" s="6">
        <v>43700</v>
      </c>
      <c r="B3983" s="7">
        <v>160.04</v>
      </c>
      <c r="C3983" s="8">
        <f t="shared" si="31"/>
        <v>160.9815880594677</v>
      </c>
      <c r="D3983" s="9">
        <f t="shared" si="30"/>
        <v>72.640179777052793</v>
      </c>
      <c r="E3983" s="9"/>
      <c r="F3983" s="9">
        <f ca="1">IFERROR(__xludf.DUMMYFUNCTION("""COMPUTED_VALUE"""),41324)</f>
        <v>41324</v>
      </c>
      <c r="G3983" s="9" t="str">
        <f ca="1">IFERROR(__xludf.DUMMYFUNCTION("""COMPUTED_VALUE"""),"1 USD = 98.1317 PKR")</f>
        <v>1 USD = 98.1317 PKR</v>
      </c>
      <c r="H3983" s="9" t="str">
        <f ca="1">IFERROR(__xludf.DUMMYFUNCTION("""COMPUTED_VALUE"""),"USD PKR rate for 19/02/2013")</f>
        <v>USD PKR rate for 19/02/2013</v>
      </c>
      <c r="I3983" s="9"/>
    </row>
    <row r="3984" spans="1:9" ht="14.25" customHeight="1" x14ac:dyDescent="0.3">
      <c r="A3984" s="6">
        <v>43701</v>
      </c>
      <c r="B3984" s="7">
        <v>160.04020000000003</v>
      </c>
      <c r="C3984" s="8">
        <f t="shared" si="31"/>
        <v>161.01037957920192</v>
      </c>
      <c r="D3984" s="9">
        <f t="shared" si="30"/>
        <v>72.642917609850059</v>
      </c>
      <c r="E3984" s="9"/>
      <c r="F3984" s="9">
        <f ca="1">IFERROR(__xludf.DUMMYFUNCTION("""COMPUTED_VALUE"""),41323)</f>
        <v>41323</v>
      </c>
      <c r="G3984" s="9" t="str">
        <f ca="1">IFERROR(__xludf.DUMMYFUNCTION("""COMPUTED_VALUE"""),"1 USD = 98.1129 PKR")</f>
        <v>1 USD = 98.1129 PKR</v>
      </c>
      <c r="H3984" s="9" t="str">
        <f ca="1">IFERROR(__xludf.DUMMYFUNCTION("""COMPUTED_VALUE"""),"USD PKR rate for 18/02/2013")</f>
        <v>USD PKR rate for 18/02/2013</v>
      </c>
      <c r="I3984" s="9"/>
    </row>
    <row r="3985" spans="1:9" ht="14.25" customHeight="1" x14ac:dyDescent="0.3">
      <c r="A3985" s="6">
        <v>43702</v>
      </c>
      <c r="B3985" s="7">
        <v>157.00819999999999</v>
      </c>
      <c r="C3985" s="8">
        <f t="shared" si="31"/>
        <v>161.03917624829293</v>
      </c>
      <c r="D3985" s="9">
        <f t="shared" si="30"/>
        <v>72.645655442647325</v>
      </c>
      <c r="E3985" s="9"/>
      <c r="F3985" s="9">
        <f ca="1">IFERROR(__xludf.DUMMYFUNCTION("""COMPUTED_VALUE"""),41322)</f>
        <v>41322</v>
      </c>
      <c r="G3985" s="9" t="str">
        <f ca="1">IFERROR(__xludf.DUMMYFUNCTION("""COMPUTED_VALUE"""),"1 USD = 98.1448 PKR")</f>
        <v>1 USD = 98.1448 PKR</v>
      </c>
      <c r="H3985" s="9" t="str">
        <f ca="1">IFERROR(__xludf.DUMMYFUNCTION("""COMPUTED_VALUE"""),"USD PKR rate for 17/02/2013")</f>
        <v>USD PKR rate for 17/02/2013</v>
      </c>
      <c r="I3985" s="9"/>
    </row>
    <row r="3986" spans="1:9" ht="14.25" customHeight="1" x14ac:dyDescent="0.3">
      <c r="A3986" s="6">
        <v>43703</v>
      </c>
      <c r="B3986" s="7">
        <v>158.905</v>
      </c>
      <c r="C3986" s="8">
        <f t="shared" si="31"/>
        <v>161.06797806766153</v>
      </c>
      <c r="D3986" s="9">
        <f t="shared" si="30"/>
        <v>72.64839327544459</v>
      </c>
      <c r="E3986" s="9"/>
      <c r="F3986" s="9">
        <f ca="1">IFERROR(__xludf.DUMMYFUNCTION("""COMPUTED_VALUE"""),41321)</f>
        <v>41321</v>
      </c>
      <c r="G3986" s="9" t="str">
        <f ca="1">IFERROR(__xludf.DUMMYFUNCTION("""COMPUTED_VALUE"""),"1 USD = 98.0652 PKR")</f>
        <v>1 USD = 98.0652 PKR</v>
      </c>
      <c r="H3986" s="9" t="str">
        <f ca="1">IFERROR(__xludf.DUMMYFUNCTION("""COMPUTED_VALUE"""),"USD PKR rate for 16/02/2013")</f>
        <v>USD PKR rate for 16/02/2013</v>
      </c>
      <c r="I3986" s="9"/>
    </row>
    <row r="3987" spans="1:9" ht="14.25" customHeight="1" x14ac:dyDescent="0.3">
      <c r="A3987" s="6">
        <v>43704</v>
      </c>
      <c r="B3987" s="7">
        <v>159.11230000000003</v>
      </c>
      <c r="C3987" s="8">
        <f t="shared" si="31"/>
        <v>161.09678503822886</v>
      </c>
      <c r="D3987" s="9">
        <f t="shared" si="30"/>
        <v>72.651131108241856</v>
      </c>
      <c r="E3987" s="9"/>
      <c r="F3987" s="9">
        <f ca="1">IFERROR(__xludf.DUMMYFUNCTION("""COMPUTED_VALUE"""),41320)</f>
        <v>41320</v>
      </c>
      <c r="G3987" s="9" t="str">
        <f ca="1">IFERROR(__xludf.DUMMYFUNCTION("""COMPUTED_VALUE"""),"1 USD = 98.104 PKR")</f>
        <v>1 USD = 98.104 PKR</v>
      </c>
      <c r="H3987" s="9" t="str">
        <f ca="1">IFERROR(__xludf.DUMMYFUNCTION("""COMPUTED_VALUE"""),"USD PKR rate for 15/02/2013")</f>
        <v>USD PKR rate for 15/02/2013</v>
      </c>
      <c r="I3987" s="9"/>
    </row>
    <row r="3988" spans="1:9" ht="14.25" customHeight="1" x14ac:dyDescent="0.3">
      <c r="A3988" s="6">
        <v>43705</v>
      </c>
      <c r="B3988" s="7">
        <v>158.57650000000001</v>
      </c>
      <c r="C3988" s="8">
        <f t="shared" si="31"/>
        <v>161.12559716091619</v>
      </c>
      <c r="D3988" s="9">
        <f t="shared" si="30"/>
        <v>72.653868941039121</v>
      </c>
      <c r="E3988" s="9"/>
      <c r="F3988" s="9">
        <f ca="1">IFERROR(__xludf.DUMMYFUNCTION("""COMPUTED_VALUE"""),41319)</f>
        <v>41319</v>
      </c>
      <c r="G3988" s="9" t="str">
        <f ca="1">IFERROR(__xludf.DUMMYFUNCTION("""COMPUTED_VALUE"""),"1 USD = 98.0785 PKR")</f>
        <v>1 USD = 98.0785 PKR</v>
      </c>
      <c r="H3988" s="9" t="str">
        <f ca="1">IFERROR(__xludf.DUMMYFUNCTION("""COMPUTED_VALUE"""),"USD PKR rate for 14/02/2013")</f>
        <v>USD PKR rate for 14/02/2013</v>
      </c>
      <c r="I3988" s="9"/>
    </row>
    <row r="3989" spans="1:9" ht="14.25" customHeight="1" x14ac:dyDescent="0.3">
      <c r="A3989" s="6">
        <v>43706</v>
      </c>
      <c r="B3989" s="7">
        <v>158.232</v>
      </c>
      <c r="C3989" s="8">
        <f t="shared" si="31"/>
        <v>161.15441443664497</v>
      </c>
      <c r="D3989" s="9">
        <f t="shared" si="30"/>
        <v>72.656606773836387</v>
      </c>
      <c r="E3989" s="9"/>
      <c r="F3989" s="9">
        <f ca="1">IFERROR(__xludf.DUMMYFUNCTION("""COMPUTED_VALUE"""),41318)</f>
        <v>41318</v>
      </c>
      <c r="G3989" s="9" t="str">
        <f ca="1">IFERROR(__xludf.DUMMYFUNCTION("""COMPUTED_VALUE"""),"1 USD = 98.3268 PKR")</f>
        <v>1 USD = 98.3268 PKR</v>
      </c>
      <c r="H3989" s="9" t="str">
        <f ca="1">IFERROR(__xludf.DUMMYFUNCTION("""COMPUTED_VALUE"""),"USD PKR rate for 13/02/2013")</f>
        <v>USD PKR rate for 13/02/2013</v>
      </c>
      <c r="I3989" s="9"/>
    </row>
    <row r="3990" spans="1:9" ht="14.25" customHeight="1" x14ac:dyDescent="0.3">
      <c r="A3990" s="6">
        <v>43707</v>
      </c>
      <c r="B3990" s="7">
        <v>157.50020000000001</v>
      </c>
      <c r="C3990" s="8">
        <f t="shared" si="31"/>
        <v>161.18323686633687</v>
      </c>
      <c r="D3990" s="9">
        <f t="shared" si="30"/>
        <v>72.659344606633653</v>
      </c>
      <c r="E3990" s="9"/>
      <c r="F3990" s="9">
        <f ca="1">IFERROR(__xludf.DUMMYFUNCTION("""COMPUTED_VALUE"""),41317)</f>
        <v>41317</v>
      </c>
      <c r="G3990" s="9" t="str">
        <f ca="1">IFERROR(__xludf.DUMMYFUNCTION("""COMPUTED_VALUE"""),"1 USD = 98.0673 PKR")</f>
        <v>1 USD = 98.0673 PKR</v>
      </c>
      <c r="H3990" s="9" t="str">
        <f ca="1">IFERROR(__xludf.DUMMYFUNCTION("""COMPUTED_VALUE"""),"USD PKR rate for 12/02/2013")</f>
        <v>USD PKR rate for 12/02/2013</v>
      </c>
      <c r="I3990" s="9"/>
    </row>
    <row r="3991" spans="1:9" ht="14.25" customHeight="1" x14ac:dyDescent="0.3">
      <c r="A3991" s="6">
        <v>43708</v>
      </c>
      <c r="B3991" s="7">
        <v>157.50020000000001</v>
      </c>
      <c r="C3991" s="8">
        <f t="shared" si="31"/>
        <v>161.21206445091363</v>
      </c>
      <c r="D3991" s="9">
        <f t="shared" si="30"/>
        <v>72.662082439430918</v>
      </c>
      <c r="E3991" s="9"/>
      <c r="F3991" s="9">
        <f ca="1">IFERROR(__xludf.DUMMYFUNCTION("""COMPUTED_VALUE"""),41316)</f>
        <v>41316</v>
      </c>
      <c r="G3991" s="9" t="str">
        <f ca="1">IFERROR(__xludf.DUMMYFUNCTION("""COMPUTED_VALUE"""),"1 USD = 98.0889 PKR")</f>
        <v>1 USD = 98.0889 PKR</v>
      </c>
      <c r="H3991" s="9" t="str">
        <f ca="1">IFERROR(__xludf.DUMMYFUNCTION("""COMPUTED_VALUE"""),"USD PKR rate for 11/02/2013")</f>
        <v>USD PKR rate for 11/02/2013</v>
      </c>
      <c r="I3991" s="9"/>
    </row>
    <row r="3992" spans="1:9" ht="14.25" customHeight="1" x14ac:dyDescent="0.3">
      <c r="A3992" s="6">
        <v>43709</v>
      </c>
      <c r="B3992" s="7">
        <v>156.83449999999999</v>
      </c>
      <c r="C3992" s="8">
        <f t="shared" si="31"/>
        <v>161.24089719129722</v>
      </c>
      <c r="D3992" s="9">
        <f t="shared" si="30"/>
        <v>72.664820272228184</v>
      </c>
      <c r="E3992" s="9"/>
      <c r="F3992" s="9">
        <f ca="1">IFERROR(__xludf.DUMMYFUNCTION("""COMPUTED_VALUE"""),41315)</f>
        <v>41315</v>
      </c>
      <c r="G3992" s="9" t="str">
        <f ca="1">IFERROR(__xludf.DUMMYFUNCTION("""COMPUTED_VALUE"""),"1 USD = 98.048 PKR")</f>
        <v>1 USD = 98.048 PKR</v>
      </c>
      <c r="H3992" s="9" t="str">
        <f ca="1">IFERROR(__xludf.DUMMYFUNCTION("""COMPUTED_VALUE"""),"USD PKR rate for 10/02/2013")</f>
        <v>USD PKR rate for 10/02/2013</v>
      </c>
      <c r="I3992" s="9"/>
    </row>
    <row r="3993" spans="1:9" ht="14.25" customHeight="1" x14ac:dyDescent="0.3">
      <c r="A3993" s="6">
        <v>43710</v>
      </c>
      <c r="B3993" s="7">
        <v>156.75290000000004</v>
      </c>
      <c r="C3993" s="8">
        <f t="shared" si="31"/>
        <v>161.26973508840962</v>
      </c>
      <c r="D3993" s="9">
        <f t="shared" si="30"/>
        <v>72.667558105025449</v>
      </c>
      <c r="E3993" s="9"/>
      <c r="F3993" s="9">
        <f ca="1">IFERROR(__xludf.DUMMYFUNCTION("""COMPUTED_VALUE"""),41314)</f>
        <v>41314</v>
      </c>
      <c r="G3993" s="9" t="str">
        <f ca="1">IFERROR(__xludf.DUMMYFUNCTION("""COMPUTED_VALUE"""),"1 USD = 98.0558 PKR")</f>
        <v>1 USD = 98.0558 PKR</v>
      </c>
      <c r="H3993" s="9" t="str">
        <f ca="1">IFERROR(__xludf.DUMMYFUNCTION("""COMPUTED_VALUE"""),"USD PKR rate for 09/02/2013")</f>
        <v>USD PKR rate for 09/02/2013</v>
      </c>
      <c r="I3993" s="9"/>
    </row>
    <row r="3994" spans="1:9" ht="14.25" customHeight="1" x14ac:dyDescent="0.3">
      <c r="A3994" s="6">
        <v>43711</v>
      </c>
      <c r="B3994" s="7">
        <v>156.7269</v>
      </c>
      <c r="C3994" s="8">
        <f t="shared" si="31"/>
        <v>161.29857814317336</v>
      </c>
      <c r="D3994" s="9">
        <f t="shared" si="30"/>
        <v>72.670295937822715</v>
      </c>
      <c r="E3994" s="9"/>
      <c r="F3994" s="9">
        <f ca="1">IFERROR(__xludf.DUMMYFUNCTION("""COMPUTED_VALUE"""),41313)</f>
        <v>41313</v>
      </c>
      <c r="G3994" s="9" t="str">
        <f ca="1">IFERROR(__xludf.DUMMYFUNCTION("""COMPUTED_VALUE"""),"1 USD = 97.9097 PKR")</f>
        <v>1 USD = 97.9097 PKR</v>
      </c>
      <c r="H3994" s="9" t="str">
        <f ca="1">IFERROR(__xludf.DUMMYFUNCTION("""COMPUTED_VALUE"""),"USD PKR rate for 08/02/2013")</f>
        <v>USD PKR rate for 08/02/2013</v>
      </c>
      <c r="I3994" s="9"/>
    </row>
    <row r="3995" spans="1:9" ht="14.25" customHeight="1" x14ac:dyDescent="0.3">
      <c r="A3995" s="6">
        <v>43712</v>
      </c>
      <c r="B3995" s="7">
        <v>156.7458</v>
      </c>
      <c r="C3995" s="8">
        <f t="shared" si="31"/>
        <v>161.32742635651078</v>
      </c>
      <c r="D3995" s="9">
        <f t="shared" si="30"/>
        <v>72.67303377061998</v>
      </c>
      <c r="E3995" s="9"/>
      <c r="F3995" s="9">
        <f ca="1">IFERROR(__xludf.DUMMYFUNCTION("""COMPUTED_VALUE"""),41312)</f>
        <v>41312</v>
      </c>
      <c r="G3995" s="9" t="str">
        <f ca="1">IFERROR(__xludf.DUMMYFUNCTION("""COMPUTED_VALUE"""),"1 USD = 98.1313 PKR")</f>
        <v>1 USD = 98.1313 PKR</v>
      </c>
      <c r="H3995" s="9" t="str">
        <f ca="1">IFERROR(__xludf.DUMMYFUNCTION("""COMPUTED_VALUE"""),"USD PKR rate for 07/02/2013")</f>
        <v>USD PKR rate for 07/02/2013</v>
      </c>
      <c r="I3995" s="9"/>
    </row>
    <row r="3996" spans="1:9" ht="14.25" customHeight="1" x14ac:dyDescent="0.3">
      <c r="A3996" s="6">
        <v>43713</v>
      </c>
      <c r="B3996" s="7">
        <v>156.88510000000002</v>
      </c>
      <c r="C3996" s="8">
        <f t="shared" si="31"/>
        <v>161.35627972934446</v>
      </c>
      <c r="D3996" s="9">
        <f t="shared" si="30"/>
        <v>72.675771603417246</v>
      </c>
      <c r="E3996" s="9"/>
      <c r="F3996" s="9">
        <f ca="1">IFERROR(__xludf.DUMMYFUNCTION("""COMPUTED_VALUE"""),41311)</f>
        <v>41311</v>
      </c>
      <c r="G3996" s="9" t="str">
        <f ca="1">IFERROR(__xludf.DUMMYFUNCTION("""COMPUTED_VALUE"""),"1 USD = 97.9532 PKR")</f>
        <v>1 USD = 97.9532 PKR</v>
      </c>
      <c r="H3996" s="9" t="str">
        <f ca="1">IFERROR(__xludf.DUMMYFUNCTION("""COMPUTED_VALUE"""),"USD PKR rate for 06/02/2013")</f>
        <v>USD PKR rate for 06/02/2013</v>
      </c>
      <c r="I3996" s="9"/>
    </row>
    <row r="3997" spans="1:9" ht="14.25" customHeight="1" x14ac:dyDescent="0.3">
      <c r="A3997" s="6">
        <v>43714</v>
      </c>
      <c r="B3997" s="7">
        <v>156.21870000000001</v>
      </c>
      <c r="C3997" s="8">
        <f t="shared" si="31"/>
        <v>161.3851382625972</v>
      </c>
      <c r="D3997" s="9">
        <f t="shared" si="30"/>
        <v>72.678509436214512</v>
      </c>
      <c r="E3997" s="9"/>
      <c r="F3997" s="9">
        <f ca="1">IFERROR(__xludf.DUMMYFUNCTION("""COMPUTED_VALUE"""),41310)</f>
        <v>41310</v>
      </c>
      <c r="G3997" s="9" t="str">
        <f ca="1">IFERROR(__xludf.DUMMYFUNCTION("""COMPUTED_VALUE"""),"1 USD = 97.725 PKR")</f>
        <v>1 USD = 97.725 PKR</v>
      </c>
      <c r="H3997" s="9" t="str">
        <f ca="1">IFERROR(__xludf.DUMMYFUNCTION("""COMPUTED_VALUE"""),"USD PKR rate for 05/02/2013")</f>
        <v>USD PKR rate for 05/02/2013</v>
      </c>
      <c r="I3997" s="9"/>
    </row>
    <row r="3998" spans="1:9" ht="14.25" customHeight="1" x14ac:dyDescent="0.3">
      <c r="A3998" s="6">
        <v>43715</v>
      </c>
      <c r="B3998" s="7">
        <v>156.21940000000001</v>
      </c>
      <c r="C3998" s="8">
        <f t="shared" si="31"/>
        <v>161.41400195719191</v>
      </c>
      <c r="D3998" s="9">
        <f t="shared" si="30"/>
        <v>72.681247269011777</v>
      </c>
      <c r="E3998" s="9"/>
      <c r="F3998" s="9">
        <f ca="1">IFERROR(__xludf.DUMMYFUNCTION("""COMPUTED_VALUE"""),41309)</f>
        <v>41309</v>
      </c>
      <c r="G3998" s="9" t="str">
        <f ca="1">IFERROR(__xludf.DUMMYFUNCTION("""COMPUTED_VALUE"""),"1 USD = 97.9273 PKR")</f>
        <v>1 USD = 97.9273 PKR</v>
      </c>
      <c r="H3998" s="9" t="str">
        <f ca="1">IFERROR(__xludf.DUMMYFUNCTION("""COMPUTED_VALUE"""),"USD PKR rate for 04/02/2013")</f>
        <v>USD PKR rate for 04/02/2013</v>
      </c>
      <c r="I3998" s="9"/>
    </row>
    <row r="3999" spans="1:9" ht="14.25" customHeight="1" x14ac:dyDescent="0.3">
      <c r="A3999" s="6">
        <v>43716</v>
      </c>
      <c r="B3999" s="7">
        <v>155.64930000000001</v>
      </c>
      <c r="C3999" s="8">
        <f t="shared" si="31"/>
        <v>161.4428708140517</v>
      </c>
      <c r="D3999" s="9">
        <f t="shared" si="30"/>
        <v>72.683985101809043</v>
      </c>
      <c r="E3999" s="9"/>
      <c r="F3999" s="9">
        <f ca="1">IFERROR(__xludf.DUMMYFUNCTION("""COMPUTED_VALUE"""),41308)</f>
        <v>41308</v>
      </c>
      <c r="G3999" s="9" t="str">
        <f ca="1">IFERROR(__xludf.DUMMYFUNCTION("""COMPUTED_VALUE"""),"1 USD = 97.7703 PKR")</f>
        <v>1 USD = 97.7703 PKR</v>
      </c>
      <c r="H3999" s="9" t="str">
        <f ca="1">IFERROR(__xludf.DUMMYFUNCTION("""COMPUTED_VALUE"""),"USD PKR rate for 03/02/2013")</f>
        <v>USD PKR rate for 03/02/2013</v>
      </c>
      <c r="I3999" s="9"/>
    </row>
    <row r="4000" spans="1:9" ht="14.25" customHeight="1" x14ac:dyDescent="0.3">
      <c r="A4000" s="6">
        <v>43717</v>
      </c>
      <c r="B4000" s="7">
        <v>156.4615</v>
      </c>
      <c r="C4000" s="8">
        <f t="shared" si="31"/>
        <v>161.47174483409989</v>
      </c>
      <c r="D4000" s="9">
        <f t="shared" si="30"/>
        <v>72.686722934606308</v>
      </c>
      <c r="E4000" s="9"/>
      <c r="F4000" s="9">
        <f ca="1">IFERROR(__xludf.DUMMYFUNCTION("""COMPUTED_VALUE"""),41307)</f>
        <v>41307</v>
      </c>
      <c r="G4000" s="9" t="str">
        <f ca="1">IFERROR(__xludf.DUMMYFUNCTION("""COMPUTED_VALUE"""),"1 USD = 98.0736 PKR")</f>
        <v>1 USD = 98.0736 PKR</v>
      </c>
      <c r="H4000" s="9" t="str">
        <f ca="1">IFERROR(__xludf.DUMMYFUNCTION("""COMPUTED_VALUE"""),"USD PKR rate for 02/02/2013")</f>
        <v>USD PKR rate for 02/02/2013</v>
      </c>
      <c r="I4000" s="9"/>
    </row>
    <row r="4001" spans="1:9" ht="14.25" customHeight="1" x14ac:dyDescent="0.3">
      <c r="A4001" s="6">
        <v>43718</v>
      </c>
      <c r="B4001" s="7">
        <v>156.72810000000001</v>
      </c>
      <c r="C4001" s="8">
        <f t="shared" si="31"/>
        <v>161.50062401825986</v>
      </c>
      <c r="D4001" s="9">
        <f t="shared" si="30"/>
        <v>72.689460767403574</v>
      </c>
      <c r="E4001" s="9"/>
      <c r="F4001" s="9">
        <f ca="1">IFERROR(__xludf.DUMMYFUNCTION("""COMPUTED_VALUE"""),41306)</f>
        <v>41306</v>
      </c>
      <c r="G4001" s="9" t="str">
        <f ca="1">IFERROR(__xludf.DUMMYFUNCTION("""COMPUTED_VALUE"""),"1 USD = 98.0238 PKR")</f>
        <v>1 USD = 98.0238 PKR</v>
      </c>
      <c r="H4001" s="9" t="str">
        <f ca="1">IFERROR(__xludf.DUMMYFUNCTION("""COMPUTED_VALUE"""),"USD PKR rate for 01/02/2013")</f>
        <v>USD PKR rate for 01/02/2013</v>
      </c>
      <c r="I4001" s="9"/>
    </row>
    <row r="4002" spans="1:9" ht="14.25" customHeight="1" x14ac:dyDescent="0.3">
      <c r="A4002" s="6">
        <v>43719</v>
      </c>
      <c r="B4002" s="7">
        <v>156.50530000000003</v>
      </c>
      <c r="C4002" s="8">
        <f t="shared" si="31"/>
        <v>161.52950836745507</v>
      </c>
      <c r="D4002" s="9">
        <f t="shared" si="30"/>
        <v>72.69219860020084</v>
      </c>
      <c r="E4002" s="9"/>
      <c r="F4002" s="9">
        <f ca="1">IFERROR(__xludf.DUMMYFUNCTION("""COMPUTED_VALUE"""),41305)</f>
        <v>41305</v>
      </c>
      <c r="G4002" s="9" t="str">
        <f ca="1">IFERROR(__xludf.DUMMYFUNCTION("""COMPUTED_VALUE"""),"1 USD = 97.4958 PKR")</f>
        <v>1 USD = 97.4958 PKR</v>
      </c>
      <c r="H4002" s="9" t="str">
        <f ca="1">IFERROR(__xludf.DUMMYFUNCTION("""COMPUTED_VALUE"""),"USD PKR rate for 31/01/2013")</f>
        <v>USD PKR rate for 31/01/2013</v>
      </c>
      <c r="I4002" s="9"/>
    </row>
    <row r="4003" spans="1:9" ht="14.25" customHeight="1" x14ac:dyDescent="0.3">
      <c r="A4003" s="6">
        <v>43720</v>
      </c>
      <c r="B4003" s="7">
        <v>156.70500000000001</v>
      </c>
      <c r="C4003" s="8">
        <f t="shared" si="31"/>
        <v>161.5583978826096</v>
      </c>
      <c r="D4003" s="9">
        <f t="shared" si="30"/>
        <v>72.694936432998105</v>
      </c>
      <c r="E4003" s="9"/>
      <c r="F4003" s="9">
        <f ca="1">IFERROR(__xludf.DUMMYFUNCTION("""COMPUTED_VALUE"""),41304)</f>
        <v>41304</v>
      </c>
      <c r="G4003" s="9" t="str">
        <f ca="1">IFERROR(__xludf.DUMMYFUNCTION("""COMPUTED_VALUE"""),"1 USD = 97.6747 PKR")</f>
        <v>1 USD = 97.6747 PKR</v>
      </c>
      <c r="H4003" s="9" t="str">
        <f ca="1">IFERROR(__xludf.DUMMYFUNCTION("""COMPUTED_VALUE"""),"USD PKR rate for 30/01/2013")</f>
        <v>USD PKR rate for 30/01/2013</v>
      </c>
      <c r="I4003" s="9"/>
    </row>
    <row r="4004" spans="1:9" ht="14.25" customHeight="1" x14ac:dyDescent="0.3">
      <c r="A4004" s="6">
        <v>43721</v>
      </c>
      <c r="B4004" s="7">
        <v>156.65010000000001</v>
      </c>
      <c r="C4004" s="8">
        <f t="shared" si="31"/>
        <v>161.58729256464721</v>
      </c>
      <c r="D4004" s="9">
        <f t="shared" si="30"/>
        <v>72.697674265795371</v>
      </c>
      <c r="E4004" s="9"/>
      <c r="F4004" s="9">
        <f ca="1">IFERROR(__xludf.DUMMYFUNCTION("""COMPUTED_VALUE"""),41303)</f>
        <v>41303</v>
      </c>
      <c r="G4004" s="9" t="str">
        <f ca="1">IFERROR(__xludf.DUMMYFUNCTION("""COMPUTED_VALUE"""),"1 USD = 97.6122 PKR")</f>
        <v>1 USD = 97.6122 PKR</v>
      </c>
      <c r="H4004" s="9" t="str">
        <f ca="1">IFERROR(__xludf.DUMMYFUNCTION("""COMPUTED_VALUE"""),"USD PKR rate for 29/01/2013")</f>
        <v>USD PKR rate for 29/01/2013</v>
      </c>
      <c r="I4004" s="9"/>
    </row>
    <row r="4005" spans="1:9" ht="14.25" customHeight="1" x14ac:dyDescent="0.3">
      <c r="A4005" s="6">
        <v>43722</v>
      </c>
      <c r="B4005" s="7">
        <v>156.65020000000001</v>
      </c>
      <c r="C4005" s="8">
        <f t="shared" si="31"/>
        <v>161.61619241449205</v>
      </c>
      <c r="D4005" s="9">
        <f t="shared" si="30"/>
        <v>72.700412098592636</v>
      </c>
      <c r="E4005" s="9"/>
      <c r="F4005" s="9">
        <f ca="1">IFERROR(__xludf.DUMMYFUNCTION("""COMPUTED_VALUE"""),41302)</f>
        <v>41302</v>
      </c>
      <c r="G4005" s="9" t="str">
        <f ca="1">IFERROR(__xludf.DUMMYFUNCTION("""COMPUTED_VALUE"""),"1 USD = 97.7475 PKR")</f>
        <v>1 USD = 97.7475 PKR</v>
      </c>
      <c r="H4005" s="9" t="str">
        <f ca="1">IFERROR(__xludf.DUMMYFUNCTION("""COMPUTED_VALUE"""),"USD PKR rate for 28/01/2013")</f>
        <v>USD PKR rate for 28/01/2013</v>
      </c>
      <c r="I4005" s="9"/>
    </row>
    <row r="4006" spans="1:9" ht="14.25" customHeight="1" x14ac:dyDescent="0.3">
      <c r="A4006" s="6">
        <v>43723</v>
      </c>
      <c r="B4006" s="7">
        <v>156.52889999999999</v>
      </c>
      <c r="C4006" s="8">
        <f t="shared" si="31"/>
        <v>161.64509743306829</v>
      </c>
      <c r="D4006" s="9">
        <f t="shared" si="30"/>
        <v>72.703149931389902</v>
      </c>
      <c r="E4006" s="9"/>
      <c r="F4006" s="9">
        <f ca="1">IFERROR(__xludf.DUMMYFUNCTION("""COMPUTED_VALUE"""),41301)</f>
        <v>41301</v>
      </c>
      <c r="G4006" s="9" t="str">
        <f ca="1">IFERROR(__xludf.DUMMYFUNCTION("""COMPUTED_VALUE"""),"1 USD = 97.7424 PKR")</f>
        <v>1 USD = 97.7424 PKR</v>
      </c>
      <c r="H4006" s="9" t="str">
        <f ca="1">IFERROR(__xludf.DUMMYFUNCTION("""COMPUTED_VALUE"""),"USD PKR rate for 27/01/2013")</f>
        <v>USD PKR rate for 27/01/2013</v>
      </c>
      <c r="I4006" s="9"/>
    </row>
    <row r="4007" spans="1:9" ht="14.25" customHeight="1" x14ac:dyDescent="0.3">
      <c r="A4007" s="6">
        <v>43724</v>
      </c>
      <c r="B4007" s="7">
        <v>155.74619999999999</v>
      </c>
      <c r="C4007" s="8">
        <f t="shared" si="31"/>
        <v>161.67400762130043</v>
      </c>
      <c r="D4007" s="9">
        <f t="shared" si="30"/>
        <v>72.705887764187167</v>
      </c>
      <c r="E4007" s="9"/>
      <c r="F4007" s="9">
        <f ca="1">IFERROR(__xludf.DUMMYFUNCTION("""COMPUTED_VALUE"""),41300)</f>
        <v>41300</v>
      </c>
      <c r="G4007" s="9" t="str">
        <f ca="1">IFERROR(__xludf.DUMMYFUNCTION("""COMPUTED_VALUE"""),"1 USD = 97.7065 PKR")</f>
        <v>1 USD = 97.7065 PKR</v>
      </c>
      <c r="H4007" s="9" t="str">
        <f ca="1">IFERROR(__xludf.DUMMYFUNCTION("""COMPUTED_VALUE"""),"USD PKR rate for 26/01/2013")</f>
        <v>USD PKR rate for 26/01/2013</v>
      </c>
      <c r="I4007" s="9"/>
    </row>
    <row r="4008" spans="1:9" ht="14.25" customHeight="1" x14ac:dyDescent="0.3">
      <c r="A4008" s="6">
        <v>43725</v>
      </c>
      <c r="B4008" s="7">
        <v>156.5701</v>
      </c>
      <c r="C4008" s="8">
        <f t="shared" si="31"/>
        <v>161.70292298011304</v>
      </c>
      <c r="D4008" s="9">
        <f t="shared" si="30"/>
        <v>72.708625596984433</v>
      </c>
      <c r="E4008" s="9"/>
      <c r="F4008" s="9">
        <f ca="1">IFERROR(__xludf.DUMMYFUNCTION("""COMPUTED_VALUE"""),41299)</f>
        <v>41299</v>
      </c>
      <c r="G4008" s="9" t="str">
        <f ca="1">IFERROR(__xludf.DUMMYFUNCTION("""COMPUTED_VALUE"""),"1 USD = 97.7446 PKR")</f>
        <v>1 USD = 97.7446 PKR</v>
      </c>
      <c r="H4008" s="9" t="str">
        <f ca="1">IFERROR(__xludf.DUMMYFUNCTION("""COMPUTED_VALUE"""),"USD PKR rate for 25/01/2013")</f>
        <v>USD PKR rate for 25/01/2013</v>
      </c>
      <c r="I4008" s="9"/>
    </row>
    <row r="4009" spans="1:9" ht="14.25" customHeight="1" x14ac:dyDescent="0.3">
      <c r="A4009" s="6">
        <v>43726</v>
      </c>
      <c r="B4009" s="7">
        <v>156.8648</v>
      </c>
      <c r="C4009" s="8">
        <f t="shared" si="31"/>
        <v>161.73184351043088</v>
      </c>
      <c r="D4009" s="9">
        <f t="shared" si="30"/>
        <v>72.711363429781699</v>
      </c>
      <c r="E4009" s="9"/>
      <c r="F4009" s="9">
        <f ca="1">IFERROR(__xludf.DUMMYFUNCTION("""COMPUTED_VALUE"""),41298)</f>
        <v>41298</v>
      </c>
      <c r="G4009" s="9" t="str">
        <f ca="1">IFERROR(__xludf.DUMMYFUNCTION("""COMPUTED_VALUE"""),"1 USD = 97.6864 PKR")</f>
        <v>1 USD = 97.6864 PKR</v>
      </c>
      <c r="H4009" s="9" t="str">
        <f ca="1">IFERROR(__xludf.DUMMYFUNCTION("""COMPUTED_VALUE"""),"USD PKR rate for 24/01/2013")</f>
        <v>USD PKR rate for 24/01/2013</v>
      </c>
      <c r="I4009" s="9"/>
    </row>
    <row r="4010" spans="1:9" ht="14.25" customHeight="1" x14ac:dyDescent="0.3">
      <c r="A4010" s="6">
        <v>43727</v>
      </c>
      <c r="B4010" s="7">
        <v>156.78380000000001</v>
      </c>
      <c r="C4010" s="8">
        <f t="shared" si="31"/>
        <v>161.76076921317886</v>
      </c>
      <c r="D4010" s="9">
        <f t="shared" si="30"/>
        <v>72.714101262578964</v>
      </c>
      <c r="E4010" s="9"/>
      <c r="F4010" s="9">
        <f ca="1">IFERROR(__xludf.DUMMYFUNCTION("""COMPUTED_VALUE"""),41297)</f>
        <v>41297</v>
      </c>
      <c r="G4010" s="9" t="str">
        <f ca="1">IFERROR(__xludf.DUMMYFUNCTION("""COMPUTED_VALUE"""),"1 USD = 97.7735 PKR")</f>
        <v>1 USD = 97.7735 PKR</v>
      </c>
      <c r="H4010" s="9" t="str">
        <f ca="1">IFERROR(__xludf.DUMMYFUNCTION("""COMPUTED_VALUE"""),"USD PKR rate for 23/01/2013")</f>
        <v>USD PKR rate for 23/01/2013</v>
      </c>
      <c r="I4010" s="9"/>
    </row>
    <row r="4011" spans="1:9" ht="14.25" customHeight="1" x14ac:dyDescent="0.3">
      <c r="A4011" s="6">
        <v>43728</v>
      </c>
      <c r="B4011" s="7">
        <v>156.83410000000001</v>
      </c>
      <c r="C4011" s="8">
        <f t="shared" si="31"/>
        <v>161.78970008928209</v>
      </c>
      <c r="D4011" s="9">
        <f t="shared" si="30"/>
        <v>72.71683909537623</v>
      </c>
      <c r="E4011" s="9"/>
      <c r="F4011" s="9">
        <f ca="1">IFERROR(__xludf.DUMMYFUNCTION("""COMPUTED_VALUE"""),41296)</f>
        <v>41296</v>
      </c>
      <c r="G4011" s="9" t="str">
        <f ca="1">IFERROR(__xludf.DUMMYFUNCTION("""COMPUTED_VALUE"""),"1 USD = 97.811 PKR")</f>
        <v>1 USD = 97.811 PKR</v>
      </c>
      <c r="H4011" s="9" t="str">
        <f ca="1">IFERROR(__xludf.DUMMYFUNCTION("""COMPUTED_VALUE"""),"USD PKR rate for 22/01/2013")</f>
        <v>USD PKR rate for 22/01/2013</v>
      </c>
      <c r="I4011" s="9"/>
    </row>
    <row r="4012" spans="1:9" ht="14.25" customHeight="1" x14ac:dyDescent="0.3">
      <c r="A4012" s="6">
        <v>43729</v>
      </c>
      <c r="B4012" s="7">
        <v>156.83410000000001</v>
      </c>
      <c r="C4012" s="8">
        <f t="shared" si="31"/>
        <v>161.81863613966564</v>
      </c>
      <c r="D4012" s="9">
        <f t="shared" si="30"/>
        <v>72.719576928173495</v>
      </c>
      <c r="E4012" s="9"/>
      <c r="F4012" s="9">
        <f ca="1">IFERROR(__xludf.DUMMYFUNCTION("""COMPUTED_VALUE"""),41295)</f>
        <v>41295</v>
      </c>
      <c r="G4012" s="9" t="str">
        <f ca="1">IFERROR(__xludf.DUMMYFUNCTION("""COMPUTED_VALUE"""),"1 USD = 97.838 PKR")</f>
        <v>1 USD = 97.838 PKR</v>
      </c>
      <c r="H4012" s="9" t="str">
        <f ca="1">IFERROR(__xludf.DUMMYFUNCTION("""COMPUTED_VALUE"""),"USD PKR rate for 21/01/2013")</f>
        <v>USD PKR rate for 21/01/2013</v>
      </c>
      <c r="I4012" s="9"/>
    </row>
    <row r="4013" spans="1:9" ht="14.25" customHeight="1" x14ac:dyDescent="0.3">
      <c r="A4013" s="6">
        <v>43730</v>
      </c>
      <c r="B4013" s="7">
        <v>156.38679999999999</v>
      </c>
      <c r="C4013" s="8">
        <f t="shared" si="31"/>
        <v>161.84757736525526</v>
      </c>
      <c r="D4013" s="9">
        <f t="shared" si="30"/>
        <v>72.722314760970761</v>
      </c>
      <c r="E4013" s="9"/>
      <c r="F4013" s="9">
        <f ca="1">IFERROR(__xludf.DUMMYFUNCTION("""COMPUTED_VALUE"""),41294)</f>
        <v>41294</v>
      </c>
      <c r="G4013" s="9" t="str">
        <f ca="1">IFERROR(__xludf.DUMMYFUNCTION("""COMPUTED_VALUE"""),"1 USD = 97.8332 PKR")</f>
        <v>1 USD = 97.8332 PKR</v>
      </c>
      <c r="H4013" s="9" t="str">
        <f ca="1">IFERROR(__xludf.DUMMYFUNCTION("""COMPUTED_VALUE"""),"USD PKR rate for 20/01/2013")</f>
        <v>USD PKR rate for 20/01/2013</v>
      </c>
      <c r="I4013" s="9"/>
    </row>
    <row r="4014" spans="1:9" ht="14.25" customHeight="1" x14ac:dyDescent="0.3">
      <c r="A4014" s="6">
        <v>43731</v>
      </c>
      <c r="B4014" s="7">
        <v>156.68129999999999</v>
      </c>
      <c r="C4014" s="8">
        <f t="shared" si="31"/>
        <v>161.87652376697636</v>
      </c>
      <c r="D4014" s="9">
        <f t="shared" si="30"/>
        <v>72.725052593768027</v>
      </c>
      <c r="E4014" s="9"/>
      <c r="F4014" s="9">
        <f ca="1">IFERROR(__xludf.DUMMYFUNCTION("""COMPUTED_VALUE"""),41293)</f>
        <v>41293</v>
      </c>
      <c r="G4014" s="9" t="str">
        <f ca="1">IFERROR(__xludf.DUMMYFUNCTION("""COMPUTED_VALUE"""),"1 USD = 97.7138 PKR")</f>
        <v>1 USD = 97.7138 PKR</v>
      </c>
      <c r="H4014" s="9" t="str">
        <f ca="1">IFERROR(__xludf.DUMMYFUNCTION("""COMPUTED_VALUE"""),"USD PKR rate for 19/01/2013")</f>
        <v>USD PKR rate for 19/01/2013</v>
      </c>
      <c r="I4014" s="9"/>
    </row>
    <row r="4015" spans="1:9" ht="14.25" customHeight="1" x14ac:dyDescent="0.3">
      <c r="A4015" s="6">
        <v>43732</v>
      </c>
      <c r="B4015" s="7">
        <v>156.56120000000001</v>
      </c>
      <c r="C4015" s="8">
        <f t="shared" si="31"/>
        <v>161.90547534575472</v>
      </c>
      <c r="D4015" s="9">
        <f t="shared" si="30"/>
        <v>72.727790426565292</v>
      </c>
      <c r="E4015" s="9"/>
      <c r="F4015" s="9">
        <f ca="1">IFERROR(__xludf.DUMMYFUNCTION("""COMPUTED_VALUE"""),41292)</f>
        <v>41292</v>
      </c>
      <c r="G4015" s="9" t="str">
        <f ca="1">IFERROR(__xludf.DUMMYFUNCTION("""COMPUTED_VALUE"""),"1 USD = 97.8332 PKR")</f>
        <v>1 USD = 97.8332 PKR</v>
      </c>
      <c r="H4015" s="9" t="str">
        <f ca="1">IFERROR(__xludf.DUMMYFUNCTION("""COMPUTED_VALUE"""),"USD PKR rate for 18/01/2013")</f>
        <v>USD PKR rate for 18/01/2013</v>
      </c>
      <c r="I4015" s="9"/>
    </row>
    <row r="4016" spans="1:9" ht="14.25" customHeight="1" x14ac:dyDescent="0.3">
      <c r="A4016" s="6">
        <v>43733</v>
      </c>
      <c r="B4016" s="7">
        <v>156.6557</v>
      </c>
      <c r="C4016" s="8">
        <f t="shared" si="31"/>
        <v>161.93443210251624</v>
      </c>
      <c r="D4016" s="9">
        <f t="shared" si="30"/>
        <v>72.730528259362558</v>
      </c>
      <c r="E4016" s="9"/>
      <c r="F4016" s="9">
        <f ca="1">IFERROR(__xludf.DUMMYFUNCTION("""COMPUTED_VALUE"""),41291)</f>
        <v>41291</v>
      </c>
      <c r="G4016" s="9" t="str">
        <f ca="1">IFERROR(__xludf.DUMMYFUNCTION("""COMPUTED_VALUE"""),"1 USD = 97.8828 PKR")</f>
        <v>1 USD = 97.8828 PKR</v>
      </c>
      <c r="H4016" s="9" t="str">
        <f ca="1">IFERROR(__xludf.DUMMYFUNCTION("""COMPUTED_VALUE"""),"USD PKR rate for 17/01/2013")</f>
        <v>USD PKR rate for 17/01/2013</v>
      </c>
      <c r="I4016" s="9"/>
    </row>
    <row r="4017" spans="1:9" ht="14.25" customHeight="1" x14ac:dyDescent="0.3">
      <c r="A4017" s="6">
        <v>43734</v>
      </c>
      <c r="B4017" s="7">
        <v>157.28290000000004</v>
      </c>
      <c r="C4017" s="8">
        <f t="shared" si="31"/>
        <v>161.96339403818698</v>
      </c>
      <c r="D4017" s="9">
        <f t="shared" si="30"/>
        <v>72.733266092159823</v>
      </c>
      <c r="E4017" s="9"/>
      <c r="F4017" s="9">
        <f ca="1">IFERROR(__xludf.DUMMYFUNCTION("""COMPUTED_VALUE"""),41290)</f>
        <v>41290</v>
      </c>
      <c r="G4017" s="9" t="str">
        <f ca="1">IFERROR(__xludf.DUMMYFUNCTION("""COMPUTED_VALUE"""),"1 USD = 97.667 PKR")</f>
        <v>1 USD = 97.667 PKR</v>
      </c>
      <c r="H4017" s="9" t="str">
        <f ca="1">IFERROR(__xludf.DUMMYFUNCTION("""COMPUTED_VALUE"""),"USD PKR rate for 16/01/2013")</f>
        <v>USD PKR rate for 16/01/2013</v>
      </c>
      <c r="I4017" s="9"/>
    </row>
    <row r="4018" spans="1:9" ht="14.25" customHeight="1" x14ac:dyDescent="0.3">
      <c r="A4018" s="6">
        <v>43735</v>
      </c>
      <c r="B4018" s="7">
        <v>156.85</v>
      </c>
      <c r="C4018" s="8">
        <f t="shared" si="31"/>
        <v>161.99236115369322</v>
      </c>
      <c r="D4018" s="9">
        <f t="shared" si="30"/>
        <v>72.736003924957089</v>
      </c>
      <c r="E4018" s="9"/>
      <c r="F4018" s="9">
        <f ca="1">IFERROR(__xludf.DUMMYFUNCTION("""COMPUTED_VALUE"""),41289)</f>
        <v>41289</v>
      </c>
      <c r="G4018" s="9" t="str">
        <f ca="1">IFERROR(__xludf.DUMMYFUNCTION("""COMPUTED_VALUE"""),"1 USD = 97.3089 PKR")</f>
        <v>1 USD = 97.3089 PKR</v>
      </c>
      <c r="H4018" s="9" t="str">
        <f ca="1">IFERROR(__xludf.DUMMYFUNCTION("""COMPUTED_VALUE"""),"USD PKR rate for 15/01/2013")</f>
        <v>USD PKR rate for 15/01/2013</v>
      </c>
      <c r="I4018" s="9"/>
    </row>
    <row r="4019" spans="1:9" ht="14.25" customHeight="1" x14ac:dyDescent="0.3">
      <c r="A4019" s="6">
        <v>43736</v>
      </c>
      <c r="B4019" s="7">
        <v>156.82490000000001</v>
      </c>
      <c r="C4019" s="8">
        <f t="shared" si="31"/>
        <v>162.02133344996133</v>
      </c>
      <c r="D4019" s="9">
        <f t="shared" si="30"/>
        <v>72.738741757754354</v>
      </c>
      <c r="E4019" s="9"/>
      <c r="F4019" s="9">
        <f ca="1">IFERROR(__xludf.DUMMYFUNCTION("""COMPUTED_VALUE"""),41288)</f>
        <v>41288</v>
      </c>
      <c r="G4019" s="9" t="str">
        <f ca="1">IFERROR(__xludf.DUMMYFUNCTION("""COMPUTED_VALUE"""),"1 USD = 97.2911 PKR")</f>
        <v>1 USD = 97.2911 PKR</v>
      </c>
      <c r="H4019" s="9" t="str">
        <f ca="1">IFERROR(__xludf.DUMMYFUNCTION("""COMPUTED_VALUE"""),"USD PKR rate for 14/01/2013")</f>
        <v>USD PKR rate for 14/01/2013</v>
      </c>
      <c r="I4019" s="9"/>
    </row>
    <row r="4020" spans="1:9" ht="14.25" customHeight="1" x14ac:dyDescent="0.3">
      <c r="A4020" s="6">
        <v>43737</v>
      </c>
      <c r="B4020" s="7">
        <v>156.75050000000002</v>
      </c>
      <c r="C4020" s="8">
        <f t="shared" si="31"/>
        <v>162.05031092791796</v>
      </c>
      <c r="D4020" s="9">
        <f t="shared" si="30"/>
        <v>72.74147959055162</v>
      </c>
      <c r="E4020" s="9"/>
      <c r="F4020" s="9">
        <f ca="1">IFERROR(__xludf.DUMMYFUNCTION("""COMPUTED_VALUE"""),41287)</f>
        <v>41287</v>
      </c>
      <c r="G4020" s="9" t="str">
        <f ca="1">IFERROR(__xludf.DUMMYFUNCTION("""COMPUTED_VALUE"""),"1 USD = 97.1867 PKR")</f>
        <v>1 USD = 97.1867 PKR</v>
      </c>
      <c r="H4020" s="9" t="str">
        <f ca="1">IFERROR(__xludf.DUMMYFUNCTION("""COMPUTED_VALUE"""),"USD PKR rate for 13/01/2013")</f>
        <v>USD PKR rate for 13/01/2013</v>
      </c>
      <c r="I4020" s="9"/>
    </row>
    <row r="4021" spans="1:9" ht="14.25" customHeight="1" x14ac:dyDescent="0.3">
      <c r="A4021" s="6">
        <v>43738</v>
      </c>
      <c r="B4021" s="7">
        <v>157.23089999999999</v>
      </c>
      <c r="C4021" s="8">
        <f t="shared" si="31"/>
        <v>162.07929358848963</v>
      </c>
      <c r="D4021" s="9">
        <f t="shared" si="30"/>
        <v>72.744217423348886</v>
      </c>
      <c r="E4021" s="9"/>
      <c r="F4021" s="9">
        <f ca="1">IFERROR(__xludf.DUMMYFUNCTION("""COMPUTED_VALUE"""),41286)</f>
        <v>41286</v>
      </c>
      <c r="G4021" s="9" t="str">
        <f ca="1">IFERROR(__xludf.DUMMYFUNCTION("""COMPUTED_VALUE"""),"1 USD = 97.3083 PKR")</f>
        <v>1 USD = 97.3083 PKR</v>
      </c>
      <c r="H4021" s="9" t="str">
        <f ca="1">IFERROR(__xludf.DUMMYFUNCTION("""COMPUTED_VALUE"""),"USD PKR rate for 12/01/2013")</f>
        <v>USD PKR rate for 12/01/2013</v>
      </c>
      <c r="I4021" s="9"/>
    </row>
    <row r="4022" spans="1:9" ht="14.25" customHeight="1" x14ac:dyDescent="0.3">
      <c r="A4022" s="6">
        <v>43739</v>
      </c>
      <c r="B4022" s="7">
        <v>156.36259999999999</v>
      </c>
      <c r="C4022" s="8">
        <f t="shared" si="31"/>
        <v>162.1082814326036</v>
      </c>
      <c r="D4022" s="9">
        <f t="shared" si="30"/>
        <v>72.746955256146151</v>
      </c>
      <c r="E4022" s="9"/>
      <c r="F4022" s="9">
        <f ca="1">IFERROR(__xludf.DUMMYFUNCTION("""COMPUTED_VALUE"""),41285)</f>
        <v>41285</v>
      </c>
      <c r="G4022" s="9" t="str">
        <f ca="1">IFERROR(__xludf.DUMMYFUNCTION("""COMPUTED_VALUE"""),"1 USD = 97.3402 PKR")</f>
        <v>1 USD = 97.3402 PKR</v>
      </c>
      <c r="H4022" s="9" t="str">
        <f ca="1">IFERROR(__xludf.DUMMYFUNCTION("""COMPUTED_VALUE"""),"USD PKR rate for 11/01/2013")</f>
        <v>USD PKR rate for 11/01/2013</v>
      </c>
      <c r="I4022" s="9"/>
    </row>
    <row r="4023" spans="1:9" ht="14.25" customHeight="1" x14ac:dyDescent="0.3">
      <c r="A4023" s="6">
        <v>43740</v>
      </c>
      <c r="B4023" s="7">
        <v>156.32689999999999</v>
      </c>
      <c r="C4023" s="8">
        <f t="shared" si="31"/>
        <v>162.13727446118676</v>
      </c>
      <c r="D4023" s="9">
        <f t="shared" si="30"/>
        <v>72.749693088943417</v>
      </c>
      <c r="E4023" s="9"/>
      <c r="F4023" s="9">
        <f ca="1">IFERROR(__xludf.DUMMYFUNCTION("""COMPUTED_VALUE"""),41284)</f>
        <v>41284</v>
      </c>
      <c r="G4023" s="9" t="str">
        <f ca="1">IFERROR(__xludf.DUMMYFUNCTION("""COMPUTED_VALUE"""),"1 USD = 96.7033 PKR")</f>
        <v>1 USD = 96.7033 PKR</v>
      </c>
      <c r="H4023" s="9" t="str">
        <f ca="1">IFERROR(__xludf.DUMMYFUNCTION("""COMPUTED_VALUE"""),"USD PKR rate for 10/01/2013")</f>
        <v>USD PKR rate for 10/01/2013</v>
      </c>
      <c r="I4023" s="9"/>
    </row>
    <row r="4024" spans="1:9" ht="14.25" customHeight="1" x14ac:dyDescent="0.3">
      <c r="A4024" s="6">
        <v>43741</v>
      </c>
      <c r="B4024" s="7">
        <v>156.6739</v>
      </c>
      <c r="C4024" s="8">
        <f t="shared" si="31"/>
        <v>162.16627267516637</v>
      </c>
      <c r="D4024" s="9">
        <f t="shared" si="30"/>
        <v>72.752430921740682</v>
      </c>
      <c r="E4024" s="9"/>
      <c r="F4024" s="9">
        <f ca="1">IFERROR(__xludf.DUMMYFUNCTION("""COMPUTED_VALUE"""),41283)</f>
        <v>41283</v>
      </c>
      <c r="G4024" s="9" t="str">
        <f ca="1">IFERROR(__xludf.DUMMYFUNCTION("""COMPUTED_VALUE"""),"1 USD = 97.291 PKR")</f>
        <v>1 USD = 97.291 PKR</v>
      </c>
      <c r="H4024" s="9" t="str">
        <f ca="1">IFERROR(__xludf.DUMMYFUNCTION("""COMPUTED_VALUE"""),"USD PKR rate for 09/01/2013")</f>
        <v>USD PKR rate for 09/01/2013</v>
      </c>
      <c r="I4024" s="9"/>
    </row>
    <row r="4025" spans="1:9" ht="14.25" customHeight="1" x14ac:dyDescent="0.3">
      <c r="A4025" s="6">
        <v>43742</v>
      </c>
      <c r="B4025" s="7">
        <v>156.37550000000002</v>
      </c>
      <c r="C4025" s="8">
        <f t="shared" si="31"/>
        <v>162.19527607546985</v>
      </c>
      <c r="D4025" s="9">
        <f t="shared" si="30"/>
        <v>72.755168754537948</v>
      </c>
      <c r="E4025" s="9"/>
      <c r="F4025" s="9">
        <f ca="1">IFERROR(__xludf.DUMMYFUNCTION("""COMPUTED_VALUE"""),41282)</f>
        <v>41282</v>
      </c>
      <c r="G4025" s="9" t="str">
        <f ca="1">IFERROR(__xludf.DUMMYFUNCTION("""COMPUTED_VALUE"""),"1 USD = 97.5369 PKR")</f>
        <v>1 USD = 97.5369 PKR</v>
      </c>
      <c r="H4025" s="9" t="str">
        <f ca="1">IFERROR(__xludf.DUMMYFUNCTION("""COMPUTED_VALUE"""),"USD PKR rate for 08/01/2013")</f>
        <v>USD PKR rate for 08/01/2013</v>
      </c>
      <c r="I4025" s="9"/>
    </row>
    <row r="4026" spans="1:9" ht="14.25" customHeight="1" x14ac:dyDescent="0.3">
      <c r="A4026" s="6">
        <v>43743</v>
      </c>
      <c r="B4026" s="7">
        <v>157.10470000000001</v>
      </c>
      <c r="C4026" s="8">
        <f t="shared" si="31"/>
        <v>162.22428466302472</v>
      </c>
      <c r="D4026" s="9">
        <f t="shared" si="30"/>
        <v>72.757906587335214</v>
      </c>
      <c r="E4026" s="9"/>
      <c r="F4026" s="9">
        <f ca="1">IFERROR(__xludf.DUMMYFUNCTION("""COMPUTED_VALUE"""),41281)</f>
        <v>41281</v>
      </c>
      <c r="G4026" s="9" t="str">
        <f ca="1">IFERROR(__xludf.DUMMYFUNCTION("""COMPUTED_VALUE"""),"1 USD = 97.5546 PKR")</f>
        <v>1 USD = 97.5546 PKR</v>
      </c>
      <c r="H4026" s="9" t="str">
        <f ca="1">IFERROR(__xludf.DUMMYFUNCTION("""COMPUTED_VALUE"""),"USD PKR rate for 07/01/2013")</f>
        <v>USD PKR rate for 07/01/2013</v>
      </c>
      <c r="I4026" s="9"/>
    </row>
    <row r="4027" spans="1:9" ht="14.25" customHeight="1" x14ac:dyDescent="0.3">
      <c r="A4027" s="6">
        <v>43744</v>
      </c>
      <c r="B4027" s="7">
        <v>156.8802</v>
      </c>
      <c r="C4027" s="8">
        <f t="shared" si="31"/>
        <v>162.25329843875878</v>
      </c>
      <c r="D4027" s="9">
        <f t="shared" si="30"/>
        <v>72.760644420132479</v>
      </c>
      <c r="E4027" s="9"/>
      <c r="F4027" s="9">
        <f ca="1">IFERROR(__xludf.DUMMYFUNCTION("""COMPUTED_VALUE"""),41280)</f>
        <v>41280</v>
      </c>
      <c r="G4027" s="9" t="str">
        <f ca="1">IFERROR(__xludf.DUMMYFUNCTION("""COMPUTED_VALUE"""),"1 USD = 97.7068 PKR")</f>
        <v>1 USD = 97.7068 PKR</v>
      </c>
      <c r="H4027" s="9" t="str">
        <f ca="1">IFERROR(__xludf.DUMMYFUNCTION("""COMPUTED_VALUE"""),"USD PKR rate for 06/01/2013")</f>
        <v>USD PKR rate for 06/01/2013</v>
      </c>
      <c r="I4027" s="9"/>
    </row>
    <row r="4028" spans="1:9" ht="14.25" customHeight="1" x14ac:dyDescent="0.3">
      <c r="A4028" s="6">
        <v>43745</v>
      </c>
      <c r="B4028" s="7">
        <v>156.53319999999999</v>
      </c>
      <c r="C4028" s="8">
        <f t="shared" si="31"/>
        <v>162.2823174035999</v>
      </c>
      <c r="D4028" s="9">
        <f t="shared" si="30"/>
        <v>72.763382252929745</v>
      </c>
      <c r="E4028" s="9"/>
      <c r="F4028" s="9">
        <f ca="1">IFERROR(__xludf.DUMMYFUNCTION("""COMPUTED_VALUE"""),41279)</f>
        <v>41279</v>
      </c>
      <c r="G4028" s="9" t="str">
        <f ca="1">IFERROR(__xludf.DUMMYFUNCTION("""COMPUTED_VALUE"""),"1 USD = 97.7977 PKR")</f>
        <v>1 USD = 97.7977 PKR</v>
      </c>
      <c r="H4028" s="9" t="str">
        <f ca="1">IFERROR(__xludf.DUMMYFUNCTION("""COMPUTED_VALUE"""),"USD PKR rate for 05/01/2013")</f>
        <v>USD PKR rate for 05/01/2013</v>
      </c>
      <c r="I4028" s="9"/>
    </row>
    <row r="4029" spans="1:9" ht="14.25" customHeight="1" x14ac:dyDescent="0.3">
      <c r="A4029" s="6">
        <v>43746</v>
      </c>
      <c r="B4029" s="7">
        <v>156.77770000000001</v>
      </c>
      <c r="C4029" s="8">
        <f t="shared" si="31"/>
        <v>162.31134155847616</v>
      </c>
      <c r="D4029" s="9">
        <f t="shared" si="30"/>
        <v>72.76612008572701</v>
      </c>
      <c r="E4029" s="9"/>
      <c r="F4029" s="9">
        <f ca="1">IFERROR(__xludf.DUMMYFUNCTION("""COMPUTED_VALUE"""),41278)</f>
        <v>41278</v>
      </c>
      <c r="G4029" s="9" t="str">
        <f ca="1">IFERROR(__xludf.DUMMYFUNCTION("""COMPUTED_VALUE"""),"1 USD = 97.8101 PKR")</f>
        <v>1 USD = 97.8101 PKR</v>
      </c>
      <c r="H4029" s="9" t="str">
        <f ca="1">IFERROR(__xludf.DUMMYFUNCTION("""COMPUTED_VALUE"""),"USD PKR rate for 04/01/2013")</f>
        <v>USD PKR rate for 04/01/2013</v>
      </c>
      <c r="I4029" s="9"/>
    </row>
    <row r="4030" spans="1:9" ht="14.25" customHeight="1" x14ac:dyDescent="0.3">
      <c r="A4030" s="6">
        <v>43747</v>
      </c>
      <c r="B4030" s="7">
        <v>156.90809999999999</v>
      </c>
      <c r="C4030" s="8">
        <f t="shared" si="31"/>
        <v>162.34037090431565</v>
      </c>
      <c r="D4030" s="9">
        <f t="shared" si="30"/>
        <v>72.768857918524276</v>
      </c>
      <c r="E4030" s="9"/>
      <c r="F4030" s="9">
        <f ca="1">IFERROR(__xludf.DUMMYFUNCTION("""COMPUTED_VALUE"""),41277)</f>
        <v>41277</v>
      </c>
      <c r="G4030" s="9" t="str">
        <f ca="1">IFERROR(__xludf.DUMMYFUNCTION("""COMPUTED_VALUE"""),"1 USD = 97.6791 PKR")</f>
        <v>1 USD = 97.6791 PKR</v>
      </c>
      <c r="H4030" s="9" t="str">
        <f ca="1">IFERROR(__xludf.DUMMYFUNCTION("""COMPUTED_VALUE"""),"USD PKR rate for 03/01/2013")</f>
        <v>USD PKR rate for 03/01/2013</v>
      </c>
      <c r="I4030" s="9"/>
    </row>
    <row r="4031" spans="1:9" ht="14.25" customHeight="1" x14ac:dyDescent="0.3">
      <c r="A4031" s="6">
        <v>43748</v>
      </c>
      <c r="B4031" s="7">
        <v>156.59049999999999</v>
      </c>
      <c r="C4031" s="8">
        <f t="shared" si="31"/>
        <v>162.36940544204708</v>
      </c>
      <c r="D4031" s="9">
        <f t="shared" si="30"/>
        <v>72.771595751321541</v>
      </c>
      <c r="E4031" s="9"/>
      <c r="F4031" s="9">
        <f ca="1">IFERROR(__xludf.DUMMYFUNCTION("""COMPUTED_VALUE"""),41276)</f>
        <v>41276</v>
      </c>
      <c r="G4031" s="9" t="str">
        <f ca="1">IFERROR(__xludf.DUMMYFUNCTION("""COMPUTED_VALUE"""),"1 USD = 97.5022 PKR")</f>
        <v>1 USD = 97.5022 PKR</v>
      </c>
      <c r="H4031" s="9" t="str">
        <f ca="1">IFERROR(__xludf.DUMMYFUNCTION("""COMPUTED_VALUE"""),"USD PKR rate for 02/01/2013")</f>
        <v>USD PKR rate for 02/01/2013</v>
      </c>
      <c r="I4031" s="9"/>
    </row>
    <row r="4032" spans="1:9" ht="14.25" customHeight="1" x14ac:dyDescent="0.3">
      <c r="A4032" s="6">
        <v>43749</v>
      </c>
      <c r="B4032" s="7">
        <v>156.50030000000001</v>
      </c>
      <c r="C4032" s="8">
        <f t="shared" si="31"/>
        <v>162.39844517259883</v>
      </c>
      <c r="D4032" s="9">
        <f t="shared" si="30"/>
        <v>72.774333584118807</v>
      </c>
      <c r="E4032" s="9"/>
      <c r="F4032" s="9">
        <f ca="1">IFERROR(__xludf.DUMMYFUNCTION("""COMPUTED_VALUE"""),41275)</f>
        <v>41275</v>
      </c>
      <c r="G4032" s="9" t="str">
        <f ca="1">IFERROR(__xludf.DUMMYFUNCTION("""COMPUTED_VALUE"""),"1 USD = 97.1605 PKR")</f>
        <v>1 USD = 97.1605 PKR</v>
      </c>
      <c r="H4032" s="9" t="str">
        <f ca="1">IFERROR(__xludf.DUMMYFUNCTION("""COMPUTED_VALUE"""),"USD PKR rate for 01/01/2013")</f>
        <v>USD PKR rate for 01/01/2013</v>
      </c>
      <c r="I4032" s="9"/>
    </row>
    <row r="4033" spans="1:9" ht="14.25" customHeight="1" x14ac:dyDescent="0.3">
      <c r="A4033" s="6">
        <v>43750</v>
      </c>
      <c r="B4033" s="7">
        <v>156.50030000000001</v>
      </c>
      <c r="C4033" s="8">
        <f t="shared" si="31"/>
        <v>162.42749009689967</v>
      </c>
      <c r="D4033" s="9">
        <f t="shared" si="30"/>
        <v>72.777071416916073</v>
      </c>
      <c r="E4033" s="9"/>
      <c r="F4033" s="9">
        <f ca="1">IFERROR(__xludf.DUMMYFUNCTION("""COMPUTED_VALUE"""),41274)</f>
        <v>41274</v>
      </c>
      <c r="G4033" s="9" t="str">
        <f ca="1">IFERROR(__xludf.DUMMYFUNCTION("""COMPUTED_VALUE"""),"1 USD = 97.1196 PKR")</f>
        <v>1 USD = 97.1196 PKR</v>
      </c>
      <c r="H4033" s="9" t="str">
        <f ca="1">IFERROR(__xludf.DUMMYFUNCTION("""COMPUTED_VALUE"""),"USD PKR rate for 31/12/2012")</f>
        <v>USD PKR rate for 31/12/2012</v>
      </c>
      <c r="I4033" s="9"/>
    </row>
    <row r="4034" spans="1:9" ht="14.25" customHeight="1" x14ac:dyDescent="0.3">
      <c r="A4034" s="6">
        <v>43751</v>
      </c>
      <c r="B4034" s="7">
        <v>156.77809999999999</v>
      </c>
      <c r="C4034" s="8">
        <f t="shared" si="31"/>
        <v>162.4565402158785</v>
      </c>
      <c r="D4034" s="9">
        <f t="shared" si="30"/>
        <v>72.779809249713338</v>
      </c>
      <c r="E4034" s="9"/>
      <c r="F4034" s="9">
        <f ca="1">IFERROR(__xludf.DUMMYFUNCTION("""COMPUTED_VALUE"""),41273)</f>
        <v>41273</v>
      </c>
      <c r="G4034" s="9" t="str">
        <f ca="1">IFERROR(__xludf.DUMMYFUNCTION("""COMPUTED_VALUE"""),"1 USD = 97.2491 PKR")</f>
        <v>1 USD = 97.2491 PKR</v>
      </c>
      <c r="H4034" s="9" t="str">
        <f ca="1">IFERROR(__xludf.DUMMYFUNCTION("""COMPUTED_VALUE"""),"USD PKR rate for 30/12/2012")</f>
        <v>USD PKR rate for 30/12/2012</v>
      </c>
      <c r="I4034" s="9"/>
    </row>
    <row r="4035" spans="1:9" ht="14.25" customHeight="1" x14ac:dyDescent="0.3">
      <c r="A4035" s="6">
        <v>43752</v>
      </c>
      <c r="B4035" s="7">
        <v>156.81379999999999</v>
      </c>
      <c r="C4035" s="8">
        <f t="shared" si="31"/>
        <v>162.48559553046439</v>
      </c>
      <c r="D4035" s="9">
        <f t="shared" si="30"/>
        <v>72.782547082510604</v>
      </c>
      <c r="E4035" s="9"/>
      <c r="F4035" s="9">
        <f ca="1">IFERROR(__xludf.DUMMYFUNCTION("""COMPUTED_VALUE"""),41272)</f>
        <v>41272</v>
      </c>
      <c r="G4035" s="9" t="str">
        <f ca="1">IFERROR(__xludf.DUMMYFUNCTION("""COMPUTED_VALUE"""),"1 USD = 97.4025 PKR")</f>
        <v>1 USD = 97.4025 PKR</v>
      </c>
      <c r="H4035" s="9" t="str">
        <f ca="1">IFERROR(__xludf.DUMMYFUNCTION("""COMPUTED_VALUE"""),"USD PKR rate for 29/12/2012")</f>
        <v>USD PKR rate for 29/12/2012</v>
      </c>
      <c r="I4035" s="9"/>
    </row>
    <row r="4036" spans="1:9" ht="14.25" customHeight="1" x14ac:dyDescent="0.3">
      <c r="A4036" s="6">
        <v>43753</v>
      </c>
      <c r="B4036" s="7">
        <v>156.33000000000001</v>
      </c>
      <c r="C4036" s="8">
        <f t="shared" si="31"/>
        <v>162.51465604158656</v>
      </c>
      <c r="D4036" s="9">
        <f t="shared" si="30"/>
        <v>72.785284915307869</v>
      </c>
      <c r="E4036" s="9"/>
      <c r="F4036" s="9">
        <f ca="1">IFERROR(__xludf.DUMMYFUNCTION("""COMPUTED_VALUE"""),41271)</f>
        <v>41271</v>
      </c>
      <c r="G4036" s="9" t="str">
        <f ca="1">IFERROR(__xludf.DUMMYFUNCTION("""COMPUTED_VALUE"""),"1 USD = 97.4438 PKR")</f>
        <v>1 USD = 97.4438 PKR</v>
      </c>
      <c r="H4036" s="9" t="str">
        <f ca="1">IFERROR(__xludf.DUMMYFUNCTION("""COMPUTED_VALUE"""),"USD PKR rate for 28/12/2012")</f>
        <v>USD PKR rate for 28/12/2012</v>
      </c>
      <c r="I4036" s="9"/>
    </row>
    <row r="4037" spans="1:9" ht="14.25" customHeight="1" x14ac:dyDescent="0.3">
      <c r="A4037" s="6">
        <v>43754</v>
      </c>
      <c r="B4037" s="7">
        <v>156.06960000000001</v>
      </c>
      <c r="C4037" s="8">
        <f t="shared" si="31"/>
        <v>162.5437217501744</v>
      </c>
      <c r="D4037" s="9">
        <f t="shared" si="30"/>
        <v>72.788022748105135</v>
      </c>
      <c r="E4037" s="9"/>
      <c r="F4037" s="9">
        <f ca="1">IFERROR(__xludf.DUMMYFUNCTION("""COMPUTED_VALUE"""),41270)</f>
        <v>41270</v>
      </c>
      <c r="G4037" s="9" t="str">
        <f ca="1">IFERROR(__xludf.DUMMYFUNCTION("""COMPUTED_VALUE"""),"1 USD = 97.6247 PKR")</f>
        <v>1 USD = 97.6247 PKR</v>
      </c>
      <c r="H4037" s="9" t="str">
        <f ca="1">IFERROR(__xludf.DUMMYFUNCTION("""COMPUTED_VALUE"""),"USD PKR rate for 27/12/2012")</f>
        <v>USD PKR rate for 27/12/2012</v>
      </c>
      <c r="I4037" s="9"/>
    </row>
    <row r="4038" spans="1:9" ht="14.25" customHeight="1" x14ac:dyDescent="0.3">
      <c r="A4038" s="6">
        <v>43755</v>
      </c>
      <c r="B4038" s="7">
        <v>156.03880000000001</v>
      </c>
      <c r="C4038" s="8">
        <f t="shared" si="31"/>
        <v>162.57279265715749</v>
      </c>
      <c r="D4038" s="9">
        <f t="shared" si="30"/>
        <v>72.790760580902401</v>
      </c>
      <c r="E4038" s="9"/>
      <c r="F4038" s="9">
        <f ca="1">IFERROR(__xludf.DUMMYFUNCTION("""COMPUTED_VALUE"""),41269)</f>
        <v>41269</v>
      </c>
      <c r="G4038" s="9" t="str">
        <f ca="1">IFERROR(__xludf.DUMMYFUNCTION("""COMPUTED_VALUE"""),"1 USD = 97.5167 PKR")</f>
        <v>1 USD = 97.5167 PKR</v>
      </c>
      <c r="H4038" s="9" t="str">
        <f ca="1">IFERROR(__xludf.DUMMYFUNCTION("""COMPUTED_VALUE"""),"USD PKR rate for 26/12/2012")</f>
        <v>USD PKR rate for 26/12/2012</v>
      </c>
      <c r="I4038" s="9"/>
    </row>
    <row r="4039" spans="1:9" ht="14.25" customHeight="1" x14ac:dyDescent="0.3">
      <c r="A4039" s="6">
        <v>43756</v>
      </c>
      <c r="B4039" s="7">
        <v>155.94919999999999</v>
      </c>
      <c r="C4039" s="8">
        <f t="shared" si="31"/>
        <v>162.60186876346543</v>
      </c>
      <c r="D4039" s="9">
        <f t="shared" si="30"/>
        <v>72.793498413699666</v>
      </c>
      <c r="E4039" s="9"/>
      <c r="F4039" s="9">
        <f ca="1">IFERROR(__xludf.DUMMYFUNCTION("""COMPUTED_VALUE"""),41268)</f>
        <v>41268</v>
      </c>
      <c r="G4039" s="9" t="str">
        <f ca="1">IFERROR(__xludf.DUMMYFUNCTION("""COMPUTED_VALUE"""),"1 USD = 97.6142 PKR")</f>
        <v>1 USD = 97.6142 PKR</v>
      </c>
      <c r="H4039" s="9" t="str">
        <f ca="1">IFERROR(__xludf.DUMMYFUNCTION("""COMPUTED_VALUE"""),"USD PKR rate for 25/12/2012")</f>
        <v>USD PKR rate for 25/12/2012</v>
      </c>
      <c r="I4039" s="9"/>
    </row>
    <row r="4040" spans="1:9" ht="14.25" customHeight="1" x14ac:dyDescent="0.3">
      <c r="A4040" s="6">
        <v>43757</v>
      </c>
      <c r="B4040" s="7">
        <v>155.94919999999999</v>
      </c>
      <c r="C4040" s="8">
        <f t="shared" si="31"/>
        <v>162.63095007002838</v>
      </c>
      <c r="D4040" s="9">
        <f t="shared" si="30"/>
        <v>72.796236246496932</v>
      </c>
      <c r="E4040" s="9"/>
      <c r="F4040" s="9">
        <f ca="1">IFERROR(__xludf.DUMMYFUNCTION("""COMPUTED_VALUE"""),41267)</f>
        <v>41267</v>
      </c>
      <c r="G4040" s="9" t="str">
        <f ca="1">IFERROR(__xludf.DUMMYFUNCTION("""COMPUTED_VALUE"""),"1 USD = 97.6646 PKR")</f>
        <v>1 USD = 97.6646 PKR</v>
      </c>
      <c r="H4040" s="9" t="str">
        <f ca="1">IFERROR(__xludf.DUMMYFUNCTION("""COMPUTED_VALUE"""),"USD PKR rate for 24/12/2012")</f>
        <v>USD PKR rate for 24/12/2012</v>
      </c>
      <c r="I4040" s="9"/>
    </row>
    <row r="4041" spans="1:9" ht="14.25" customHeight="1" x14ac:dyDescent="0.3">
      <c r="A4041" s="6">
        <v>43758</v>
      </c>
      <c r="B4041" s="7">
        <v>156.27460000000002</v>
      </c>
      <c r="C4041" s="8">
        <f t="shared" si="31"/>
        <v>162.66003657777628</v>
      </c>
      <c r="D4041" s="9">
        <f t="shared" si="30"/>
        <v>72.798974079294197</v>
      </c>
      <c r="E4041" s="9"/>
      <c r="F4041" s="9">
        <f ca="1">IFERROR(__xludf.DUMMYFUNCTION("""COMPUTED_VALUE"""),41266)</f>
        <v>41266</v>
      </c>
      <c r="G4041" s="9" t="str">
        <f ca="1">IFERROR(__xludf.DUMMYFUNCTION("""COMPUTED_VALUE"""),"1 USD = 97.6396 PKR")</f>
        <v>1 USD = 97.6396 PKR</v>
      </c>
      <c r="H4041" s="9" t="str">
        <f ca="1">IFERROR(__xludf.DUMMYFUNCTION("""COMPUTED_VALUE"""),"USD PKR rate for 23/12/2012")</f>
        <v>USD PKR rate for 23/12/2012</v>
      </c>
      <c r="I4041" s="9"/>
    </row>
    <row r="4042" spans="1:9" ht="14.25" customHeight="1" x14ac:dyDescent="0.3">
      <c r="A4042" s="6">
        <v>43759</v>
      </c>
      <c r="B4042" s="7">
        <v>155.99639999999999</v>
      </c>
      <c r="C4042" s="8">
        <f t="shared" si="31"/>
        <v>162.68912828763933</v>
      </c>
      <c r="D4042" s="9">
        <f t="shared" si="30"/>
        <v>72.801711912091463</v>
      </c>
      <c r="E4042" s="9"/>
      <c r="F4042" s="9">
        <f ca="1">IFERROR(__xludf.DUMMYFUNCTION("""COMPUTED_VALUE"""),41265)</f>
        <v>41265</v>
      </c>
      <c r="G4042" s="9" t="str">
        <f ca="1">IFERROR(__xludf.DUMMYFUNCTION("""COMPUTED_VALUE"""),"1 USD = 97.5631 PKR")</f>
        <v>1 USD = 97.5631 PKR</v>
      </c>
      <c r="H4042" s="9" t="str">
        <f ca="1">IFERROR(__xludf.DUMMYFUNCTION("""COMPUTED_VALUE"""),"USD PKR rate for 22/12/2012")</f>
        <v>USD PKR rate for 22/12/2012</v>
      </c>
      <c r="I4042" s="9"/>
    </row>
    <row r="4043" spans="1:9" ht="14.25" customHeight="1" x14ac:dyDescent="0.3">
      <c r="A4043" s="6">
        <v>43760</v>
      </c>
      <c r="B4043" s="7">
        <v>156.31829999999999</v>
      </c>
      <c r="C4043" s="8">
        <f t="shared" si="31"/>
        <v>162.71822520054798</v>
      </c>
      <c r="D4043" s="9">
        <f t="shared" si="30"/>
        <v>72.804449744888728</v>
      </c>
      <c r="E4043" s="9"/>
      <c r="F4043" s="9">
        <f ca="1">IFERROR(__xludf.DUMMYFUNCTION("""COMPUTED_VALUE"""),41264)</f>
        <v>41264</v>
      </c>
      <c r="G4043" s="9" t="str">
        <f ca="1">IFERROR(__xludf.DUMMYFUNCTION("""COMPUTED_VALUE"""),"1 USD = 97.7277 PKR")</f>
        <v>1 USD = 97.7277 PKR</v>
      </c>
      <c r="H4043" s="9" t="str">
        <f ca="1">IFERROR(__xludf.DUMMYFUNCTION("""COMPUTED_VALUE"""),"USD PKR rate for 21/12/2012")</f>
        <v>USD PKR rate for 21/12/2012</v>
      </c>
      <c r="I4043" s="9"/>
    </row>
    <row r="4044" spans="1:9" ht="14.25" customHeight="1" x14ac:dyDescent="0.3">
      <c r="A4044" s="6">
        <v>43761</v>
      </c>
      <c r="B4044" s="7">
        <v>156.04339999999999</v>
      </c>
      <c r="C4044" s="8">
        <f t="shared" si="31"/>
        <v>162.74732731743276</v>
      </c>
      <c r="D4044" s="9">
        <f t="shared" si="30"/>
        <v>72.807187577685994</v>
      </c>
      <c r="E4044" s="9"/>
      <c r="F4044" s="9">
        <f ca="1">IFERROR(__xludf.DUMMYFUNCTION("""COMPUTED_VALUE"""),41263)</f>
        <v>41263</v>
      </c>
      <c r="G4044" s="9" t="str">
        <f ca="1">IFERROR(__xludf.DUMMYFUNCTION("""COMPUTED_VALUE"""),"1 USD = 97.5093 PKR")</f>
        <v>1 USD = 97.5093 PKR</v>
      </c>
      <c r="H4044" s="9" t="str">
        <f ca="1">IFERROR(__xludf.DUMMYFUNCTION("""COMPUTED_VALUE"""),"USD PKR rate for 20/12/2012")</f>
        <v>USD PKR rate for 20/12/2012</v>
      </c>
      <c r="I4044" s="9"/>
    </row>
    <row r="4045" spans="1:9" ht="14.25" customHeight="1" x14ac:dyDescent="0.3">
      <c r="A4045" s="6">
        <v>43762</v>
      </c>
      <c r="B4045" s="7">
        <v>155.97229999999999</v>
      </c>
      <c r="C4045" s="8">
        <f t="shared" si="31"/>
        <v>162.77643463922453</v>
      </c>
      <c r="D4045" s="9">
        <f t="shared" si="30"/>
        <v>72.809925410483274</v>
      </c>
      <c r="E4045" s="9"/>
      <c r="F4045" s="9">
        <f ca="1">IFERROR(__xludf.DUMMYFUNCTION("""COMPUTED_VALUE"""),41262)</f>
        <v>41262</v>
      </c>
      <c r="G4045" s="9" t="str">
        <f ca="1">IFERROR(__xludf.DUMMYFUNCTION("""COMPUTED_VALUE"""),"1 USD = 97.9462 PKR")</f>
        <v>1 USD = 97.9462 PKR</v>
      </c>
      <c r="H4045" s="9" t="str">
        <f ca="1">IFERROR(__xludf.DUMMYFUNCTION("""COMPUTED_VALUE"""),"USD PKR rate for 19/12/2012")</f>
        <v>USD PKR rate for 19/12/2012</v>
      </c>
      <c r="I4045" s="9"/>
    </row>
    <row r="4046" spans="1:9" ht="14.25" customHeight="1" x14ac:dyDescent="0.3">
      <c r="A4046" s="6">
        <v>43763</v>
      </c>
      <c r="B4046" s="7">
        <v>155.79400000000001</v>
      </c>
      <c r="C4046" s="8">
        <f t="shared" si="31"/>
        <v>162.80554716685393</v>
      </c>
      <c r="D4046" s="9">
        <f t="shared" si="30"/>
        <v>72.812663243280539</v>
      </c>
      <c r="E4046" s="9"/>
      <c r="F4046" s="9">
        <f ca="1">IFERROR(__xludf.DUMMYFUNCTION("""COMPUTED_VALUE"""),41261)</f>
        <v>41261</v>
      </c>
      <c r="G4046" s="9" t="str">
        <f ca="1">IFERROR(__xludf.DUMMYFUNCTION("""COMPUTED_VALUE"""),"1 USD = 97.7511 PKR")</f>
        <v>1 USD = 97.7511 PKR</v>
      </c>
      <c r="H4046" s="9" t="str">
        <f ca="1">IFERROR(__xludf.DUMMYFUNCTION("""COMPUTED_VALUE"""),"USD PKR rate for 18/12/2012")</f>
        <v>USD PKR rate for 18/12/2012</v>
      </c>
      <c r="I4046" s="9"/>
    </row>
    <row r="4047" spans="1:9" ht="14.25" customHeight="1" x14ac:dyDescent="0.3">
      <c r="A4047" s="6">
        <v>43764</v>
      </c>
      <c r="B4047" s="7">
        <v>155.79990000000001</v>
      </c>
      <c r="C4047" s="8">
        <f t="shared" si="31"/>
        <v>162.83466490125215</v>
      </c>
      <c r="D4047" s="9">
        <f t="shared" si="30"/>
        <v>72.815401076077805</v>
      </c>
      <c r="E4047" s="9"/>
      <c r="F4047" s="9">
        <f ca="1">IFERROR(__xludf.DUMMYFUNCTION("""COMPUTED_VALUE"""),41260)</f>
        <v>41260</v>
      </c>
      <c r="G4047" s="9" t="str">
        <f ca="1">IFERROR(__xludf.DUMMYFUNCTION("""COMPUTED_VALUE"""),"1 USD = 97.847 PKR")</f>
        <v>1 USD = 97.847 PKR</v>
      </c>
      <c r="H4047" s="9" t="str">
        <f ca="1">IFERROR(__xludf.DUMMYFUNCTION("""COMPUTED_VALUE"""),"USD PKR rate for 17/12/2012")</f>
        <v>USD PKR rate for 17/12/2012</v>
      </c>
      <c r="I4047" s="9"/>
    </row>
    <row r="4048" spans="1:9" ht="14.25" customHeight="1" x14ac:dyDescent="0.3">
      <c r="A4048" s="6">
        <v>43765</v>
      </c>
      <c r="B4048" s="7">
        <v>156.1919</v>
      </c>
      <c r="C4048" s="8">
        <f t="shared" si="31"/>
        <v>162.86378784335028</v>
      </c>
      <c r="D4048" s="9">
        <f t="shared" si="30"/>
        <v>72.818138908875071</v>
      </c>
      <c r="E4048" s="9"/>
      <c r="F4048" s="9">
        <f ca="1">IFERROR(__xludf.DUMMYFUNCTION("""COMPUTED_VALUE"""),41259)</f>
        <v>41259</v>
      </c>
      <c r="G4048" s="9" t="str">
        <f ca="1">IFERROR(__xludf.DUMMYFUNCTION("""COMPUTED_VALUE"""),"1 USD = 97.4947 PKR")</f>
        <v>1 USD = 97.4947 PKR</v>
      </c>
      <c r="H4048" s="9" t="str">
        <f ca="1">IFERROR(__xludf.DUMMYFUNCTION("""COMPUTED_VALUE"""),"USD PKR rate for 16/12/2012")</f>
        <v>USD PKR rate for 16/12/2012</v>
      </c>
      <c r="I4048" s="9"/>
    </row>
    <row r="4049" spans="1:9" ht="14.25" customHeight="1" x14ac:dyDescent="0.3">
      <c r="A4049" s="6">
        <v>43766</v>
      </c>
      <c r="B4049" s="7">
        <v>155.85480000000001</v>
      </c>
      <c r="C4049" s="8">
        <f t="shared" si="31"/>
        <v>162.89291599408</v>
      </c>
      <c r="D4049" s="9">
        <f t="shared" si="30"/>
        <v>72.820876741672336</v>
      </c>
      <c r="E4049" s="9"/>
      <c r="F4049" s="9">
        <f ca="1">IFERROR(__xludf.DUMMYFUNCTION("""COMPUTED_VALUE"""),41258)</f>
        <v>41258</v>
      </c>
      <c r="G4049" s="9" t="str">
        <f ca="1">IFERROR(__xludf.DUMMYFUNCTION("""COMPUTED_VALUE"""),"1 USD = 97.6467 PKR")</f>
        <v>1 USD = 97.6467 PKR</v>
      </c>
      <c r="H4049" s="9" t="str">
        <f ca="1">IFERROR(__xludf.DUMMYFUNCTION("""COMPUTED_VALUE"""),"USD PKR rate for 15/12/2012")</f>
        <v>USD PKR rate for 15/12/2012</v>
      </c>
      <c r="I4049" s="9"/>
    </row>
    <row r="4050" spans="1:9" ht="14.25" customHeight="1" x14ac:dyDescent="0.3">
      <c r="A4050" s="6">
        <v>43767</v>
      </c>
      <c r="B4050" s="7">
        <v>155.67930000000001</v>
      </c>
      <c r="C4050" s="8">
        <f t="shared" si="31"/>
        <v>162.92204935437272</v>
      </c>
      <c r="D4050" s="9">
        <f t="shared" si="30"/>
        <v>72.823614574469602</v>
      </c>
      <c r="E4050" s="9"/>
      <c r="F4050" s="9">
        <f ca="1">IFERROR(__xludf.DUMMYFUNCTION("""COMPUTED_VALUE"""),41257)</f>
        <v>41257</v>
      </c>
      <c r="G4050" s="9" t="str">
        <f ca="1">IFERROR(__xludf.DUMMYFUNCTION("""COMPUTED_VALUE"""),"1 USD = 97.504 PKR")</f>
        <v>1 USD = 97.504 PKR</v>
      </c>
      <c r="H4050" s="9" t="str">
        <f ca="1">IFERROR(__xludf.DUMMYFUNCTION("""COMPUTED_VALUE"""),"USD PKR rate for 14/12/2012")</f>
        <v>USD PKR rate for 14/12/2012</v>
      </c>
      <c r="I4050" s="9"/>
    </row>
    <row r="4051" spans="1:9" ht="14.25" customHeight="1" x14ac:dyDescent="0.3">
      <c r="A4051" s="6">
        <v>43768</v>
      </c>
      <c r="B4051" s="7">
        <v>155.60270000000003</v>
      </c>
      <c r="C4051" s="8">
        <f t="shared" si="31"/>
        <v>162.95118792516018</v>
      </c>
      <c r="D4051" s="9">
        <f t="shared" si="30"/>
        <v>72.826352407266867</v>
      </c>
      <c r="E4051" s="9"/>
      <c r="F4051" s="9">
        <f ca="1">IFERROR(__xludf.DUMMYFUNCTION("""COMPUTED_VALUE"""),41256)</f>
        <v>41256</v>
      </c>
      <c r="G4051" s="9" t="str">
        <f ca="1">IFERROR(__xludf.DUMMYFUNCTION("""COMPUTED_VALUE"""),"1 USD = 97.4016 PKR")</f>
        <v>1 USD = 97.4016 PKR</v>
      </c>
      <c r="H4051" s="9" t="str">
        <f ca="1">IFERROR(__xludf.DUMMYFUNCTION("""COMPUTED_VALUE"""),"USD PKR rate for 13/12/2012")</f>
        <v>USD PKR rate for 13/12/2012</v>
      </c>
      <c r="I4051" s="9"/>
    </row>
    <row r="4052" spans="1:9" ht="14.25" customHeight="1" x14ac:dyDescent="0.3">
      <c r="A4052" s="6">
        <v>43769</v>
      </c>
      <c r="B4052" s="7">
        <v>155.5016</v>
      </c>
      <c r="C4052" s="8">
        <f t="shared" si="31"/>
        <v>162.98033170737429</v>
      </c>
      <c r="D4052" s="9">
        <f t="shared" si="30"/>
        <v>72.829090240064133</v>
      </c>
      <c r="E4052" s="9"/>
      <c r="F4052" s="9">
        <f ca="1">IFERROR(__xludf.DUMMYFUNCTION("""COMPUTED_VALUE"""),41255)</f>
        <v>41255</v>
      </c>
      <c r="G4052" s="9" t="str">
        <f ca="1">IFERROR(__xludf.DUMMYFUNCTION("""COMPUTED_VALUE"""),"1 USD = 97.1007 PKR")</f>
        <v>1 USD = 97.1007 PKR</v>
      </c>
      <c r="H4052" s="9" t="str">
        <f ca="1">IFERROR(__xludf.DUMMYFUNCTION("""COMPUTED_VALUE"""),"USD PKR rate for 12/12/2012")</f>
        <v>USD PKR rate for 12/12/2012</v>
      </c>
      <c r="I4052" s="9"/>
    </row>
    <row r="4053" spans="1:9" ht="14.25" customHeight="1" x14ac:dyDescent="0.3">
      <c r="A4053" s="6">
        <v>43770</v>
      </c>
      <c r="B4053" s="7">
        <v>154.95779999999999</v>
      </c>
      <c r="C4053" s="8">
        <f t="shared" si="31"/>
        <v>163.0094807019471</v>
      </c>
      <c r="D4053" s="9">
        <f t="shared" si="30"/>
        <v>72.831828072861398</v>
      </c>
      <c r="E4053" s="9"/>
      <c r="F4053" s="9">
        <f ca="1">IFERROR(__xludf.DUMMYFUNCTION("""COMPUTED_VALUE"""),41254)</f>
        <v>41254</v>
      </c>
      <c r="G4053" s="9" t="str">
        <f ca="1">IFERROR(__xludf.DUMMYFUNCTION("""COMPUTED_VALUE"""),"1 USD = 97.0153 PKR")</f>
        <v>1 USD = 97.0153 PKR</v>
      </c>
      <c r="H4053" s="9" t="str">
        <f ca="1">IFERROR(__xludf.DUMMYFUNCTION("""COMPUTED_VALUE"""),"USD PKR rate for 11/12/2012")</f>
        <v>USD PKR rate for 11/12/2012</v>
      </c>
      <c r="I4053" s="9"/>
    </row>
    <row r="4054" spans="1:9" ht="14.25" customHeight="1" x14ac:dyDescent="0.3">
      <c r="A4054" s="6">
        <v>43771</v>
      </c>
      <c r="B4054" s="7">
        <v>154.9622</v>
      </c>
      <c r="C4054" s="8">
        <f t="shared" si="31"/>
        <v>163.03863490981084</v>
      </c>
      <c r="D4054" s="9">
        <f t="shared" si="30"/>
        <v>72.834565905658664</v>
      </c>
      <c r="E4054" s="9"/>
      <c r="F4054" s="9">
        <f ca="1">IFERROR(__xludf.DUMMYFUNCTION("""COMPUTED_VALUE"""),41253)</f>
        <v>41253</v>
      </c>
      <c r="G4054" s="9" t="str">
        <f ca="1">IFERROR(__xludf.DUMMYFUNCTION("""COMPUTED_VALUE"""),"1 USD = 96.955 PKR")</f>
        <v>1 USD = 96.955 PKR</v>
      </c>
      <c r="H4054" s="9" t="str">
        <f ca="1">IFERROR(__xludf.DUMMYFUNCTION("""COMPUTED_VALUE"""),"USD PKR rate for 10/12/2012")</f>
        <v>USD PKR rate for 10/12/2012</v>
      </c>
      <c r="I4054" s="9"/>
    </row>
    <row r="4055" spans="1:9" ht="14.25" customHeight="1" x14ac:dyDescent="0.3">
      <c r="A4055" s="6">
        <v>43772</v>
      </c>
      <c r="B4055" s="7">
        <v>154.95760000000001</v>
      </c>
      <c r="C4055" s="8">
        <f t="shared" si="31"/>
        <v>163.06779433189789</v>
      </c>
      <c r="D4055" s="9">
        <f t="shared" si="30"/>
        <v>72.83730373845593</v>
      </c>
      <c r="E4055" s="9"/>
      <c r="F4055" s="9">
        <f ca="1">IFERROR(__xludf.DUMMYFUNCTION("""COMPUTED_VALUE"""),41252)</f>
        <v>41252</v>
      </c>
      <c r="G4055" s="9" t="str">
        <f ca="1">IFERROR(__xludf.DUMMYFUNCTION("""COMPUTED_VALUE"""),"1 USD = 96.8419 PKR")</f>
        <v>1 USD = 96.8419 PKR</v>
      </c>
      <c r="H4055" s="9" t="str">
        <f ca="1">IFERROR(__xludf.DUMMYFUNCTION("""COMPUTED_VALUE"""),"USD PKR rate for 09/12/2012")</f>
        <v>USD PKR rate for 09/12/2012</v>
      </c>
      <c r="I4055" s="9"/>
    </row>
    <row r="4056" spans="1:9" ht="14.25" customHeight="1" x14ac:dyDescent="0.3">
      <c r="A4056" s="6">
        <v>43773</v>
      </c>
      <c r="B4056" s="7">
        <v>155.62520000000001</v>
      </c>
      <c r="C4056" s="8">
        <f t="shared" si="31"/>
        <v>163.09695896914081</v>
      </c>
      <c r="D4056" s="9">
        <f t="shared" si="30"/>
        <v>72.840041571253195</v>
      </c>
      <c r="E4056" s="9"/>
      <c r="F4056" s="9">
        <f ca="1">IFERROR(__xludf.DUMMYFUNCTION("""COMPUTED_VALUE"""),41251)</f>
        <v>41251</v>
      </c>
      <c r="G4056" s="9" t="str">
        <f ca="1">IFERROR(__xludf.DUMMYFUNCTION("""COMPUTED_VALUE"""),"1 USD = 96.7869 PKR")</f>
        <v>1 USD = 96.7869 PKR</v>
      </c>
      <c r="H4056" s="9" t="str">
        <f ca="1">IFERROR(__xludf.DUMMYFUNCTION("""COMPUTED_VALUE"""),"USD PKR rate for 08/12/2012")</f>
        <v>USD PKR rate for 08/12/2012</v>
      </c>
      <c r="I4056" s="9"/>
    </row>
    <row r="4057" spans="1:9" ht="14.25" customHeight="1" x14ac:dyDescent="0.3">
      <c r="A4057" s="6">
        <v>43774</v>
      </c>
      <c r="B4057" s="7">
        <v>156.108</v>
      </c>
      <c r="C4057" s="8">
        <f t="shared" si="31"/>
        <v>163.12612882247223</v>
      </c>
      <c r="D4057" s="9">
        <f t="shared" si="30"/>
        <v>72.842779404050461</v>
      </c>
      <c r="E4057" s="9"/>
      <c r="F4057" s="9">
        <f ca="1">IFERROR(__xludf.DUMMYFUNCTION("""COMPUTED_VALUE"""),41250)</f>
        <v>41250</v>
      </c>
      <c r="G4057" s="9" t="str">
        <f ca="1">IFERROR(__xludf.DUMMYFUNCTION("""COMPUTED_VALUE"""),"1 USD = 96.7813 PKR")</f>
        <v>1 USD = 96.7813 PKR</v>
      </c>
      <c r="H4057" s="9" t="str">
        <f ca="1">IFERROR(__xludf.DUMMYFUNCTION("""COMPUTED_VALUE"""),"USD PKR rate for 07/12/2012")</f>
        <v>USD PKR rate for 07/12/2012</v>
      </c>
      <c r="I4057" s="9"/>
    </row>
    <row r="4058" spans="1:9" ht="14.25" customHeight="1" x14ac:dyDescent="0.3">
      <c r="A4058" s="6">
        <v>43775</v>
      </c>
      <c r="B4058" s="7">
        <v>156.15889999999999</v>
      </c>
      <c r="C4058" s="8">
        <f t="shared" si="31"/>
        <v>163.15530389282529</v>
      </c>
      <c r="D4058" s="9">
        <f t="shared" si="30"/>
        <v>72.845517236847726</v>
      </c>
      <c r="E4058" s="9"/>
      <c r="F4058" s="9">
        <f ca="1">IFERROR(__xludf.DUMMYFUNCTION("""COMPUTED_VALUE"""),41249)</f>
        <v>41249</v>
      </c>
      <c r="G4058" s="9" t="str">
        <f ca="1">IFERROR(__xludf.DUMMYFUNCTION("""COMPUTED_VALUE"""),"1 USD = 96.6612 PKR")</f>
        <v>1 USD = 96.6612 PKR</v>
      </c>
      <c r="H4058" s="9" t="str">
        <f ca="1">IFERROR(__xludf.DUMMYFUNCTION("""COMPUTED_VALUE"""),"USD PKR rate for 06/12/2012")</f>
        <v>USD PKR rate for 06/12/2012</v>
      </c>
      <c r="I4058" s="9"/>
    </row>
    <row r="4059" spans="1:9" ht="14.25" customHeight="1" x14ac:dyDescent="0.3">
      <c r="A4059" s="6">
        <v>43776</v>
      </c>
      <c r="B4059" s="7">
        <v>156.03790000000001</v>
      </c>
      <c r="C4059" s="8">
        <f t="shared" si="31"/>
        <v>163.18448418113292</v>
      </c>
      <c r="D4059" s="9">
        <f t="shared" si="30"/>
        <v>72.848255069644992</v>
      </c>
      <c r="E4059" s="9"/>
      <c r="F4059" s="9">
        <f ca="1">IFERROR(__xludf.DUMMYFUNCTION("""COMPUTED_VALUE"""),41248)</f>
        <v>41248</v>
      </c>
      <c r="G4059" s="9" t="str">
        <f ca="1">IFERROR(__xludf.DUMMYFUNCTION("""COMPUTED_VALUE"""),"1 USD = 96.6459 PKR")</f>
        <v>1 USD = 96.6459 PKR</v>
      </c>
      <c r="H4059" s="9" t="str">
        <f ca="1">IFERROR(__xludf.DUMMYFUNCTION("""COMPUTED_VALUE"""),"USD PKR rate for 05/12/2012")</f>
        <v>USD PKR rate for 05/12/2012</v>
      </c>
      <c r="I4059" s="9"/>
    </row>
    <row r="4060" spans="1:9" ht="14.25" customHeight="1" x14ac:dyDescent="0.3">
      <c r="A4060" s="6">
        <v>43777</v>
      </c>
      <c r="B4060" s="7">
        <v>156</v>
      </c>
      <c r="C4060" s="8">
        <f t="shared" si="31"/>
        <v>163.21366968832837</v>
      </c>
      <c r="D4060" s="9">
        <f t="shared" si="30"/>
        <v>72.850992902442258</v>
      </c>
      <c r="E4060" s="9"/>
      <c r="F4060" s="9">
        <f ca="1">IFERROR(__xludf.DUMMYFUNCTION("""COMPUTED_VALUE"""),41247)</f>
        <v>41247</v>
      </c>
      <c r="G4060" s="9" t="str">
        <f ca="1">IFERROR(__xludf.DUMMYFUNCTION("""COMPUTED_VALUE"""),"1 USD = 96.586 PKR")</f>
        <v>1 USD = 96.586 PKR</v>
      </c>
      <c r="H4060" s="9" t="str">
        <f ca="1">IFERROR(__xludf.DUMMYFUNCTION("""COMPUTED_VALUE"""),"USD PKR rate for 04/12/2012")</f>
        <v>USD PKR rate for 04/12/2012</v>
      </c>
      <c r="I4060" s="9"/>
    </row>
    <row r="4061" spans="1:9" ht="14.25" customHeight="1" x14ac:dyDescent="0.3">
      <c r="A4061" s="6">
        <v>43778</v>
      </c>
      <c r="B4061" s="7">
        <v>156</v>
      </c>
      <c r="C4061" s="8">
        <f t="shared" si="31"/>
        <v>163.24286041534501</v>
      </c>
      <c r="D4061" s="9">
        <f t="shared" si="30"/>
        <v>72.853730735239523</v>
      </c>
      <c r="E4061" s="9"/>
      <c r="F4061" s="9">
        <f ca="1">IFERROR(__xludf.DUMMYFUNCTION("""COMPUTED_VALUE"""),41246)</f>
        <v>41246</v>
      </c>
      <c r="G4061" s="9" t="str">
        <f ca="1">IFERROR(__xludf.DUMMYFUNCTION("""COMPUTED_VALUE"""),"1 USD = 96.5681 PKR")</f>
        <v>1 USD = 96.5681 PKR</v>
      </c>
      <c r="H4061" s="9" t="str">
        <f ca="1">IFERROR(__xludf.DUMMYFUNCTION("""COMPUTED_VALUE"""),"USD PKR rate for 03/12/2012")</f>
        <v>USD PKR rate for 03/12/2012</v>
      </c>
      <c r="I4061" s="9"/>
    </row>
    <row r="4062" spans="1:9" ht="14.25" customHeight="1" x14ac:dyDescent="0.3">
      <c r="A4062" s="6">
        <v>43779</v>
      </c>
      <c r="B4062" s="7">
        <v>156.10159999999999</v>
      </c>
      <c r="C4062" s="8">
        <f t="shared" si="31"/>
        <v>163.27205636311643</v>
      </c>
      <c r="D4062" s="9">
        <f t="shared" si="30"/>
        <v>72.856468568036789</v>
      </c>
      <c r="E4062" s="9"/>
      <c r="F4062" s="9">
        <f ca="1">IFERROR(__xludf.DUMMYFUNCTION("""COMPUTED_VALUE"""),41245)</f>
        <v>41245</v>
      </c>
      <c r="G4062" s="9" t="str">
        <f ca="1">IFERROR(__xludf.DUMMYFUNCTION("""COMPUTED_VALUE"""),"1 USD = 96.5973 PKR")</f>
        <v>1 USD = 96.5973 PKR</v>
      </c>
      <c r="H4062" s="9" t="str">
        <f ca="1">IFERROR(__xludf.DUMMYFUNCTION("""COMPUTED_VALUE"""),"USD PKR rate for 02/12/2012")</f>
        <v>USD PKR rate for 02/12/2012</v>
      </c>
      <c r="I4062" s="9"/>
    </row>
    <row r="4063" spans="1:9" ht="14.25" customHeight="1" x14ac:dyDescent="0.3">
      <c r="A4063" s="6">
        <v>43780</v>
      </c>
      <c r="B4063" s="7">
        <v>155.90389999999999</v>
      </c>
      <c r="C4063" s="8">
        <f t="shared" si="31"/>
        <v>163.30125753257633</v>
      </c>
      <c r="D4063" s="9">
        <f t="shared" si="30"/>
        <v>72.859206400834054</v>
      </c>
      <c r="E4063" s="9"/>
      <c r="F4063" s="9">
        <f ca="1">IFERROR(__xludf.DUMMYFUNCTION("""COMPUTED_VALUE"""),41244)</f>
        <v>41244</v>
      </c>
      <c r="G4063" s="9" t="str">
        <f ca="1">IFERROR(__xludf.DUMMYFUNCTION("""COMPUTED_VALUE"""),"1 USD = 96.6653 PKR")</f>
        <v>1 USD = 96.6653 PKR</v>
      </c>
      <c r="H4063" s="9" t="str">
        <f ca="1">IFERROR(__xludf.DUMMYFUNCTION("""COMPUTED_VALUE"""),"USD PKR rate for 01/12/2012")</f>
        <v>USD PKR rate for 01/12/2012</v>
      </c>
      <c r="I4063" s="9"/>
    </row>
    <row r="4064" spans="1:9" ht="14.25" customHeight="1" x14ac:dyDescent="0.3">
      <c r="A4064" s="6">
        <v>43781</v>
      </c>
      <c r="B4064" s="7">
        <v>155.9288</v>
      </c>
      <c r="C4064" s="8">
        <f t="shared" si="31"/>
        <v>163.33046392465866</v>
      </c>
      <c r="D4064" s="9">
        <f t="shared" si="30"/>
        <v>72.86194423363132</v>
      </c>
      <c r="E4064" s="9"/>
      <c r="F4064" s="9">
        <f ca="1">IFERROR(__xludf.DUMMYFUNCTION("""COMPUTED_VALUE"""),41243)</f>
        <v>41243</v>
      </c>
      <c r="G4064" s="9" t="str">
        <f ca="1">IFERROR(__xludf.DUMMYFUNCTION("""COMPUTED_VALUE"""),"1 USD = 96.632 PKR")</f>
        <v>1 USD = 96.632 PKR</v>
      </c>
      <c r="H4064" s="9" t="str">
        <f ca="1">IFERROR(__xludf.DUMMYFUNCTION("""COMPUTED_VALUE"""),"USD PKR rate for 30/11/2012")</f>
        <v>USD PKR rate for 30/11/2012</v>
      </c>
      <c r="I4064" s="9"/>
    </row>
    <row r="4065" spans="1:9" ht="14.25" customHeight="1" x14ac:dyDescent="0.3">
      <c r="A4065" s="6">
        <v>43782</v>
      </c>
      <c r="B4065" s="7">
        <v>155.79239999999999</v>
      </c>
      <c r="C4065" s="8">
        <f t="shared" si="31"/>
        <v>163.35967554029739</v>
      </c>
      <c r="D4065" s="9">
        <f t="shared" si="30"/>
        <v>72.864682066428585</v>
      </c>
      <c r="E4065" s="9"/>
      <c r="F4065" s="9">
        <f ca="1">IFERROR(__xludf.DUMMYFUNCTION("""COMPUTED_VALUE"""),41242)</f>
        <v>41242</v>
      </c>
      <c r="G4065" s="9" t="str">
        <f ca="1">IFERROR(__xludf.DUMMYFUNCTION("""COMPUTED_VALUE"""),"1 USD = 96.5605 PKR")</f>
        <v>1 USD = 96.5605 PKR</v>
      </c>
      <c r="H4065" s="9" t="str">
        <f ca="1">IFERROR(__xludf.DUMMYFUNCTION("""COMPUTED_VALUE"""),"USD PKR rate for 29/11/2012")</f>
        <v>USD PKR rate for 29/11/2012</v>
      </c>
      <c r="I4065" s="9"/>
    </row>
    <row r="4066" spans="1:9" ht="14.25" customHeight="1" x14ac:dyDescent="0.3">
      <c r="A4066" s="6">
        <v>43783</v>
      </c>
      <c r="B4066" s="7">
        <v>155.90440000000004</v>
      </c>
      <c r="C4066" s="8">
        <f t="shared" si="31"/>
        <v>163.38889238042671</v>
      </c>
      <c r="D4066" s="9">
        <f t="shared" si="30"/>
        <v>72.867419899225851</v>
      </c>
      <c r="E4066" s="9"/>
      <c r="F4066" s="9">
        <f ca="1">IFERROR(__xludf.DUMMYFUNCTION("""COMPUTED_VALUE"""),41241)</f>
        <v>41241</v>
      </c>
      <c r="G4066" s="9" t="str">
        <f ca="1">IFERROR(__xludf.DUMMYFUNCTION("""COMPUTED_VALUE"""),"1 USD = 96.3781 PKR")</f>
        <v>1 USD = 96.3781 PKR</v>
      </c>
      <c r="H4066" s="9" t="str">
        <f ca="1">IFERROR(__xludf.DUMMYFUNCTION("""COMPUTED_VALUE"""),"USD PKR rate for 28/11/2012")</f>
        <v>USD PKR rate for 28/11/2012</v>
      </c>
      <c r="I4066" s="9"/>
    </row>
    <row r="4067" spans="1:9" ht="14.25" customHeight="1" x14ac:dyDescent="0.3">
      <c r="A4067" s="6">
        <v>43784</v>
      </c>
      <c r="B4067" s="7">
        <v>155.4939</v>
      </c>
      <c r="C4067" s="8">
        <f t="shared" si="31"/>
        <v>163.41811444598125</v>
      </c>
      <c r="D4067" s="9">
        <f t="shared" si="30"/>
        <v>72.870157732023117</v>
      </c>
      <c r="E4067" s="9"/>
      <c r="F4067" s="9">
        <f ca="1">IFERROR(__xludf.DUMMYFUNCTION("""COMPUTED_VALUE"""),41240)</f>
        <v>41240</v>
      </c>
      <c r="G4067" s="9" t="str">
        <f ca="1">IFERROR(__xludf.DUMMYFUNCTION("""COMPUTED_VALUE"""),"1 USD = 96.0747 PKR")</f>
        <v>1 USD = 96.0747 PKR</v>
      </c>
      <c r="H4067" s="9" t="str">
        <f ca="1">IFERROR(__xludf.DUMMYFUNCTION("""COMPUTED_VALUE"""),"USD PKR rate for 27/11/2012")</f>
        <v>USD PKR rate for 27/11/2012</v>
      </c>
      <c r="I4067" s="9"/>
    </row>
    <row r="4068" spans="1:9" ht="14.25" customHeight="1" x14ac:dyDescent="0.3">
      <c r="A4068" s="6">
        <v>43785</v>
      </c>
      <c r="B4068" s="7">
        <v>155.4939</v>
      </c>
      <c r="C4068" s="8">
        <f t="shared" si="31"/>
        <v>163.44734173789544</v>
      </c>
      <c r="D4068" s="9">
        <f t="shared" si="30"/>
        <v>72.872895564820382</v>
      </c>
      <c r="E4068" s="9"/>
      <c r="F4068" s="9">
        <f ca="1">IFERROR(__xludf.DUMMYFUNCTION("""COMPUTED_VALUE"""),41239)</f>
        <v>41239</v>
      </c>
      <c r="G4068" s="9" t="str">
        <f ca="1">IFERROR(__xludf.DUMMYFUNCTION("""COMPUTED_VALUE"""),"1 USD = 95.9111 PKR")</f>
        <v>1 USD = 95.9111 PKR</v>
      </c>
      <c r="H4068" s="9" t="str">
        <f ca="1">IFERROR(__xludf.DUMMYFUNCTION("""COMPUTED_VALUE"""),"USD PKR rate for 26/11/2012")</f>
        <v>USD PKR rate for 26/11/2012</v>
      </c>
      <c r="I4068" s="9"/>
    </row>
    <row r="4069" spans="1:9" ht="14.25" customHeight="1" x14ac:dyDescent="0.3">
      <c r="A4069" s="6">
        <v>43786</v>
      </c>
      <c r="B4069" s="7">
        <v>155.12790000000004</v>
      </c>
      <c r="C4069" s="8">
        <f t="shared" si="31"/>
        <v>163.47657425710401</v>
      </c>
      <c r="D4069" s="9">
        <f t="shared" si="30"/>
        <v>72.875633397617648</v>
      </c>
      <c r="E4069" s="9"/>
      <c r="F4069" s="9">
        <f ca="1">IFERROR(__xludf.DUMMYFUNCTION("""COMPUTED_VALUE"""),41238)</f>
        <v>41238</v>
      </c>
      <c r="G4069" s="9" t="str">
        <f ca="1">IFERROR(__xludf.DUMMYFUNCTION("""COMPUTED_VALUE"""),"1 USD = 95.9168 PKR")</f>
        <v>1 USD = 95.9168 PKR</v>
      </c>
      <c r="H4069" s="9" t="str">
        <f ca="1">IFERROR(__xludf.DUMMYFUNCTION("""COMPUTED_VALUE"""),"USD PKR rate for 25/11/2012")</f>
        <v>USD PKR rate for 25/11/2012</v>
      </c>
      <c r="I4069" s="9"/>
    </row>
    <row r="4070" spans="1:9" ht="14.25" customHeight="1" x14ac:dyDescent="0.3">
      <c r="A4070" s="6">
        <v>43787</v>
      </c>
      <c r="B4070" s="7">
        <v>155.87</v>
      </c>
      <c r="C4070" s="8">
        <f t="shared" si="31"/>
        <v>163.50581200454189</v>
      </c>
      <c r="D4070" s="9">
        <f t="shared" si="30"/>
        <v>72.878371230414913</v>
      </c>
      <c r="E4070" s="9"/>
      <c r="F4070" s="9">
        <f ca="1">IFERROR(__xludf.DUMMYFUNCTION("""COMPUTED_VALUE"""),41237)</f>
        <v>41237</v>
      </c>
      <c r="G4070" s="9" t="str">
        <f ca="1">IFERROR(__xludf.DUMMYFUNCTION("""COMPUTED_VALUE"""),"1 USD = 96.0265 PKR")</f>
        <v>1 USD = 96.0265 PKR</v>
      </c>
      <c r="H4070" s="9" t="str">
        <f ca="1">IFERROR(__xludf.DUMMYFUNCTION("""COMPUTED_VALUE"""),"USD PKR rate for 24/11/2012")</f>
        <v>USD PKR rate for 24/11/2012</v>
      </c>
      <c r="I4070" s="9"/>
    </row>
    <row r="4071" spans="1:9" ht="14.25" customHeight="1" x14ac:dyDescent="0.3">
      <c r="A4071" s="6">
        <v>43788</v>
      </c>
      <c r="B4071" s="7">
        <v>155.87190000000004</v>
      </c>
      <c r="C4071" s="8">
        <f t="shared" si="31"/>
        <v>163.53505498114413</v>
      </c>
      <c r="D4071" s="9">
        <f t="shared" si="30"/>
        <v>72.881109063212179</v>
      </c>
      <c r="E4071" s="9"/>
      <c r="F4071" s="9">
        <f ca="1">IFERROR(__xludf.DUMMYFUNCTION("""COMPUTED_VALUE"""),41236)</f>
        <v>41236</v>
      </c>
      <c r="G4071" s="9" t="str">
        <f ca="1">IFERROR(__xludf.DUMMYFUNCTION("""COMPUTED_VALUE"""),"1 USD = 95.7937 PKR")</f>
        <v>1 USD = 95.7937 PKR</v>
      </c>
      <c r="H4071" s="9" t="str">
        <f ca="1">IFERROR(__xludf.DUMMYFUNCTION("""COMPUTED_VALUE"""),"USD PKR rate for 23/11/2012")</f>
        <v>USD PKR rate for 23/11/2012</v>
      </c>
      <c r="I4071" s="9"/>
    </row>
    <row r="4072" spans="1:9" ht="14.25" customHeight="1" x14ac:dyDescent="0.3">
      <c r="A4072" s="6">
        <v>43789</v>
      </c>
      <c r="B4072" s="7">
        <v>155.87710000000001</v>
      </c>
      <c r="C4072" s="8">
        <f t="shared" si="31"/>
        <v>163.56430318784592</v>
      </c>
      <c r="D4072" s="9">
        <f t="shared" si="30"/>
        <v>72.883846896009445</v>
      </c>
      <c r="E4072" s="9"/>
      <c r="F4072" s="9">
        <f ca="1">IFERROR(__xludf.DUMMYFUNCTION("""COMPUTED_VALUE"""),41235)</f>
        <v>41235</v>
      </c>
      <c r="G4072" s="9" t="str">
        <f ca="1">IFERROR(__xludf.DUMMYFUNCTION("""COMPUTED_VALUE"""),"1 USD = 96.0058 PKR")</f>
        <v>1 USD = 96.0058 PKR</v>
      </c>
      <c r="H4072" s="9" t="str">
        <f ca="1">IFERROR(__xludf.DUMMYFUNCTION("""COMPUTED_VALUE"""),"USD PKR rate for 22/11/2012")</f>
        <v>USD PKR rate for 22/11/2012</v>
      </c>
      <c r="I4072" s="9"/>
    </row>
    <row r="4073" spans="1:9" ht="14.25" customHeight="1" x14ac:dyDescent="0.3">
      <c r="A4073" s="6">
        <v>43790</v>
      </c>
      <c r="B4073" s="7">
        <v>155.29599999999999</v>
      </c>
      <c r="C4073" s="8">
        <f t="shared" si="31"/>
        <v>163.59355662558275</v>
      </c>
      <c r="D4073" s="9">
        <f t="shared" si="30"/>
        <v>72.88658472880671</v>
      </c>
      <c r="E4073" s="9"/>
      <c r="F4073" s="9">
        <f ca="1">IFERROR(__xludf.DUMMYFUNCTION("""COMPUTED_VALUE"""),41234)</f>
        <v>41234</v>
      </c>
      <c r="G4073" s="9" t="str">
        <f ca="1">IFERROR(__xludf.DUMMYFUNCTION("""COMPUTED_VALUE"""),"1 USD = 95.8137 PKR")</f>
        <v>1 USD = 95.8137 PKR</v>
      </c>
      <c r="H4073" s="9" t="str">
        <f ca="1">IFERROR(__xludf.DUMMYFUNCTION("""COMPUTED_VALUE"""),"USD PKR rate for 21/11/2012")</f>
        <v>USD PKR rate for 21/11/2012</v>
      </c>
      <c r="I4073" s="9"/>
    </row>
    <row r="4074" spans="1:9" ht="14.25" customHeight="1" x14ac:dyDescent="0.3">
      <c r="A4074" s="6">
        <v>43791</v>
      </c>
      <c r="B4074" s="7">
        <v>155.5</v>
      </c>
      <c r="C4074" s="8">
        <f t="shared" si="31"/>
        <v>163.62281529529014</v>
      </c>
      <c r="D4074" s="9">
        <f t="shared" si="30"/>
        <v>72.889322561603976</v>
      </c>
      <c r="E4074" s="9"/>
      <c r="F4074" s="9">
        <f ca="1">IFERROR(__xludf.DUMMYFUNCTION("""COMPUTED_VALUE"""),41233)</f>
        <v>41233</v>
      </c>
      <c r="G4074" s="9" t="str">
        <f ca="1">IFERROR(__xludf.DUMMYFUNCTION("""COMPUTED_VALUE"""),"1 USD = 96.0915 PKR")</f>
        <v>1 USD = 96.0915 PKR</v>
      </c>
      <c r="H4074" s="9" t="str">
        <f ca="1">IFERROR(__xludf.DUMMYFUNCTION("""COMPUTED_VALUE"""),"USD PKR rate for 20/11/2012")</f>
        <v>USD PKR rate for 20/11/2012</v>
      </c>
      <c r="I4074" s="9"/>
    </row>
    <row r="4075" spans="1:9" ht="14.25" customHeight="1" x14ac:dyDescent="0.3">
      <c r="A4075" s="6">
        <v>43792</v>
      </c>
      <c r="B4075" s="7">
        <v>155.5</v>
      </c>
      <c r="C4075" s="8">
        <f t="shared" si="31"/>
        <v>163.65207919790365</v>
      </c>
      <c r="D4075" s="9">
        <f t="shared" si="30"/>
        <v>72.892060394401241</v>
      </c>
      <c r="E4075" s="9"/>
      <c r="F4075" s="9">
        <f ca="1">IFERROR(__xludf.DUMMYFUNCTION("""COMPUTED_VALUE"""),41232)</f>
        <v>41232</v>
      </c>
      <c r="G4075" s="9" t="str">
        <f ca="1">IFERROR(__xludf.DUMMYFUNCTION("""COMPUTED_VALUE"""),"1 USD = 96.1703 PKR")</f>
        <v>1 USD = 96.1703 PKR</v>
      </c>
      <c r="H4075" s="9" t="str">
        <f ca="1">IFERROR(__xludf.DUMMYFUNCTION("""COMPUTED_VALUE"""),"USD PKR rate for 19/11/2012")</f>
        <v>USD PKR rate for 19/11/2012</v>
      </c>
      <c r="I4075" s="9"/>
    </row>
    <row r="4076" spans="1:9" ht="14.25" customHeight="1" x14ac:dyDescent="0.3">
      <c r="A4076" s="6">
        <v>43793</v>
      </c>
      <c r="B4076" s="7">
        <v>155.3886</v>
      </c>
      <c r="C4076" s="8">
        <f t="shared" si="31"/>
        <v>163.68134833435954</v>
      </c>
      <c r="D4076" s="9">
        <f t="shared" si="30"/>
        <v>72.894798227198507</v>
      </c>
      <c r="E4076" s="9"/>
      <c r="F4076" s="9">
        <f ca="1">IFERROR(__xludf.DUMMYFUNCTION("""COMPUTED_VALUE"""),41231)</f>
        <v>41231</v>
      </c>
      <c r="G4076" s="9" t="str">
        <f ca="1">IFERROR(__xludf.DUMMYFUNCTION("""COMPUTED_VALUE"""),"1 USD = 95.8755 PKR")</f>
        <v>1 USD = 95.8755 PKR</v>
      </c>
      <c r="H4076" s="9" t="str">
        <f ca="1">IFERROR(__xludf.DUMMYFUNCTION("""COMPUTED_VALUE"""),"USD PKR rate for 18/11/2012")</f>
        <v>USD PKR rate for 18/11/2012</v>
      </c>
      <c r="I4076" s="9"/>
    </row>
    <row r="4077" spans="1:9" ht="14.25" customHeight="1" x14ac:dyDescent="0.3">
      <c r="A4077" s="6">
        <v>43794</v>
      </c>
      <c r="B4077" s="7">
        <v>155.7901</v>
      </c>
      <c r="C4077" s="8">
        <f t="shared" si="31"/>
        <v>163.71062270559369</v>
      </c>
      <c r="D4077" s="9">
        <f t="shared" si="30"/>
        <v>72.897536059995772</v>
      </c>
      <c r="E4077" s="9"/>
      <c r="F4077" s="9">
        <f ca="1">IFERROR(__xludf.DUMMYFUNCTION("""COMPUTED_VALUE"""),41230)</f>
        <v>41230</v>
      </c>
      <c r="G4077" s="9" t="str">
        <f ca="1">IFERROR(__xludf.DUMMYFUNCTION("""COMPUTED_VALUE"""),"1 USD = 95.9671 PKR")</f>
        <v>1 USD = 95.9671 PKR</v>
      </c>
      <c r="H4077" s="9" t="str">
        <f ca="1">IFERROR(__xludf.DUMMYFUNCTION("""COMPUTED_VALUE"""),"USD PKR rate for 17/11/2012")</f>
        <v>USD PKR rate for 17/11/2012</v>
      </c>
      <c r="I4077" s="9"/>
    </row>
    <row r="4078" spans="1:9" ht="14.25" customHeight="1" x14ac:dyDescent="0.3">
      <c r="A4078" s="6">
        <v>43795</v>
      </c>
      <c r="B4078" s="7">
        <v>155.39930000000001</v>
      </c>
      <c r="C4078" s="8">
        <f t="shared" si="31"/>
        <v>163.73990231254234</v>
      </c>
      <c r="D4078" s="9">
        <f t="shared" si="30"/>
        <v>72.900273892793038</v>
      </c>
      <c r="E4078" s="9"/>
      <c r="F4078" s="9">
        <f ca="1">IFERROR(__xludf.DUMMYFUNCTION("""COMPUTED_VALUE"""),41229)</f>
        <v>41229</v>
      </c>
      <c r="G4078" s="9" t="str">
        <f ca="1">IFERROR(__xludf.DUMMYFUNCTION("""COMPUTED_VALUE"""),"1 USD = 95.9198 PKR")</f>
        <v>1 USD = 95.9198 PKR</v>
      </c>
      <c r="H4078" s="9" t="str">
        <f ca="1">IFERROR(__xludf.DUMMYFUNCTION("""COMPUTED_VALUE"""),"USD PKR rate for 16/11/2012")</f>
        <v>USD PKR rate for 16/11/2012</v>
      </c>
      <c r="I4078" s="9"/>
    </row>
    <row r="4079" spans="1:9" ht="14.25" customHeight="1" x14ac:dyDescent="0.3">
      <c r="A4079" s="6">
        <v>43796</v>
      </c>
      <c r="B4079" s="7">
        <v>155.29589999999999</v>
      </c>
      <c r="C4079" s="8">
        <f t="shared" si="31"/>
        <v>163.76918715614195</v>
      </c>
      <c r="D4079" s="9">
        <f t="shared" si="30"/>
        <v>72.903011725590304</v>
      </c>
      <c r="E4079" s="9"/>
      <c r="F4079" s="9">
        <f ca="1">IFERROR(__xludf.DUMMYFUNCTION("""COMPUTED_VALUE"""),41228)</f>
        <v>41228</v>
      </c>
      <c r="G4079" s="9" t="str">
        <f ca="1">IFERROR(__xludf.DUMMYFUNCTION("""COMPUTED_VALUE"""),"1 USD = 95.7907 PKR")</f>
        <v>1 USD = 95.7907 PKR</v>
      </c>
      <c r="H4079" s="9" t="str">
        <f ca="1">IFERROR(__xludf.DUMMYFUNCTION("""COMPUTED_VALUE"""),"USD PKR rate for 15/11/2012")</f>
        <v>USD PKR rate for 15/11/2012</v>
      </c>
      <c r="I4079" s="9"/>
    </row>
    <row r="4080" spans="1:9" ht="14.25" customHeight="1" x14ac:dyDescent="0.3">
      <c r="A4080" s="6">
        <v>43797</v>
      </c>
      <c r="B4080" s="7">
        <v>155.2627</v>
      </c>
      <c r="C4080" s="8">
        <f t="shared" si="31"/>
        <v>163.79847723732902</v>
      </c>
      <c r="D4080" s="9">
        <f t="shared" si="30"/>
        <v>72.905749558387569</v>
      </c>
      <c r="E4080" s="9"/>
      <c r="F4080" s="9">
        <f ca="1">IFERROR(__xludf.DUMMYFUNCTION("""COMPUTED_VALUE"""),41227)</f>
        <v>41227</v>
      </c>
      <c r="G4080" s="9" t="str">
        <f ca="1">IFERROR(__xludf.DUMMYFUNCTION("""COMPUTED_VALUE"""),"1 USD = 95.9856 PKR")</f>
        <v>1 USD = 95.9856 PKR</v>
      </c>
      <c r="H4080" s="9" t="str">
        <f ca="1">IFERROR(__xludf.DUMMYFUNCTION("""COMPUTED_VALUE"""),"USD PKR rate for 14/11/2012")</f>
        <v>USD PKR rate for 14/11/2012</v>
      </c>
      <c r="I4080" s="9"/>
    </row>
    <row r="4081" spans="1:9" ht="14.25" customHeight="1" x14ac:dyDescent="0.3">
      <c r="A4081" s="6">
        <v>43798</v>
      </c>
      <c r="B4081" s="7">
        <v>155.369</v>
      </c>
      <c r="C4081" s="8">
        <f t="shared" si="31"/>
        <v>163.82777255704033</v>
      </c>
      <c r="D4081" s="9">
        <f t="shared" si="30"/>
        <v>72.908487391184835</v>
      </c>
      <c r="E4081" s="9"/>
      <c r="F4081" s="9">
        <f ca="1">IFERROR(__xludf.DUMMYFUNCTION("""COMPUTED_VALUE"""),41226)</f>
        <v>41226</v>
      </c>
      <c r="G4081" s="9" t="str">
        <f ca="1">IFERROR(__xludf.DUMMYFUNCTION("""COMPUTED_VALUE"""),"1 USD = 95.9832 PKR")</f>
        <v>1 USD = 95.9832 PKR</v>
      </c>
      <c r="H4081" s="9" t="str">
        <f ca="1">IFERROR(__xludf.DUMMYFUNCTION("""COMPUTED_VALUE"""),"USD PKR rate for 13/11/2012")</f>
        <v>USD PKR rate for 13/11/2012</v>
      </c>
      <c r="I4081" s="9"/>
    </row>
    <row r="4082" spans="1:9" ht="14.25" customHeight="1" x14ac:dyDescent="0.3">
      <c r="A4082" s="6">
        <v>43799</v>
      </c>
      <c r="B4082" s="7">
        <v>154.93180000000001</v>
      </c>
      <c r="C4082" s="8">
        <f t="shared" si="31"/>
        <v>163.8570731162128</v>
      </c>
      <c r="D4082" s="9">
        <f t="shared" si="30"/>
        <v>72.9112252239821</v>
      </c>
      <c r="E4082" s="9"/>
      <c r="F4082" s="9">
        <f ca="1">IFERROR(__xludf.DUMMYFUNCTION("""COMPUTED_VALUE"""),41225)</f>
        <v>41225</v>
      </c>
      <c r="G4082" s="9" t="str">
        <f ca="1">IFERROR(__xludf.DUMMYFUNCTION("""COMPUTED_VALUE"""),"1 USD = 95.9209 PKR")</f>
        <v>1 USD = 95.9209 PKR</v>
      </c>
      <c r="H4082" s="9" t="str">
        <f ca="1">IFERROR(__xludf.DUMMYFUNCTION("""COMPUTED_VALUE"""),"USD PKR rate for 12/11/2012")</f>
        <v>USD PKR rate for 12/11/2012</v>
      </c>
      <c r="I4082" s="9"/>
    </row>
    <row r="4083" spans="1:9" ht="14.25" customHeight="1" x14ac:dyDescent="0.3">
      <c r="A4083" s="6">
        <v>43800</v>
      </c>
      <c r="B4083" s="7">
        <v>155.02430000000001</v>
      </c>
      <c r="C4083" s="8">
        <f t="shared" si="31"/>
        <v>163.8863789157835</v>
      </c>
      <c r="D4083" s="9">
        <f t="shared" ref="D4083:D4337" si="32">(A4083-$A$3)/365.2524</f>
        <v>72.913963056779366</v>
      </c>
      <c r="E4083" s="9"/>
      <c r="F4083" s="9">
        <f ca="1">IFERROR(__xludf.DUMMYFUNCTION("""COMPUTED_VALUE"""),41224)</f>
        <v>41224</v>
      </c>
      <c r="G4083" s="9" t="str">
        <f ca="1">IFERROR(__xludf.DUMMYFUNCTION("""COMPUTED_VALUE"""),"1 USD = 95.9938 PKR")</f>
        <v>1 USD = 95.9938 PKR</v>
      </c>
      <c r="H4083" s="9" t="str">
        <f ca="1">IFERROR(__xludf.DUMMYFUNCTION("""COMPUTED_VALUE"""),"USD PKR rate for 11/11/2012")</f>
        <v>USD PKR rate for 11/11/2012</v>
      </c>
      <c r="I4083" s="9"/>
    </row>
    <row r="4084" spans="1:9" ht="14.25" customHeight="1" x14ac:dyDescent="0.3">
      <c r="A4084" s="6">
        <v>43801</v>
      </c>
      <c r="B4084" s="7">
        <v>155.26769999999999</v>
      </c>
      <c r="C4084" s="8">
        <f t="shared" ref="C4084:C4338" si="33">(1+$C$1)^D4084*$C$3</f>
        <v>163.9156899566895</v>
      </c>
      <c r="D4084" s="9">
        <f t="shared" si="32"/>
        <v>72.916700889576632</v>
      </c>
      <c r="E4084" s="9"/>
      <c r="F4084" s="9">
        <f ca="1">IFERROR(__xludf.DUMMYFUNCTION("""COMPUTED_VALUE"""),41223)</f>
        <v>41223</v>
      </c>
      <c r="G4084" s="9" t="str">
        <f ca="1">IFERROR(__xludf.DUMMYFUNCTION("""COMPUTED_VALUE"""),"1 USD = 95.9386 PKR")</f>
        <v>1 USD = 95.9386 PKR</v>
      </c>
      <c r="H4084" s="9" t="str">
        <f ca="1">IFERROR(__xludf.DUMMYFUNCTION("""COMPUTED_VALUE"""),"USD PKR rate for 10/11/2012")</f>
        <v>USD PKR rate for 10/11/2012</v>
      </c>
      <c r="I4084" s="9"/>
    </row>
    <row r="4085" spans="1:9" ht="14.25" customHeight="1" x14ac:dyDescent="0.3">
      <c r="A4085" s="6">
        <v>43802</v>
      </c>
      <c r="B4085" s="7">
        <v>155.20419999999999</v>
      </c>
      <c r="C4085" s="8">
        <f t="shared" si="33"/>
        <v>163.94500623986852</v>
      </c>
      <c r="D4085" s="9">
        <f t="shared" si="32"/>
        <v>72.919438722373897</v>
      </c>
      <c r="E4085" s="9"/>
      <c r="F4085" s="9">
        <f ca="1">IFERROR(__xludf.DUMMYFUNCTION("""COMPUTED_VALUE"""),41222)</f>
        <v>41222</v>
      </c>
      <c r="G4085" s="9" t="str">
        <f ca="1">IFERROR(__xludf.DUMMYFUNCTION("""COMPUTED_VALUE"""),"1 USD = 96.0379 PKR")</f>
        <v>1 USD = 96.0379 PKR</v>
      </c>
      <c r="H4085" s="9" t="str">
        <f ca="1">IFERROR(__xludf.DUMMYFUNCTION("""COMPUTED_VALUE"""),"USD PKR rate for 09/11/2012")</f>
        <v>USD PKR rate for 09/11/2012</v>
      </c>
      <c r="I4085" s="9"/>
    </row>
    <row r="4086" spans="1:9" ht="14.25" customHeight="1" x14ac:dyDescent="0.3">
      <c r="A4086" s="6">
        <v>43803</v>
      </c>
      <c r="B4086" s="7">
        <v>155.14070000000001</v>
      </c>
      <c r="C4086" s="8">
        <f t="shared" si="33"/>
        <v>163.974327766258</v>
      </c>
      <c r="D4086" s="9">
        <f t="shared" si="32"/>
        <v>72.922176555171163</v>
      </c>
      <c r="E4086" s="9"/>
      <c r="F4086" s="9">
        <f ca="1">IFERROR(__xludf.DUMMYFUNCTION("""COMPUTED_VALUE"""),41221)</f>
        <v>41221</v>
      </c>
      <c r="G4086" s="9" t="str">
        <f ca="1">IFERROR(__xludf.DUMMYFUNCTION("""COMPUTED_VALUE"""),"1 USD = 95.9912 PKR")</f>
        <v>1 USD = 95.9912 PKR</v>
      </c>
      <c r="H4086" s="9" t="str">
        <f ca="1">IFERROR(__xludf.DUMMYFUNCTION("""COMPUTED_VALUE"""),"USD PKR rate for 08/11/2012")</f>
        <v>USD PKR rate for 08/11/2012</v>
      </c>
      <c r="I4086" s="9"/>
    </row>
    <row r="4087" spans="1:9" ht="14.25" customHeight="1" x14ac:dyDescent="0.3">
      <c r="A4087" s="6">
        <v>43804</v>
      </c>
      <c r="B4087" s="7">
        <v>155.03749999999999</v>
      </c>
      <c r="C4087" s="8">
        <f t="shared" si="33"/>
        <v>164.00365453679569</v>
      </c>
      <c r="D4087" s="9">
        <f t="shared" si="32"/>
        <v>72.924914387968428</v>
      </c>
      <c r="E4087" s="9"/>
      <c r="F4087" s="9">
        <f ca="1">IFERROR(__xludf.DUMMYFUNCTION("""COMPUTED_VALUE"""),41220)</f>
        <v>41220</v>
      </c>
      <c r="G4087" s="9" t="str">
        <f ca="1">IFERROR(__xludf.DUMMYFUNCTION("""COMPUTED_VALUE"""),"1 USD = 96.0366 PKR")</f>
        <v>1 USD = 96.0366 PKR</v>
      </c>
      <c r="H4087" s="9" t="str">
        <f ca="1">IFERROR(__xludf.DUMMYFUNCTION("""COMPUTED_VALUE"""),"USD PKR rate for 07/11/2012")</f>
        <v>USD PKR rate for 07/11/2012</v>
      </c>
      <c r="I4087" s="9"/>
    </row>
    <row r="4088" spans="1:9" ht="14.25" customHeight="1" x14ac:dyDescent="0.3">
      <c r="A4088" s="6">
        <v>43805</v>
      </c>
      <c r="B4088" s="7">
        <v>154.7799</v>
      </c>
      <c r="C4088" s="8">
        <f t="shared" si="33"/>
        <v>164.03298655241949</v>
      </c>
      <c r="D4088" s="9">
        <f t="shared" si="32"/>
        <v>72.927652220765694</v>
      </c>
      <c r="E4088" s="9"/>
      <c r="F4088" s="9">
        <f ca="1">IFERROR(__xludf.DUMMYFUNCTION("""COMPUTED_VALUE"""),41219)</f>
        <v>41219</v>
      </c>
      <c r="G4088" s="9" t="str">
        <f ca="1">IFERROR(__xludf.DUMMYFUNCTION("""COMPUTED_VALUE"""),"1 USD = 96.1882 PKR")</f>
        <v>1 USD = 96.1882 PKR</v>
      </c>
      <c r="H4088" s="9" t="str">
        <f ca="1">IFERROR(__xludf.DUMMYFUNCTION("""COMPUTED_VALUE"""),"USD PKR rate for 06/11/2012")</f>
        <v>USD PKR rate for 06/11/2012</v>
      </c>
      <c r="I4088" s="9"/>
    </row>
    <row r="4089" spans="1:9" ht="14.25" customHeight="1" x14ac:dyDescent="0.3">
      <c r="A4089" s="6">
        <v>43806</v>
      </c>
      <c r="B4089" s="7">
        <v>154.7799</v>
      </c>
      <c r="C4089" s="8">
        <f t="shared" si="33"/>
        <v>164.06232381406747</v>
      </c>
      <c r="D4089" s="9">
        <f t="shared" si="32"/>
        <v>72.930390053562959</v>
      </c>
      <c r="E4089" s="9"/>
      <c r="F4089" s="9">
        <f ca="1">IFERROR(__xludf.DUMMYFUNCTION("""COMPUTED_VALUE"""),41218)</f>
        <v>41218</v>
      </c>
      <c r="G4089" s="9" t="str">
        <f ca="1">IFERROR(__xludf.DUMMYFUNCTION("""COMPUTED_VALUE"""),"1 USD = 96.112 PKR")</f>
        <v>1 USD = 96.112 PKR</v>
      </c>
      <c r="H4089" s="9" t="str">
        <f ca="1">IFERROR(__xludf.DUMMYFUNCTION("""COMPUTED_VALUE"""),"USD PKR rate for 05/11/2012")</f>
        <v>USD PKR rate for 05/11/2012</v>
      </c>
      <c r="I4089" s="9"/>
    </row>
    <row r="4090" spans="1:9" ht="14.25" customHeight="1" x14ac:dyDescent="0.3">
      <c r="A4090" s="6">
        <v>43807</v>
      </c>
      <c r="B4090" s="7">
        <v>154.91</v>
      </c>
      <c r="C4090" s="8">
        <f t="shared" si="33"/>
        <v>164.09166632267795</v>
      </c>
      <c r="D4090" s="9">
        <f t="shared" si="32"/>
        <v>72.933127886360225</v>
      </c>
      <c r="E4090" s="9"/>
      <c r="F4090" s="9">
        <f ca="1">IFERROR(__xludf.DUMMYFUNCTION("""COMPUTED_VALUE"""),41217)</f>
        <v>41217</v>
      </c>
      <c r="G4090" s="9" t="str">
        <f ca="1">IFERROR(__xludf.DUMMYFUNCTION("""COMPUTED_VALUE"""),"1 USD = 95.906 PKR")</f>
        <v>1 USD = 95.906 PKR</v>
      </c>
      <c r="H4090" s="9" t="str">
        <f ca="1">IFERROR(__xludf.DUMMYFUNCTION("""COMPUTED_VALUE"""),"USD PKR rate for 04/11/2012")</f>
        <v>USD PKR rate for 04/11/2012</v>
      </c>
      <c r="I4090" s="9"/>
    </row>
    <row r="4091" spans="1:9" ht="14.25" customHeight="1" x14ac:dyDescent="0.3">
      <c r="A4091" s="6">
        <v>43808</v>
      </c>
      <c r="B4091" s="7">
        <v>155.05840000000001</v>
      </c>
      <c r="C4091" s="8">
        <f t="shared" si="33"/>
        <v>164.12101407918925</v>
      </c>
      <c r="D4091" s="9">
        <f t="shared" si="32"/>
        <v>72.935865719157491</v>
      </c>
      <c r="E4091" s="9"/>
      <c r="F4091" s="9">
        <f ca="1">IFERROR(__xludf.DUMMYFUNCTION("""COMPUTED_VALUE"""),41216)</f>
        <v>41216</v>
      </c>
      <c r="G4091" s="9" t="str">
        <f ca="1">IFERROR(__xludf.DUMMYFUNCTION("""COMPUTED_VALUE"""),"1 USD = 95.7895 PKR")</f>
        <v>1 USD = 95.7895 PKR</v>
      </c>
      <c r="H4091" s="9" t="str">
        <f ca="1">IFERROR(__xludf.DUMMYFUNCTION("""COMPUTED_VALUE"""),"USD PKR rate for 03/11/2012")</f>
        <v>USD PKR rate for 03/11/2012</v>
      </c>
      <c r="I4091" s="9"/>
    </row>
    <row r="4092" spans="1:9" ht="14.25" customHeight="1" x14ac:dyDescent="0.3">
      <c r="A4092" s="6">
        <v>43809</v>
      </c>
      <c r="B4092" s="7">
        <v>154.9973</v>
      </c>
      <c r="C4092" s="8">
        <f t="shared" si="33"/>
        <v>164.15036708454002</v>
      </c>
      <c r="D4092" s="9">
        <f t="shared" si="32"/>
        <v>72.938603551954756</v>
      </c>
      <c r="E4092" s="9"/>
      <c r="F4092" s="9">
        <f ca="1">IFERROR(__xludf.DUMMYFUNCTION("""COMPUTED_VALUE"""),41215)</f>
        <v>41215</v>
      </c>
      <c r="G4092" s="9" t="str">
        <f ca="1">IFERROR(__xludf.DUMMYFUNCTION("""COMPUTED_VALUE"""),"1 USD = 95.9346 PKR")</f>
        <v>1 USD = 95.9346 PKR</v>
      </c>
      <c r="H4092" s="9" t="str">
        <f ca="1">IFERROR(__xludf.DUMMYFUNCTION("""COMPUTED_VALUE"""),"USD PKR rate for 02/11/2012")</f>
        <v>USD PKR rate for 02/11/2012</v>
      </c>
      <c r="I4092" s="9"/>
    </row>
    <row r="4093" spans="1:9" ht="14.25" customHeight="1" x14ac:dyDescent="0.3">
      <c r="A4093" s="6">
        <v>43810</v>
      </c>
      <c r="B4093" s="7">
        <v>155.03739999999999</v>
      </c>
      <c r="C4093" s="8">
        <f t="shared" si="33"/>
        <v>164.17972533966901</v>
      </c>
      <c r="D4093" s="9">
        <f t="shared" si="32"/>
        <v>72.941341384752022</v>
      </c>
      <c r="E4093" s="9"/>
      <c r="F4093" s="9">
        <f ca="1">IFERROR(__xludf.DUMMYFUNCTION("""COMPUTED_VALUE"""),41214)</f>
        <v>41214</v>
      </c>
      <c r="G4093" s="9" t="str">
        <f ca="1">IFERROR(__xludf.DUMMYFUNCTION("""COMPUTED_VALUE"""),"1 USD = 95.6899 PKR")</f>
        <v>1 USD = 95.6899 PKR</v>
      </c>
      <c r="H4093" s="9" t="str">
        <f ca="1">IFERROR(__xludf.DUMMYFUNCTION("""COMPUTED_VALUE"""),"USD PKR rate for 01/11/2012")</f>
        <v>USD PKR rate for 01/11/2012</v>
      </c>
      <c r="I4093" s="9"/>
    </row>
    <row r="4094" spans="1:9" ht="14.25" customHeight="1" x14ac:dyDescent="0.3">
      <c r="A4094" s="6">
        <v>43811</v>
      </c>
      <c r="B4094" s="7">
        <v>154.97579999999999</v>
      </c>
      <c r="C4094" s="8">
        <f t="shared" si="33"/>
        <v>164.20908884551497</v>
      </c>
      <c r="D4094" s="9">
        <f t="shared" si="32"/>
        <v>72.944079217549287</v>
      </c>
      <c r="E4094" s="9"/>
      <c r="F4094" s="9">
        <f ca="1">IFERROR(__xludf.DUMMYFUNCTION("""COMPUTED_VALUE"""),41213)</f>
        <v>41213</v>
      </c>
      <c r="G4094" s="9" t="str">
        <f ca="1">IFERROR(__xludf.DUMMYFUNCTION("""COMPUTED_VALUE"""),"1 USD = 95.8786 PKR")</f>
        <v>1 USD = 95.8786 PKR</v>
      </c>
      <c r="H4094" s="9" t="str">
        <f ca="1">IFERROR(__xludf.DUMMYFUNCTION("""COMPUTED_VALUE"""),"USD PKR rate for 31/10/2012")</f>
        <v>USD PKR rate for 31/10/2012</v>
      </c>
      <c r="I4094" s="9"/>
    </row>
    <row r="4095" spans="1:9" ht="14.25" customHeight="1" x14ac:dyDescent="0.3">
      <c r="A4095" s="6">
        <v>43812</v>
      </c>
      <c r="B4095" s="7">
        <v>154.95250000000001</v>
      </c>
      <c r="C4095" s="8">
        <f t="shared" si="33"/>
        <v>164.23845760301731</v>
      </c>
      <c r="D4095" s="9">
        <f t="shared" si="32"/>
        <v>72.946817050346553</v>
      </c>
      <c r="E4095" s="9"/>
      <c r="F4095" s="9">
        <f ca="1">IFERROR(__xludf.DUMMYFUNCTION("""COMPUTED_VALUE"""),41212)</f>
        <v>41212</v>
      </c>
      <c r="G4095" s="9" t="str">
        <f ca="1">IFERROR(__xludf.DUMMYFUNCTION("""COMPUTED_VALUE"""),"1 USD = 95.7658 PKR")</f>
        <v>1 USD = 95.7658 PKR</v>
      </c>
      <c r="H4095" s="9" t="str">
        <f ca="1">IFERROR(__xludf.DUMMYFUNCTION("""COMPUTED_VALUE"""),"USD PKR rate for 30/10/2012")</f>
        <v>USD PKR rate for 30/10/2012</v>
      </c>
      <c r="I4095" s="9"/>
    </row>
    <row r="4096" spans="1:9" ht="14.25" customHeight="1" x14ac:dyDescent="0.3">
      <c r="A4096" s="6">
        <v>43813</v>
      </c>
      <c r="B4096" s="7">
        <v>154.95250000000001</v>
      </c>
      <c r="C4096" s="8">
        <f t="shared" si="33"/>
        <v>164.26783161311511</v>
      </c>
      <c r="D4096" s="9">
        <f t="shared" si="32"/>
        <v>72.949554883143819</v>
      </c>
      <c r="E4096" s="9"/>
      <c r="F4096" s="9">
        <f ca="1">IFERROR(__xludf.DUMMYFUNCTION("""COMPUTED_VALUE"""),41211)</f>
        <v>41211</v>
      </c>
      <c r="G4096" s="9" t="str">
        <f ca="1">IFERROR(__xludf.DUMMYFUNCTION("""COMPUTED_VALUE"""),"1 USD = 95.8779 PKR")</f>
        <v>1 USD = 95.8779 PKR</v>
      </c>
      <c r="H4096" s="9" t="str">
        <f ca="1">IFERROR(__xludf.DUMMYFUNCTION("""COMPUTED_VALUE"""),"USD PKR rate for 29/10/2012")</f>
        <v>USD PKR rate for 29/10/2012</v>
      </c>
      <c r="I4096" s="9"/>
    </row>
    <row r="4097" spans="1:9" ht="14.25" customHeight="1" x14ac:dyDescent="0.3">
      <c r="A4097" s="6">
        <v>43814</v>
      </c>
      <c r="B4097" s="7">
        <v>154.9854</v>
      </c>
      <c r="C4097" s="8">
        <f t="shared" si="33"/>
        <v>164.29721087674781</v>
      </c>
      <c r="D4097" s="9">
        <f t="shared" si="32"/>
        <v>72.952292715941084</v>
      </c>
      <c r="E4097" s="9"/>
      <c r="F4097" s="9">
        <f ca="1">IFERROR(__xludf.DUMMYFUNCTION("""COMPUTED_VALUE"""),41210)</f>
        <v>41210</v>
      </c>
      <c r="G4097" s="9" t="str">
        <f ca="1">IFERROR(__xludf.DUMMYFUNCTION("""COMPUTED_VALUE"""),"1 USD = 95.8024 PKR")</f>
        <v>1 USD = 95.8024 PKR</v>
      </c>
      <c r="H4097" s="9" t="str">
        <f ca="1">IFERROR(__xludf.DUMMYFUNCTION("""COMPUTED_VALUE"""),"USD PKR rate for 28/10/2012")</f>
        <v>USD PKR rate for 28/10/2012</v>
      </c>
      <c r="I4097" s="9"/>
    </row>
    <row r="4098" spans="1:9" ht="14.25" customHeight="1" x14ac:dyDescent="0.3">
      <c r="A4098" s="6">
        <v>43815</v>
      </c>
      <c r="B4098" s="7">
        <v>155.03739999999999</v>
      </c>
      <c r="C4098" s="8">
        <f t="shared" si="33"/>
        <v>164.32659539485502</v>
      </c>
      <c r="D4098" s="9">
        <f t="shared" si="32"/>
        <v>72.95503054873835</v>
      </c>
      <c r="E4098" s="9"/>
      <c r="F4098" s="9">
        <f ca="1">IFERROR(__xludf.DUMMYFUNCTION("""COMPUTED_VALUE"""),41209)</f>
        <v>41209</v>
      </c>
      <c r="G4098" s="9" t="str">
        <f ca="1">IFERROR(__xludf.DUMMYFUNCTION("""COMPUTED_VALUE"""),"1 USD = 95.825 PKR")</f>
        <v>1 USD = 95.825 PKR</v>
      </c>
      <c r="H4098" s="9" t="str">
        <f ca="1">IFERROR(__xludf.DUMMYFUNCTION("""COMPUTED_VALUE"""),"USD PKR rate for 27/10/2012")</f>
        <v>USD PKR rate for 27/10/2012</v>
      </c>
      <c r="I4098" s="9"/>
    </row>
    <row r="4099" spans="1:9" ht="14.25" customHeight="1" x14ac:dyDescent="0.3">
      <c r="A4099" s="6">
        <v>43816</v>
      </c>
      <c r="B4099" s="7">
        <v>155.03489999999999</v>
      </c>
      <c r="C4099" s="8">
        <f t="shared" si="33"/>
        <v>164.35598516837646</v>
      </c>
      <c r="D4099" s="9">
        <f t="shared" si="32"/>
        <v>72.957768381535615</v>
      </c>
      <c r="E4099" s="9"/>
      <c r="F4099" s="9">
        <f ca="1">IFERROR(__xludf.DUMMYFUNCTION("""COMPUTED_VALUE"""),41208)</f>
        <v>41208</v>
      </c>
      <c r="G4099" s="9" t="str">
        <f ca="1">IFERROR(__xludf.DUMMYFUNCTION("""COMPUTED_VALUE"""),"1 USD = 95.8053 PKR")</f>
        <v>1 USD = 95.8053 PKR</v>
      </c>
      <c r="H4099" s="9" t="str">
        <f ca="1">IFERROR(__xludf.DUMMYFUNCTION("""COMPUTED_VALUE"""),"USD PKR rate for 26/10/2012")</f>
        <v>USD PKR rate for 26/10/2012</v>
      </c>
      <c r="I4099" s="9"/>
    </row>
    <row r="4100" spans="1:9" ht="14.25" customHeight="1" x14ac:dyDescent="0.3">
      <c r="A4100" s="6">
        <v>43817</v>
      </c>
      <c r="B4100" s="7">
        <v>154.90450000000001</v>
      </c>
      <c r="C4100" s="8">
        <f t="shared" si="33"/>
        <v>164.38538019825211</v>
      </c>
      <c r="D4100" s="9">
        <f t="shared" si="32"/>
        <v>72.960506214332881</v>
      </c>
      <c r="E4100" s="9"/>
      <c r="F4100" s="9">
        <f ca="1">IFERROR(__xludf.DUMMYFUNCTION("""COMPUTED_VALUE"""),41207)</f>
        <v>41207</v>
      </c>
      <c r="G4100" s="9" t="str">
        <f ca="1">IFERROR(__xludf.DUMMYFUNCTION("""COMPUTED_VALUE"""),"1 USD = 95.8972 PKR")</f>
        <v>1 USD = 95.8972 PKR</v>
      </c>
      <c r="H4100" s="9" t="str">
        <f ca="1">IFERROR(__xludf.DUMMYFUNCTION("""COMPUTED_VALUE"""),"USD PKR rate for 25/10/2012")</f>
        <v>USD PKR rate for 25/10/2012</v>
      </c>
      <c r="I4100" s="9"/>
    </row>
    <row r="4101" spans="1:9" ht="14.25" customHeight="1" x14ac:dyDescent="0.3">
      <c r="A4101" s="6">
        <v>43818</v>
      </c>
      <c r="B4101" s="7">
        <v>154.5412</v>
      </c>
      <c r="C4101" s="8">
        <f t="shared" si="33"/>
        <v>164.41478048542203</v>
      </c>
      <c r="D4101" s="9">
        <f t="shared" si="32"/>
        <v>72.963244047130146</v>
      </c>
      <c r="E4101" s="9"/>
      <c r="F4101" s="9">
        <f ca="1">IFERROR(__xludf.DUMMYFUNCTION("""COMPUTED_VALUE"""),41206)</f>
        <v>41206</v>
      </c>
      <c r="G4101" s="9" t="str">
        <f ca="1">IFERROR(__xludf.DUMMYFUNCTION("""COMPUTED_VALUE"""),"1 USD = 95.5113 PKR")</f>
        <v>1 USD = 95.5113 PKR</v>
      </c>
      <c r="H4101" s="9" t="str">
        <f ca="1">IFERROR(__xludf.DUMMYFUNCTION("""COMPUTED_VALUE"""),"USD PKR rate for 24/10/2012")</f>
        <v>USD PKR rate for 24/10/2012</v>
      </c>
      <c r="I4101" s="9"/>
    </row>
    <row r="4102" spans="1:9" ht="14.25" customHeight="1" x14ac:dyDescent="0.3">
      <c r="A4102" s="6">
        <v>43819</v>
      </c>
      <c r="B4102" s="7">
        <v>154.869</v>
      </c>
      <c r="C4102" s="8">
        <f t="shared" si="33"/>
        <v>164.44418603082653</v>
      </c>
      <c r="D4102" s="9">
        <f t="shared" si="32"/>
        <v>72.965981879927412</v>
      </c>
      <c r="E4102" s="9"/>
      <c r="F4102" s="9">
        <f ca="1">IFERROR(__xludf.DUMMYFUNCTION("""COMPUTED_VALUE"""),41205)</f>
        <v>41205</v>
      </c>
      <c r="G4102" s="9" t="str">
        <f ca="1">IFERROR(__xludf.DUMMYFUNCTION("""COMPUTED_VALUE"""),"1 USD = 95.6408 PKR")</f>
        <v>1 USD = 95.6408 PKR</v>
      </c>
      <c r="H4102" s="9" t="str">
        <f ca="1">IFERROR(__xludf.DUMMYFUNCTION("""COMPUTED_VALUE"""),"USD PKR rate for 23/10/2012")</f>
        <v>USD PKR rate for 23/10/2012</v>
      </c>
      <c r="I4102" s="9"/>
    </row>
    <row r="4103" spans="1:9" ht="14.25" customHeight="1" x14ac:dyDescent="0.3">
      <c r="A4103" s="6">
        <v>43820</v>
      </c>
      <c r="B4103" s="7">
        <v>154.869</v>
      </c>
      <c r="C4103" s="8">
        <f t="shared" si="33"/>
        <v>164.47359683540583</v>
      </c>
      <c r="D4103" s="9">
        <f t="shared" si="32"/>
        <v>72.968719712724678</v>
      </c>
      <c r="E4103" s="9"/>
      <c r="F4103" s="9">
        <f ca="1">IFERROR(__xludf.DUMMYFUNCTION("""COMPUTED_VALUE"""),41204)</f>
        <v>41204</v>
      </c>
      <c r="G4103" s="9" t="str">
        <f ca="1">IFERROR(__xludf.DUMMYFUNCTION("""COMPUTED_VALUE"""),"1 USD = 95.4934 PKR")</f>
        <v>1 USD = 95.4934 PKR</v>
      </c>
      <c r="H4103" s="9" t="str">
        <f ca="1">IFERROR(__xludf.DUMMYFUNCTION("""COMPUTED_VALUE"""),"USD PKR rate for 22/10/2012")</f>
        <v>USD PKR rate for 22/10/2012</v>
      </c>
      <c r="I4103" s="9"/>
    </row>
    <row r="4104" spans="1:9" ht="14.25" customHeight="1" x14ac:dyDescent="0.3">
      <c r="A4104" s="6">
        <v>43821</v>
      </c>
      <c r="B4104" s="7">
        <v>154.5266</v>
      </c>
      <c r="C4104" s="8">
        <f t="shared" si="33"/>
        <v>164.50301290010088</v>
      </c>
      <c r="D4104" s="9">
        <f t="shared" si="32"/>
        <v>72.971457545521943</v>
      </c>
      <c r="E4104" s="9"/>
      <c r="F4104" s="9">
        <f ca="1">IFERROR(__xludf.DUMMYFUNCTION("""COMPUTED_VALUE"""),41203)</f>
        <v>41203</v>
      </c>
      <c r="G4104" s="9" t="str">
        <f ca="1">IFERROR(__xludf.DUMMYFUNCTION("""COMPUTED_VALUE"""),"1 USD = 95.5855 PKR")</f>
        <v>1 USD = 95.5855 PKR</v>
      </c>
      <c r="H4104" s="9" t="str">
        <f ca="1">IFERROR(__xludf.DUMMYFUNCTION("""COMPUTED_VALUE"""),"USD PKR rate for 21/10/2012")</f>
        <v>USD PKR rate for 21/10/2012</v>
      </c>
      <c r="I4104" s="9"/>
    </row>
    <row r="4105" spans="1:9" ht="14.25" customHeight="1" x14ac:dyDescent="0.3">
      <c r="A4105" s="6">
        <v>43822</v>
      </c>
      <c r="B4105" s="7">
        <v>154.9349</v>
      </c>
      <c r="C4105" s="8">
        <f t="shared" si="33"/>
        <v>164.53243422585228</v>
      </c>
      <c r="D4105" s="9">
        <f t="shared" si="32"/>
        <v>72.974195378319209</v>
      </c>
      <c r="E4105" s="9"/>
      <c r="F4105" s="9">
        <f ca="1">IFERROR(__xludf.DUMMYFUNCTION("""COMPUTED_VALUE"""),41202)</f>
        <v>41202</v>
      </c>
      <c r="G4105" s="9" t="str">
        <f ca="1">IFERROR(__xludf.DUMMYFUNCTION("""COMPUTED_VALUE"""),"1 USD = 95.5653 PKR")</f>
        <v>1 USD = 95.5653 PKR</v>
      </c>
      <c r="H4105" s="9" t="str">
        <f ca="1">IFERROR(__xludf.DUMMYFUNCTION("""COMPUTED_VALUE"""),"USD PKR rate for 20/10/2012")</f>
        <v>USD PKR rate for 20/10/2012</v>
      </c>
      <c r="I4105" s="9"/>
    </row>
    <row r="4106" spans="1:9" ht="14.25" customHeight="1" x14ac:dyDescent="0.3">
      <c r="A4106" s="6">
        <v>43823</v>
      </c>
      <c r="B4106" s="7">
        <v>154.80770000000001</v>
      </c>
      <c r="C4106" s="8">
        <f t="shared" si="33"/>
        <v>164.56186081360099</v>
      </c>
      <c r="D4106" s="9">
        <f t="shared" si="32"/>
        <v>72.976933211116474</v>
      </c>
      <c r="E4106" s="9"/>
      <c r="F4106" s="9">
        <f ca="1">IFERROR(__xludf.DUMMYFUNCTION("""COMPUTED_VALUE"""),41201)</f>
        <v>41201</v>
      </c>
      <c r="G4106" s="9" t="str">
        <f ca="1">IFERROR(__xludf.DUMMYFUNCTION("""COMPUTED_VALUE"""),"1 USD = 95.5176 PKR")</f>
        <v>1 USD = 95.5176 PKR</v>
      </c>
      <c r="H4106" s="9" t="str">
        <f ca="1">IFERROR(__xludf.DUMMYFUNCTION("""COMPUTED_VALUE"""),"USD PKR rate for 19/10/2012")</f>
        <v>USD PKR rate for 19/10/2012</v>
      </c>
      <c r="I4106" s="9"/>
    </row>
    <row r="4107" spans="1:9" ht="14.25" customHeight="1" x14ac:dyDescent="0.3">
      <c r="A4107" s="6">
        <v>43824</v>
      </c>
      <c r="B4107" s="7">
        <v>154.75810000000001</v>
      </c>
      <c r="C4107" s="8">
        <f t="shared" si="33"/>
        <v>164.59129266428809</v>
      </c>
      <c r="D4107" s="9">
        <f t="shared" si="32"/>
        <v>72.97967104391374</v>
      </c>
      <c r="E4107" s="9"/>
      <c r="F4107" s="9">
        <f ca="1">IFERROR(__xludf.DUMMYFUNCTION("""COMPUTED_VALUE"""),41200)</f>
        <v>41200</v>
      </c>
      <c r="G4107" s="9" t="str">
        <f ca="1">IFERROR(__xludf.DUMMYFUNCTION("""COMPUTED_VALUE"""),"1 USD = 95.5454 PKR")</f>
        <v>1 USD = 95.5454 PKR</v>
      </c>
      <c r="H4107" s="9" t="str">
        <f ca="1">IFERROR(__xludf.DUMMYFUNCTION("""COMPUTED_VALUE"""),"USD PKR rate for 18/10/2012")</f>
        <v>USD PKR rate for 18/10/2012</v>
      </c>
      <c r="I4107" s="9"/>
    </row>
    <row r="4108" spans="1:9" ht="14.25" customHeight="1" x14ac:dyDescent="0.3">
      <c r="A4108" s="6">
        <v>43825</v>
      </c>
      <c r="B4108" s="7">
        <v>154.7664</v>
      </c>
      <c r="C4108" s="8">
        <f t="shared" si="33"/>
        <v>164.62072977885489</v>
      </c>
      <c r="D4108" s="9">
        <f t="shared" si="32"/>
        <v>72.982408876711006</v>
      </c>
      <c r="E4108" s="9"/>
      <c r="F4108" s="9">
        <f ca="1">IFERROR(__xludf.DUMMYFUNCTION("""COMPUTED_VALUE"""),41199)</f>
        <v>41199</v>
      </c>
      <c r="G4108" s="9" t="str">
        <f ca="1">IFERROR(__xludf.DUMMYFUNCTION("""COMPUTED_VALUE"""),"1 USD = 95.4617 PKR")</f>
        <v>1 USD = 95.4617 PKR</v>
      </c>
      <c r="H4108" s="9" t="str">
        <f ca="1">IFERROR(__xludf.DUMMYFUNCTION("""COMPUTED_VALUE"""),"USD PKR rate for 17/10/2012")</f>
        <v>USD PKR rate for 17/10/2012</v>
      </c>
      <c r="I4108" s="9"/>
    </row>
    <row r="4109" spans="1:9" ht="14.25" customHeight="1" x14ac:dyDescent="0.3">
      <c r="A4109" s="6">
        <v>43826</v>
      </c>
      <c r="B4109" s="7">
        <v>154.85</v>
      </c>
      <c r="C4109" s="8">
        <f t="shared" si="33"/>
        <v>164.65017215824275</v>
      </c>
      <c r="D4109" s="9">
        <f t="shared" si="32"/>
        <v>72.985146709508271</v>
      </c>
      <c r="E4109" s="9"/>
      <c r="F4109" s="9">
        <f ca="1">IFERROR(__xludf.DUMMYFUNCTION("""COMPUTED_VALUE"""),41198)</f>
        <v>41198</v>
      </c>
      <c r="G4109" s="9" t="str">
        <f ca="1">IFERROR(__xludf.DUMMYFUNCTION("""COMPUTED_VALUE"""),"1 USD = 95.1858 PKR")</f>
        <v>1 USD = 95.1858 PKR</v>
      </c>
      <c r="H4109" s="9" t="str">
        <f ca="1">IFERROR(__xludf.DUMMYFUNCTION("""COMPUTED_VALUE"""),"USD PKR rate for 16/10/2012")</f>
        <v>USD PKR rate for 16/10/2012</v>
      </c>
      <c r="I4109" s="9"/>
    </row>
    <row r="4110" spans="1:9" ht="14.25" customHeight="1" x14ac:dyDescent="0.3">
      <c r="A4110" s="6">
        <v>43827</v>
      </c>
      <c r="B4110" s="7">
        <v>154.85</v>
      </c>
      <c r="C4110" s="8">
        <f t="shared" si="33"/>
        <v>164.67961980339339</v>
      </c>
      <c r="D4110" s="9">
        <f t="shared" si="32"/>
        <v>72.987884542305537</v>
      </c>
      <c r="E4110" s="9"/>
      <c r="F4110" s="9">
        <f ca="1">IFERROR(__xludf.DUMMYFUNCTION("""COMPUTED_VALUE"""),41197)</f>
        <v>41197</v>
      </c>
      <c r="G4110" s="9" t="str">
        <f ca="1">IFERROR(__xludf.DUMMYFUNCTION("""COMPUTED_VALUE"""),"1 USD = 95.451 PKR")</f>
        <v>1 USD = 95.451 PKR</v>
      </c>
      <c r="H4110" s="9" t="str">
        <f ca="1">IFERROR(__xludf.DUMMYFUNCTION("""COMPUTED_VALUE"""),"USD PKR rate for 15/10/2012")</f>
        <v>USD PKR rate for 15/10/2012</v>
      </c>
      <c r="I4110" s="9"/>
    </row>
    <row r="4111" spans="1:9" ht="14.25" customHeight="1" x14ac:dyDescent="0.3">
      <c r="A4111" s="6">
        <v>43828</v>
      </c>
      <c r="B4111" s="7">
        <v>154.87119999999999</v>
      </c>
      <c r="C4111" s="8">
        <f t="shared" si="33"/>
        <v>164.70907271524854</v>
      </c>
      <c r="D4111" s="9">
        <f t="shared" si="32"/>
        <v>72.990622375102802</v>
      </c>
      <c r="E4111" s="9"/>
      <c r="F4111" s="9">
        <f ca="1">IFERROR(__xludf.DUMMYFUNCTION("""COMPUTED_VALUE"""),41196)</f>
        <v>41196</v>
      </c>
      <c r="G4111" s="9" t="str">
        <f ca="1">IFERROR(__xludf.DUMMYFUNCTION("""COMPUTED_VALUE"""),"1 USD = 95.5785 PKR")</f>
        <v>1 USD = 95.5785 PKR</v>
      </c>
      <c r="H4111" s="9" t="str">
        <f ca="1">IFERROR(__xludf.DUMMYFUNCTION("""COMPUTED_VALUE"""),"USD PKR rate for 14/10/2012")</f>
        <v>USD PKR rate for 14/10/2012</v>
      </c>
      <c r="I4111" s="9"/>
    </row>
    <row r="4112" spans="1:9" ht="14.25" customHeight="1" x14ac:dyDescent="0.3">
      <c r="A4112" s="6">
        <v>43829</v>
      </c>
      <c r="B4112" s="7">
        <v>154.88750000000002</v>
      </c>
      <c r="C4112" s="8">
        <f t="shared" si="33"/>
        <v>164.73853089475003</v>
      </c>
      <c r="D4112" s="9">
        <f t="shared" si="32"/>
        <v>72.993360207900068</v>
      </c>
      <c r="E4112" s="9"/>
      <c r="F4112" s="9">
        <f ca="1">IFERROR(__xludf.DUMMYFUNCTION("""COMPUTED_VALUE"""),41195)</f>
        <v>41195</v>
      </c>
      <c r="G4112" s="9" t="str">
        <f ca="1">IFERROR(__xludf.DUMMYFUNCTION("""COMPUTED_VALUE"""),"1 USD = 95.5634 PKR")</f>
        <v>1 USD = 95.5634 PKR</v>
      </c>
      <c r="H4112" s="9" t="str">
        <f ca="1">IFERROR(__xludf.DUMMYFUNCTION("""COMPUTED_VALUE"""),"USD PKR rate for 13/10/2012")</f>
        <v>USD PKR rate for 13/10/2012</v>
      </c>
      <c r="I4112" s="9"/>
    </row>
    <row r="4113" spans="1:9" ht="14.25" customHeight="1" x14ac:dyDescent="0.3">
      <c r="A4113" s="6">
        <v>43830</v>
      </c>
      <c r="B4113" s="7">
        <v>154.87880000000001</v>
      </c>
      <c r="C4113" s="8">
        <f t="shared" si="33"/>
        <v>164.76799434284021</v>
      </c>
      <c r="D4113" s="9">
        <f t="shared" si="32"/>
        <v>72.996098040697333</v>
      </c>
      <c r="E4113" s="9"/>
      <c r="F4113" s="9">
        <f ca="1">IFERROR(__xludf.DUMMYFUNCTION("""COMPUTED_VALUE"""),41194)</f>
        <v>41194</v>
      </c>
      <c r="G4113" s="9" t="str">
        <f ca="1">IFERROR(__xludf.DUMMYFUNCTION("""COMPUTED_VALUE"""),"1 USD = 95.5616 PKR")</f>
        <v>1 USD = 95.5616 PKR</v>
      </c>
      <c r="H4113" s="9" t="str">
        <f ca="1">IFERROR(__xludf.DUMMYFUNCTION("""COMPUTED_VALUE"""),"USD PKR rate for 12/10/2012")</f>
        <v>USD PKR rate for 12/10/2012</v>
      </c>
      <c r="I4113" s="9"/>
    </row>
    <row r="4114" spans="1:9" ht="14.25" customHeight="1" x14ac:dyDescent="0.3">
      <c r="A4114" s="6">
        <v>43831</v>
      </c>
      <c r="B4114" s="7">
        <v>155.66239999999999</v>
      </c>
      <c r="C4114" s="8">
        <f t="shared" si="33"/>
        <v>164.79746306046127</v>
      </c>
      <c r="D4114" s="9">
        <f t="shared" si="32"/>
        <v>72.998835873494599</v>
      </c>
      <c r="E4114" s="9"/>
      <c r="F4114" s="9">
        <f ca="1">IFERROR(__xludf.DUMMYFUNCTION("""COMPUTED_VALUE"""),41193)</f>
        <v>41193</v>
      </c>
      <c r="G4114" s="9" t="str">
        <f ca="1">IFERROR(__xludf.DUMMYFUNCTION("""COMPUTED_VALUE"""),"1 USD = 95.5732 PKR")</f>
        <v>1 USD = 95.5732 PKR</v>
      </c>
      <c r="H4114" s="9" t="str">
        <f ca="1">IFERROR(__xludf.DUMMYFUNCTION("""COMPUTED_VALUE"""),"USD PKR rate for 11/10/2012")</f>
        <v>USD PKR rate for 11/10/2012</v>
      </c>
      <c r="I4114" s="9"/>
    </row>
    <row r="4115" spans="1:9" ht="14.25" customHeight="1" x14ac:dyDescent="0.3">
      <c r="A4115" s="6">
        <v>43832</v>
      </c>
      <c r="B4115" s="7">
        <v>154.83760000000001</v>
      </c>
      <c r="C4115" s="8">
        <f t="shared" si="33"/>
        <v>164.82693704855566</v>
      </c>
      <c r="D4115" s="9">
        <f t="shared" si="32"/>
        <v>73.001573706291865</v>
      </c>
      <c r="E4115" s="9"/>
      <c r="F4115" s="9">
        <f ca="1">IFERROR(__xludf.DUMMYFUNCTION("""COMPUTED_VALUE"""),41192)</f>
        <v>41192</v>
      </c>
      <c r="G4115" s="9" t="str">
        <f ca="1">IFERROR(__xludf.DUMMYFUNCTION("""COMPUTED_VALUE"""),"1 USD = 95.443 PKR")</f>
        <v>1 USD = 95.443 PKR</v>
      </c>
      <c r="H4115" s="9" t="str">
        <f ca="1">IFERROR(__xludf.DUMMYFUNCTION("""COMPUTED_VALUE"""),"USD PKR rate for 10/10/2012")</f>
        <v>USD PKR rate for 10/10/2012</v>
      </c>
      <c r="I4115" s="9"/>
    </row>
    <row r="4116" spans="1:9" ht="14.25" customHeight="1" x14ac:dyDescent="0.3">
      <c r="A4116" s="6">
        <v>43833</v>
      </c>
      <c r="B4116" s="7">
        <v>154.89400000000001</v>
      </c>
      <c r="C4116" s="8">
        <f t="shared" si="33"/>
        <v>164.85641630806597</v>
      </c>
      <c r="D4116" s="9">
        <f t="shared" si="32"/>
        <v>73.00431153908913</v>
      </c>
      <c r="E4116" s="9"/>
      <c r="F4116" s="9">
        <f ca="1">IFERROR(__xludf.DUMMYFUNCTION("""COMPUTED_VALUE"""),41191)</f>
        <v>41191</v>
      </c>
      <c r="G4116" s="9" t="str">
        <f ca="1">IFERROR(__xludf.DUMMYFUNCTION("""COMPUTED_VALUE"""),"1 USD = 95.6233 PKR")</f>
        <v>1 USD = 95.6233 PKR</v>
      </c>
      <c r="H4116" s="9" t="str">
        <f ca="1">IFERROR(__xludf.DUMMYFUNCTION("""COMPUTED_VALUE"""),"USD PKR rate for 09/10/2012")</f>
        <v>USD PKR rate for 09/10/2012</v>
      </c>
      <c r="I4116" s="9"/>
    </row>
    <row r="4117" spans="1:9" ht="14.25" customHeight="1" x14ac:dyDescent="0.3">
      <c r="A4117" s="6">
        <v>43834</v>
      </c>
      <c r="B4117" s="7">
        <v>154.89400000000001</v>
      </c>
      <c r="C4117" s="8">
        <f t="shared" si="33"/>
        <v>164.88590083993503</v>
      </c>
      <c r="D4117" s="9">
        <f t="shared" si="32"/>
        <v>73.007049371886396</v>
      </c>
      <c r="E4117" s="9"/>
      <c r="F4117" s="9">
        <f ca="1">IFERROR(__xludf.DUMMYFUNCTION("""COMPUTED_VALUE"""),41190)</f>
        <v>41190</v>
      </c>
      <c r="G4117" s="9" t="str">
        <f ca="1">IFERROR(__xludf.DUMMYFUNCTION("""COMPUTED_VALUE"""),"1 USD = 95.4827 PKR")</f>
        <v>1 USD = 95.4827 PKR</v>
      </c>
      <c r="H4117" s="9" t="str">
        <f ca="1">IFERROR(__xludf.DUMMYFUNCTION("""COMPUTED_VALUE"""),"USD PKR rate for 08/10/2012")</f>
        <v>USD PKR rate for 08/10/2012</v>
      </c>
      <c r="I4117" s="9"/>
    </row>
    <row r="4118" spans="1:9" ht="14.25" customHeight="1" x14ac:dyDescent="0.3">
      <c r="A4118" s="6">
        <v>43835</v>
      </c>
      <c r="B4118" s="7">
        <v>154.88910000000001</v>
      </c>
      <c r="C4118" s="8">
        <f t="shared" si="33"/>
        <v>164.91539064510579</v>
      </c>
      <c r="D4118" s="9">
        <f t="shared" si="32"/>
        <v>73.009787204683661</v>
      </c>
      <c r="E4118" s="9"/>
      <c r="F4118" s="9">
        <f ca="1">IFERROR(__xludf.DUMMYFUNCTION("""COMPUTED_VALUE"""),41189)</f>
        <v>41189</v>
      </c>
      <c r="G4118" s="9" t="str">
        <f ca="1">IFERROR(__xludf.DUMMYFUNCTION("""COMPUTED_VALUE"""),"1 USD = 95.4775 PKR")</f>
        <v>1 USD = 95.4775 PKR</v>
      </c>
      <c r="H4118" s="9" t="str">
        <f ca="1">IFERROR(__xludf.DUMMYFUNCTION("""COMPUTED_VALUE"""),"USD PKR rate for 07/10/2012")</f>
        <v>USD PKR rate for 07/10/2012</v>
      </c>
      <c r="I4118" s="9"/>
    </row>
    <row r="4119" spans="1:9" ht="14.25" customHeight="1" x14ac:dyDescent="0.3">
      <c r="A4119" s="6">
        <v>43836</v>
      </c>
      <c r="B4119" s="7">
        <v>155.07550000000001</v>
      </c>
      <c r="C4119" s="8">
        <f t="shared" si="33"/>
        <v>164.94488572452138</v>
      </c>
      <c r="D4119" s="9">
        <f t="shared" si="32"/>
        <v>73.012525037480927</v>
      </c>
      <c r="E4119" s="9"/>
      <c r="F4119" s="9">
        <f ca="1">IFERROR(__xludf.DUMMYFUNCTION("""COMPUTED_VALUE"""),41188)</f>
        <v>41188</v>
      </c>
      <c r="G4119" s="9" t="str">
        <f ca="1">IFERROR(__xludf.DUMMYFUNCTION("""COMPUTED_VALUE"""),"1 USD = 95.4953 PKR")</f>
        <v>1 USD = 95.4953 PKR</v>
      </c>
      <c r="H4119" s="9" t="str">
        <f ca="1">IFERROR(__xludf.DUMMYFUNCTION("""COMPUTED_VALUE"""),"USD PKR rate for 06/10/2012")</f>
        <v>USD PKR rate for 06/10/2012</v>
      </c>
      <c r="I4119" s="9"/>
    </row>
    <row r="4120" spans="1:9" ht="14.25" customHeight="1" x14ac:dyDescent="0.3">
      <c r="A4120" s="6">
        <v>43837</v>
      </c>
      <c r="B4120" s="7">
        <v>155.01490000000004</v>
      </c>
      <c r="C4120" s="8">
        <f t="shared" si="33"/>
        <v>164.97438607912505</v>
      </c>
      <c r="D4120" s="9">
        <f t="shared" si="32"/>
        <v>73.015262870278193</v>
      </c>
      <c r="E4120" s="9"/>
      <c r="F4120" s="9">
        <f ca="1">IFERROR(__xludf.DUMMYFUNCTION("""COMPUTED_VALUE"""),41187)</f>
        <v>41187</v>
      </c>
      <c r="G4120" s="9" t="str">
        <f ca="1">IFERROR(__xludf.DUMMYFUNCTION("""COMPUTED_VALUE"""),"1 USD = 95.5626 PKR")</f>
        <v>1 USD = 95.5626 PKR</v>
      </c>
      <c r="H4120" s="9" t="str">
        <f ca="1">IFERROR(__xludf.DUMMYFUNCTION("""COMPUTED_VALUE"""),"USD PKR rate for 05/10/2012")</f>
        <v>USD PKR rate for 05/10/2012</v>
      </c>
      <c r="I4120" s="9"/>
    </row>
    <row r="4121" spans="1:9" ht="14.25" customHeight="1" x14ac:dyDescent="0.3">
      <c r="A4121" s="6">
        <v>43838</v>
      </c>
      <c r="B4121" s="7">
        <v>154.8982</v>
      </c>
      <c r="C4121" s="8">
        <f t="shared" si="33"/>
        <v>165.0038917098602</v>
      </c>
      <c r="D4121" s="9">
        <f t="shared" si="32"/>
        <v>73.018000703075458</v>
      </c>
      <c r="E4121" s="9"/>
      <c r="F4121" s="9">
        <f ca="1">IFERROR(__xludf.DUMMYFUNCTION("""COMPUTED_VALUE"""),41186)</f>
        <v>41186</v>
      </c>
      <c r="G4121" s="9" t="str">
        <f ca="1">IFERROR(__xludf.DUMMYFUNCTION("""COMPUTED_VALUE"""),"1 USD = 95.463 PKR")</f>
        <v>1 USD = 95.463 PKR</v>
      </c>
      <c r="H4121" s="9" t="str">
        <f ca="1">IFERROR(__xludf.DUMMYFUNCTION("""COMPUTED_VALUE"""),"USD PKR rate for 04/10/2012")</f>
        <v>USD PKR rate for 04/10/2012</v>
      </c>
      <c r="I4121" s="9"/>
    </row>
    <row r="4122" spans="1:9" ht="14.25" customHeight="1" x14ac:dyDescent="0.3">
      <c r="A4122" s="6">
        <v>43839</v>
      </c>
      <c r="B4122" s="7">
        <v>154.6968</v>
      </c>
      <c r="C4122" s="8">
        <f t="shared" si="33"/>
        <v>165.0334026176707</v>
      </c>
      <c r="D4122" s="9">
        <f t="shared" si="32"/>
        <v>73.020738535872724</v>
      </c>
      <c r="E4122" s="9"/>
      <c r="F4122" s="9">
        <f ca="1">IFERROR(__xludf.DUMMYFUNCTION("""COMPUTED_VALUE"""),41185)</f>
        <v>41185</v>
      </c>
      <c r="G4122" s="9" t="str">
        <f ca="1">IFERROR(__xludf.DUMMYFUNCTION("""COMPUTED_VALUE"""),"1 USD = 95.1325 PKR")</f>
        <v>1 USD = 95.1325 PKR</v>
      </c>
      <c r="H4122" s="9" t="str">
        <f ca="1">IFERROR(__xludf.DUMMYFUNCTION("""COMPUTED_VALUE"""),"USD PKR rate for 03/10/2012")</f>
        <v>USD PKR rate for 03/10/2012</v>
      </c>
      <c r="I4122" s="9"/>
    </row>
    <row r="4123" spans="1:9" ht="14.25" customHeight="1" x14ac:dyDescent="0.3">
      <c r="A4123" s="6">
        <v>43840</v>
      </c>
      <c r="B4123" s="7">
        <v>154.8751</v>
      </c>
      <c r="C4123" s="8">
        <f t="shared" si="33"/>
        <v>165.06291880350022</v>
      </c>
      <c r="D4123" s="9">
        <f t="shared" si="32"/>
        <v>73.023476368669989</v>
      </c>
      <c r="E4123" s="9"/>
      <c r="F4123" s="9">
        <f ca="1">IFERROR(__xludf.DUMMYFUNCTION("""COMPUTED_VALUE"""),41184)</f>
        <v>41184</v>
      </c>
      <c r="G4123" s="9" t="str">
        <f ca="1">IFERROR(__xludf.DUMMYFUNCTION("""COMPUTED_VALUE"""),"1 USD = 94.9763 PKR")</f>
        <v>1 USD = 94.9763 PKR</v>
      </c>
      <c r="H4123" s="9" t="str">
        <f ca="1">IFERROR(__xludf.DUMMYFUNCTION("""COMPUTED_VALUE"""),"USD PKR rate for 02/10/2012")</f>
        <v>USD PKR rate for 02/10/2012</v>
      </c>
      <c r="I4123" s="9"/>
    </row>
    <row r="4124" spans="1:9" ht="14.25" customHeight="1" x14ac:dyDescent="0.3">
      <c r="A4124" s="6">
        <v>43841</v>
      </c>
      <c r="B4124" s="7">
        <v>154.51500000000001</v>
      </c>
      <c r="C4124" s="8">
        <f t="shared" si="33"/>
        <v>165.09244026829276</v>
      </c>
      <c r="D4124" s="9">
        <f t="shared" si="32"/>
        <v>73.026214201467255</v>
      </c>
      <c r="E4124" s="9"/>
      <c r="F4124" s="9">
        <f ca="1">IFERROR(__xludf.DUMMYFUNCTION("""COMPUTED_VALUE"""),41183)</f>
        <v>41183</v>
      </c>
      <c r="G4124" s="9" t="str">
        <f ca="1">IFERROR(__xludf.DUMMYFUNCTION("""COMPUTED_VALUE"""),"1 USD = 94.9552 PKR")</f>
        <v>1 USD = 94.9552 PKR</v>
      </c>
      <c r="H4124" s="9" t="str">
        <f ca="1">IFERROR(__xludf.DUMMYFUNCTION("""COMPUTED_VALUE"""),"USD PKR rate for 01/10/2012")</f>
        <v>USD PKR rate for 01/10/2012</v>
      </c>
      <c r="I4124" s="9"/>
    </row>
    <row r="4125" spans="1:9" ht="14.25" customHeight="1" x14ac:dyDescent="0.3">
      <c r="A4125" s="6">
        <v>43842</v>
      </c>
      <c r="B4125" s="7">
        <v>154.5898</v>
      </c>
      <c r="C4125" s="8">
        <f t="shared" si="33"/>
        <v>165.12196701299243</v>
      </c>
      <c r="D4125" s="9">
        <f t="shared" si="32"/>
        <v>73.02895203426452</v>
      </c>
      <c r="E4125" s="9"/>
      <c r="F4125" s="9">
        <f ca="1">IFERROR(__xludf.DUMMYFUNCTION("""COMPUTED_VALUE"""),41182)</f>
        <v>41182</v>
      </c>
      <c r="G4125" s="9" t="str">
        <f ca="1">IFERROR(__xludf.DUMMYFUNCTION("""COMPUTED_VALUE"""),"1 USD = 95.0102 PKR")</f>
        <v>1 USD = 95.0102 PKR</v>
      </c>
      <c r="H4125" s="9" t="str">
        <f ca="1">IFERROR(__xludf.DUMMYFUNCTION("""COMPUTED_VALUE"""),"USD PKR rate for 30/09/2012")</f>
        <v>USD PKR rate for 30/09/2012</v>
      </c>
      <c r="I4125" s="9"/>
    </row>
    <row r="4126" spans="1:9" ht="14.25" customHeight="1" x14ac:dyDescent="0.3">
      <c r="A4126" s="6">
        <v>43843</v>
      </c>
      <c r="B4126" s="7">
        <v>154.8571</v>
      </c>
      <c r="C4126" s="8">
        <f t="shared" si="33"/>
        <v>165.15149903854356</v>
      </c>
      <c r="D4126" s="9">
        <f t="shared" si="32"/>
        <v>73.031689867061786</v>
      </c>
      <c r="E4126" s="9"/>
      <c r="F4126" s="9">
        <f ca="1">IFERROR(__xludf.DUMMYFUNCTION("""COMPUTED_VALUE"""),41181)</f>
        <v>41181</v>
      </c>
      <c r="G4126" s="9" t="str">
        <f ca="1">IFERROR(__xludf.DUMMYFUNCTION("""COMPUTED_VALUE"""),"1 USD = 94.8397 PKR")</f>
        <v>1 USD = 94.8397 PKR</v>
      </c>
      <c r="H4126" s="9" t="str">
        <f ca="1">IFERROR(__xludf.DUMMYFUNCTION("""COMPUTED_VALUE"""),"USD PKR rate for 29/09/2012")</f>
        <v>USD PKR rate for 29/09/2012</v>
      </c>
      <c r="I4126" s="9"/>
    </row>
    <row r="4127" spans="1:9" ht="14.25" customHeight="1" x14ac:dyDescent="0.3">
      <c r="A4127" s="6">
        <v>43844</v>
      </c>
      <c r="B4127" s="7">
        <v>154.87469999999999</v>
      </c>
      <c r="C4127" s="8">
        <f t="shared" si="33"/>
        <v>165.18103634589059</v>
      </c>
      <c r="D4127" s="9">
        <f t="shared" si="32"/>
        <v>73.034427699859052</v>
      </c>
      <c r="E4127" s="9"/>
      <c r="F4127" s="9">
        <f ca="1">IFERROR(__xludf.DUMMYFUNCTION("""COMPUTED_VALUE"""),41180)</f>
        <v>41180</v>
      </c>
      <c r="G4127" s="9" t="str">
        <f ca="1">IFERROR(__xludf.DUMMYFUNCTION("""COMPUTED_VALUE"""),"1 USD = 94.8397 PKR")</f>
        <v>1 USD = 94.8397 PKR</v>
      </c>
      <c r="H4127" s="9" t="str">
        <f ca="1">IFERROR(__xludf.DUMMYFUNCTION("""COMPUTED_VALUE"""),"USD PKR rate for 28/09/2012")</f>
        <v>USD PKR rate for 28/09/2012</v>
      </c>
      <c r="I4127" s="9"/>
    </row>
    <row r="4128" spans="1:9" ht="14.25" customHeight="1" x14ac:dyDescent="0.3">
      <c r="A4128" s="6">
        <v>43845</v>
      </c>
      <c r="B4128" s="7">
        <v>154.7552</v>
      </c>
      <c r="C4128" s="8">
        <f t="shared" si="33"/>
        <v>165.21057893597822</v>
      </c>
      <c r="D4128" s="9">
        <f t="shared" si="32"/>
        <v>73.037165532656317</v>
      </c>
      <c r="E4128" s="9"/>
      <c r="F4128" s="9">
        <f ca="1">IFERROR(__xludf.DUMMYFUNCTION("""COMPUTED_VALUE"""),41179)</f>
        <v>41179</v>
      </c>
      <c r="G4128" s="9" t="str">
        <f ca="1">IFERROR(__xludf.DUMMYFUNCTION("""COMPUTED_VALUE"""),"1 USD = 94.7858 PKR")</f>
        <v>1 USD = 94.7858 PKR</v>
      </c>
      <c r="H4128" s="9" t="str">
        <f ca="1">IFERROR(__xludf.DUMMYFUNCTION("""COMPUTED_VALUE"""),"USD PKR rate for 27/09/2012")</f>
        <v>USD PKR rate for 27/09/2012</v>
      </c>
      <c r="I4128" s="9"/>
    </row>
    <row r="4129" spans="1:9" ht="14.25" customHeight="1" x14ac:dyDescent="0.3">
      <c r="A4129" s="6">
        <v>43846</v>
      </c>
      <c r="B4129" s="7">
        <v>154.67400000000001</v>
      </c>
      <c r="C4129" s="8">
        <f t="shared" si="33"/>
        <v>165.24012680975125</v>
      </c>
      <c r="D4129" s="9">
        <f t="shared" si="32"/>
        <v>73.039903365453583</v>
      </c>
      <c r="E4129" s="9"/>
      <c r="F4129" s="9">
        <f ca="1">IFERROR(__xludf.DUMMYFUNCTION("""COMPUTED_VALUE"""),41178)</f>
        <v>41178</v>
      </c>
      <c r="G4129" s="9" t="str">
        <f ca="1">IFERROR(__xludf.DUMMYFUNCTION("""COMPUTED_VALUE"""),"1 USD = 94.7877 PKR")</f>
        <v>1 USD = 94.7877 PKR</v>
      </c>
      <c r="H4129" s="9" t="str">
        <f ca="1">IFERROR(__xludf.DUMMYFUNCTION("""COMPUTED_VALUE"""),"USD PKR rate for 26/09/2012")</f>
        <v>USD PKR rate for 26/09/2012</v>
      </c>
      <c r="I4129" s="9"/>
    </row>
    <row r="4130" spans="1:9" ht="14.25" customHeight="1" x14ac:dyDescent="0.3">
      <c r="A4130" s="6">
        <v>43847</v>
      </c>
      <c r="B4130" s="7">
        <v>154.5934</v>
      </c>
      <c r="C4130" s="8">
        <f t="shared" si="33"/>
        <v>165.26967996815452</v>
      </c>
      <c r="D4130" s="9">
        <f t="shared" si="32"/>
        <v>73.042641198250848</v>
      </c>
      <c r="E4130" s="9"/>
      <c r="F4130" s="9">
        <f ca="1">IFERROR(__xludf.DUMMYFUNCTION("""COMPUTED_VALUE"""),41177)</f>
        <v>41177</v>
      </c>
      <c r="G4130" s="9" t="str">
        <f ca="1">IFERROR(__xludf.DUMMYFUNCTION("""COMPUTED_VALUE"""),"1 USD = 94.5754 PKR")</f>
        <v>1 USD = 94.5754 PKR</v>
      </c>
      <c r="H4130" s="9" t="str">
        <f ca="1">IFERROR(__xludf.DUMMYFUNCTION("""COMPUTED_VALUE"""),"USD PKR rate for 25/09/2012")</f>
        <v>USD PKR rate for 25/09/2012</v>
      </c>
      <c r="I4130" s="9"/>
    </row>
    <row r="4131" spans="1:9" ht="14.25" customHeight="1" x14ac:dyDescent="0.3">
      <c r="A4131" s="6">
        <v>43848</v>
      </c>
      <c r="B4131" s="7">
        <v>154.5934</v>
      </c>
      <c r="C4131" s="8">
        <f t="shared" si="33"/>
        <v>165.29923841213343</v>
      </c>
      <c r="D4131" s="9">
        <f t="shared" si="32"/>
        <v>73.045379031048114</v>
      </c>
      <c r="E4131" s="9"/>
      <c r="F4131" s="9">
        <f ca="1">IFERROR(__xludf.DUMMYFUNCTION("""COMPUTED_VALUE"""),41176)</f>
        <v>41176</v>
      </c>
      <c r="G4131" s="9" t="str">
        <f ca="1">IFERROR(__xludf.DUMMYFUNCTION("""COMPUTED_VALUE"""),"1 USD = 94.7009 PKR")</f>
        <v>1 USD = 94.7009 PKR</v>
      </c>
      <c r="H4131" s="9" t="str">
        <f ca="1">IFERROR(__xludf.DUMMYFUNCTION("""COMPUTED_VALUE"""),"USD PKR rate for 24/09/2012")</f>
        <v>USD PKR rate for 24/09/2012</v>
      </c>
      <c r="I4131" s="9"/>
    </row>
    <row r="4132" spans="1:9" ht="14.25" customHeight="1" x14ac:dyDescent="0.3">
      <c r="A4132" s="6">
        <v>43849</v>
      </c>
      <c r="B4132" s="7">
        <v>154.60409999999999</v>
      </c>
      <c r="C4132" s="8">
        <f t="shared" si="33"/>
        <v>165.32880214263324</v>
      </c>
      <c r="D4132" s="9">
        <f t="shared" si="32"/>
        <v>73.048116863845379</v>
      </c>
      <c r="E4132" s="9"/>
      <c r="F4132" s="9">
        <f ca="1">IFERROR(__xludf.DUMMYFUNCTION("""COMPUTED_VALUE"""),41175)</f>
        <v>41175</v>
      </c>
      <c r="G4132" s="9" t="str">
        <f ca="1">IFERROR(__xludf.DUMMYFUNCTION("""COMPUTED_VALUE"""),"1 USD = 94.6609 PKR")</f>
        <v>1 USD = 94.6609 PKR</v>
      </c>
      <c r="H4132" s="9" t="str">
        <f ca="1">IFERROR(__xludf.DUMMYFUNCTION("""COMPUTED_VALUE"""),"USD PKR rate for 23/09/2012")</f>
        <v>USD PKR rate for 23/09/2012</v>
      </c>
      <c r="I4132" s="9"/>
    </row>
    <row r="4133" spans="1:9" ht="14.25" customHeight="1" x14ac:dyDescent="0.3">
      <c r="A4133" s="6">
        <v>43850</v>
      </c>
      <c r="B4133" s="7">
        <v>154.6789</v>
      </c>
      <c r="C4133" s="8">
        <f t="shared" si="33"/>
        <v>165.35837116059938</v>
      </c>
      <c r="D4133" s="9">
        <f t="shared" si="32"/>
        <v>73.050854696642645</v>
      </c>
      <c r="E4133" s="9"/>
      <c r="F4133" s="9">
        <f ca="1">IFERROR(__xludf.DUMMYFUNCTION("""COMPUTED_VALUE"""),41174)</f>
        <v>41174</v>
      </c>
      <c r="G4133" s="9" t="str">
        <f ca="1">IFERROR(__xludf.DUMMYFUNCTION("""COMPUTED_VALUE"""),"1 USD = 94.7251 PKR")</f>
        <v>1 USD = 94.7251 PKR</v>
      </c>
      <c r="H4133" s="9" t="str">
        <f ca="1">IFERROR(__xludf.DUMMYFUNCTION("""COMPUTED_VALUE"""),"USD PKR rate for 22/09/2012")</f>
        <v>USD PKR rate for 22/09/2012</v>
      </c>
      <c r="I4133" s="9"/>
    </row>
    <row r="4134" spans="1:9" ht="14.25" customHeight="1" x14ac:dyDescent="0.3">
      <c r="A4134" s="6">
        <v>43851</v>
      </c>
      <c r="B4134" s="7">
        <v>154.62029999999999</v>
      </c>
      <c r="C4134" s="8">
        <f t="shared" si="33"/>
        <v>165.38794546697753</v>
      </c>
      <c r="D4134" s="9">
        <f t="shared" si="32"/>
        <v>73.053592529439911</v>
      </c>
      <c r="E4134" s="9"/>
      <c r="F4134" s="9">
        <f ca="1">IFERROR(__xludf.DUMMYFUNCTION("""COMPUTED_VALUE"""),41173)</f>
        <v>41173</v>
      </c>
      <c r="G4134" s="9" t="str">
        <f ca="1">IFERROR(__xludf.DUMMYFUNCTION("""COMPUTED_VALUE"""),"1 USD = 94.7287 PKR")</f>
        <v>1 USD = 94.7287 PKR</v>
      </c>
      <c r="H4134" s="9" t="str">
        <f ca="1">IFERROR(__xludf.DUMMYFUNCTION("""COMPUTED_VALUE"""),"USD PKR rate for 21/09/2012")</f>
        <v>USD PKR rate for 21/09/2012</v>
      </c>
      <c r="I4134" s="9"/>
    </row>
    <row r="4135" spans="1:9" ht="14.25" customHeight="1" x14ac:dyDescent="0.3">
      <c r="A4135" s="6">
        <v>43852</v>
      </c>
      <c r="B4135" s="7">
        <v>154.56649999999999</v>
      </c>
      <c r="C4135" s="8">
        <f t="shared" si="33"/>
        <v>165.41752506271354</v>
      </c>
      <c r="D4135" s="9">
        <f t="shared" si="32"/>
        <v>73.056330362237176</v>
      </c>
      <c r="E4135" s="9"/>
      <c r="F4135" s="9">
        <f ca="1">IFERROR(__xludf.DUMMYFUNCTION("""COMPUTED_VALUE"""),41172)</f>
        <v>41172</v>
      </c>
      <c r="G4135" s="9" t="str">
        <f ca="1">IFERROR(__xludf.DUMMYFUNCTION("""COMPUTED_VALUE"""),"1 USD = 94.4534 PKR")</f>
        <v>1 USD = 94.4534 PKR</v>
      </c>
      <c r="H4135" s="9" t="str">
        <f ca="1">IFERROR(__xludf.DUMMYFUNCTION("""COMPUTED_VALUE"""),"USD PKR rate for 20/09/2012")</f>
        <v>USD PKR rate for 20/09/2012</v>
      </c>
      <c r="I4135" s="9"/>
    </row>
    <row r="4136" spans="1:9" ht="14.25" customHeight="1" x14ac:dyDescent="0.3">
      <c r="A4136" s="6">
        <v>43853</v>
      </c>
      <c r="B4136" s="7">
        <v>154.68219999999999</v>
      </c>
      <c r="C4136" s="8">
        <f t="shared" si="33"/>
        <v>165.44710994875339</v>
      </c>
      <c r="D4136" s="9">
        <f t="shared" si="32"/>
        <v>73.059068195034442</v>
      </c>
      <c r="E4136" s="9"/>
      <c r="F4136" s="9">
        <f ca="1">IFERROR(__xludf.DUMMYFUNCTION("""COMPUTED_VALUE"""),41171)</f>
        <v>41171</v>
      </c>
      <c r="G4136" s="9" t="str">
        <f ca="1">IFERROR(__xludf.DUMMYFUNCTION("""COMPUTED_VALUE"""),"1 USD = 94.5453 PKR")</f>
        <v>1 USD = 94.5453 PKR</v>
      </c>
      <c r="H4136" s="9" t="str">
        <f ca="1">IFERROR(__xludf.DUMMYFUNCTION("""COMPUTED_VALUE"""),"USD PKR rate for 19/09/2012")</f>
        <v>USD PKR rate for 19/09/2012</v>
      </c>
      <c r="I4136" s="9"/>
    </row>
    <row r="4137" spans="1:9" ht="14.25" customHeight="1" x14ac:dyDescent="0.3">
      <c r="A4137" s="6">
        <v>43854</v>
      </c>
      <c r="B4137" s="7">
        <v>154.6268</v>
      </c>
      <c r="C4137" s="8">
        <f t="shared" si="33"/>
        <v>165.47670012604326</v>
      </c>
      <c r="D4137" s="9">
        <f t="shared" si="32"/>
        <v>73.061806027831707</v>
      </c>
      <c r="E4137" s="9"/>
      <c r="F4137" s="9">
        <f ca="1">IFERROR(__xludf.DUMMYFUNCTION("""COMPUTED_VALUE"""),41170)</f>
        <v>41170</v>
      </c>
      <c r="G4137" s="9" t="str">
        <f ca="1">IFERROR(__xludf.DUMMYFUNCTION("""COMPUTED_VALUE"""),"1 USD = 94.5954 PKR")</f>
        <v>1 USD = 94.5954 PKR</v>
      </c>
      <c r="H4137" s="9" t="str">
        <f ca="1">IFERROR(__xludf.DUMMYFUNCTION("""COMPUTED_VALUE"""),"USD PKR rate for 18/09/2012")</f>
        <v>USD PKR rate for 18/09/2012</v>
      </c>
      <c r="I4137" s="9"/>
    </row>
    <row r="4138" spans="1:9" ht="14.25" customHeight="1" x14ac:dyDescent="0.3">
      <c r="A4138" s="6">
        <v>43855</v>
      </c>
      <c r="B4138" s="7">
        <v>154.6268</v>
      </c>
      <c r="C4138" s="8">
        <f t="shared" si="33"/>
        <v>165.50629559552948</v>
      </c>
      <c r="D4138" s="9">
        <f t="shared" si="32"/>
        <v>73.064543860628973</v>
      </c>
      <c r="E4138" s="9"/>
      <c r="F4138" s="9">
        <f ca="1">IFERROR(__xludf.DUMMYFUNCTION("""COMPUTED_VALUE"""),41169)</f>
        <v>41169</v>
      </c>
      <c r="G4138" s="9" t="str">
        <f ca="1">IFERROR(__xludf.DUMMYFUNCTION("""COMPUTED_VALUE"""),"1 USD = 94.4398 PKR")</f>
        <v>1 USD = 94.4398 PKR</v>
      </c>
      <c r="H4138" s="9" t="str">
        <f ca="1">IFERROR(__xludf.DUMMYFUNCTION("""COMPUTED_VALUE"""),"USD PKR rate for 17/09/2012")</f>
        <v>USD PKR rate for 17/09/2012</v>
      </c>
      <c r="I4138" s="9"/>
    </row>
    <row r="4139" spans="1:9" ht="14.25" customHeight="1" x14ac:dyDescent="0.3">
      <c r="A4139" s="6">
        <v>43856</v>
      </c>
      <c r="B4139" s="7">
        <v>154.6208</v>
      </c>
      <c r="C4139" s="8">
        <f t="shared" si="33"/>
        <v>165.5358963581584</v>
      </c>
      <c r="D4139" s="9">
        <f t="shared" si="32"/>
        <v>73.067281693426239</v>
      </c>
      <c r="E4139" s="9"/>
      <c r="F4139" s="9">
        <f ca="1">IFERROR(__xludf.DUMMYFUNCTION("""COMPUTED_VALUE"""),41168)</f>
        <v>41168</v>
      </c>
      <c r="G4139" s="9" t="str">
        <f ca="1">IFERROR(__xludf.DUMMYFUNCTION("""COMPUTED_VALUE"""),"1 USD = 94.4513 PKR")</f>
        <v>1 USD = 94.4513 PKR</v>
      </c>
      <c r="H4139" s="9" t="str">
        <f ca="1">IFERROR(__xludf.DUMMYFUNCTION("""COMPUTED_VALUE"""),"USD PKR rate for 16/09/2012")</f>
        <v>USD PKR rate for 16/09/2012</v>
      </c>
      <c r="I4139" s="9"/>
    </row>
    <row r="4140" spans="1:9" ht="14.25" customHeight="1" x14ac:dyDescent="0.3">
      <c r="A4140" s="6">
        <v>43857</v>
      </c>
      <c r="B4140" s="7">
        <v>154.5224</v>
      </c>
      <c r="C4140" s="8">
        <f t="shared" si="33"/>
        <v>165.56550241487702</v>
      </c>
      <c r="D4140" s="9">
        <f t="shared" si="32"/>
        <v>73.070019526223504</v>
      </c>
      <c r="E4140" s="9"/>
      <c r="F4140" s="9">
        <f ca="1">IFERROR(__xludf.DUMMYFUNCTION("""COMPUTED_VALUE"""),41167)</f>
        <v>41167</v>
      </c>
      <c r="G4140" s="9" t="str">
        <f ca="1">IFERROR(__xludf.DUMMYFUNCTION("""COMPUTED_VALUE"""),"1 USD = 94.4979 PKR")</f>
        <v>1 USD = 94.4979 PKR</v>
      </c>
      <c r="H4140" s="9" t="str">
        <f ca="1">IFERROR(__xludf.DUMMYFUNCTION("""COMPUTED_VALUE"""),"USD PKR rate for 15/09/2012")</f>
        <v>USD PKR rate for 15/09/2012</v>
      </c>
      <c r="I4140" s="9"/>
    </row>
    <row r="4141" spans="1:9" ht="14.25" customHeight="1" x14ac:dyDescent="0.3">
      <c r="A4141" s="6">
        <v>43858</v>
      </c>
      <c r="B4141" s="7">
        <v>154.5</v>
      </c>
      <c r="C4141" s="8">
        <f t="shared" si="33"/>
        <v>165.59511376663204</v>
      </c>
      <c r="D4141" s="9">
        <f t="shared" si="32"/>
        <v>73.07275735902077</v>
      </c>
      <c r="E4141" s="9"/>
      <c r="F4141" s="9">
        <f ca="1">IFERROR(__xludf.DUMMYFUNCTION("""COMPUTED_VALUE"""),41166)</f>
        <v>41166</v>
      </c>
      <c r="G4141" s="9" t="str">
        <f ca="1">IFERROR(__xludf.DUMMYFUNCTION("""COMPUTED_VALUE"""),"1 USD = 94.4929 PKR")</f>
        <v>1 USD = 94.4929 PKR</v>
      </c>
      <c r="H4141" s="9" t="str">
        <f ca="1">IFERROR(__xludf.DUMMYFUNCTION("""COMPUTED_VALUE"""),"USD PKR rate for 14/09/2012")</f>
        <v>USD PKR rate for 14/09/2012</v>
      </c>
      <c r="I4141" s="9"/>
    </row>
    <row r="4142" spans="1:9" ht="14.25" customHeight="1" x14ac:dyDescent="0.3">
      <c r="A4142" s="6">
        <v>43859</v>
      </c>
      <c r="B4142" s="7">
        <v>154.42060000000001</v>
      </c>
      <c r="C4142" s="8">
        <f t="shared" si="33"/>
        <v>165.62473041437045</v>
      </c>
      <c r="D4142" s="9">
        <f t="shared" si="32"/>
        <v>73.075495191818035</v>
      </c>
      <c r="E4142" s="9"/>
      <c r="F4142" s="9">
        <f ca="1">IFERROR(__xludf.DUMMYFUNCTION("""COMPUTED_VALUE"""),41165)</f>
        <v>41165</v>
      </c>
      <c r="G4142" s="9" t="str">
        <f ca="1">IFERROR(__xludf.DUMMYFUNCTION("""COMPUTED_VALUE"""),"1 USD = 94.5603 PKR")</f>
        <v>1 USD = 94.5603 PKR</v>
      </c>
      <c r="H4142" s="9" t="str">
        <f ca="1">IFERROR(__xludf.DUMMYFUNCTION("""COMPUTED_VALUE"""),"USD PKR rate for 13/09/2012")</f>
        <v>USD PKR rate for 13/09/2012</v>
      </c>
      <c r="I4142" s="9"/>
    </row>
    <row r="4143" spans="1:9" ht="14.25" customHeight="1" x14ac:dyDescent="0.3">
      <c r="A4143" s="6">
        <v>43860</v>
      </c>
      <c r="B4143" s="7">
        <v>154.52359999999999</v>
      </c>
      <c r="C4143" s="8">
        <f t="shared" si="33"/>
        <v>165.65435235903945</v>
      </c>
      <c r="D4143" s="9">
        <f t="shared" si="32"/>
        <v>73.078233024615301</v>
      </c>
      <c r="E4143" s="9"/>
      <c r="F4143" s="9">
        <f ca="1">IFERROR(__xludf.DUMMYFUNCTION("""COMPUTED_VALUE"""),41164)</f>
        <v>41164</v>
      </c>
      <c r="G4143" s="9" t="str">
        <f ca="1">IFERROR(__xludf.DUMMYFUNCTION("""COMPUTED_VALUE"""),"1 USD = 94.562 PKR")</f>
        <v>1 USD = 94.562 PKR</v>
      </c>
      <c r="H4143" s="9" t="str">
        <f ca="1">IFERROR(__xludf.DUMMYFUNCTION("""COMPUTED_VALUE"""),"USD PKR rate for 12/09/2012")</f>
        <v>USD PKR rate for 12/09/2012</v>
      </c>
      <c r="I4143" s="9"/>
    </row>
    <row r="4144" spans="1:9" ht="14.25" customHeight="1" x14ac:dyDescent="0.3">
      <c r="A4144" s="6">
        <v>43861</v>
      </c>
      <c r="B4144" s="7">
        <v>154.44530000000003</v>
      </c>
      <c r="C4144" s="8">
        <f t="shared" si="33"/>
        <v>165.68397960158637</v>
      </c>
      <c r="D4144" s="9">
        <f t="shared" si="32"/>
        <v>73.080970857412566</v>
      </c>
      <c r="E4144" s="9"/>
      <c r="F4144" s="9">
        <f ca="1">IFERROR(__xludf.DUMMYFUNCTION("""COMPUTED_VALUE"""),41163)</f>
        <v>41163</v>
      </c>
      <c r="G4144" s="9" t="str">
        <f ca="1">IFERROR(__xludf.DUMMYFUNCTION("""COMPUTED_VALUE"""),"1 USD = 94.715 PKR")</f>
        <v>1 USD = 94.715 PKR</v>
      </c>
      <c r="H4144" s="9" t="str">
        <f ca="1">IFERROR(__xludf.DUMMYFUNCTION("""COMPUTED_VALUE"""),"USD PKR rate for 11/09/2012")</f>
        <v>USD PKR rate for 11/09/2012</v>
      </c>
      <c r="I4144" s="9"/>
    </row>
    <row r="4145" spans="1:9" ht="14.25" customHeight="1" x14ac:dyDescent="0.3">
      <c r="A4145" s="6">
        <v>43862</v>
      </c>
      <c r="B4145" s="7">
        <v>154.44530000000003</v>
      </c>
      <c r="C4145" s="8">
        <f t="shared" si="33"/>
        <v>165.71361214295879</v>
      </c>
      <c r="D4145" s="9">
        <f t="shared" si="32"/>
        <v>73.083708690209832</v>
      </c>
      <c r="E4145" s="9"/>
      <c r="F4145" s="9">
        <f ca="1">IFERROR(__xludf.DUMMYFUNCTION("""COMPUTED_VALUE"""),41162)</f>
        <v>41162</v>
      </c>
      <c r="G4145" s="9" t="str">
        <f ca="1">IFERROR(__xludf.DUMMYFUNCTION("""COMPUTED_VALUE"""),"1 USD = 94.737 PKR")</f>
        <v>1 USD = 94.737 PKR</v>
      </c>
      <c r="H4145" s="9" t="str">
        <f ca="1">IFERROR(__xludf.DUMMYFUNCTION("""COMPUTED_VALUE"""),"USD PKR rate for 10/09/2012")</f>
        <v>USD PKR rate for 10/09/2012</v>
      </c>
      <c r="I4145" s="9"/>
    </row>
    <row r="4146" spans="1:9" ht="14.25" customHeight="1" x14ac:dyDescent="0.3">
      <c r="A4146" s="6">
        <v>43863</v>
      </c>
      <c r="B4146" s="7">
        <v>154.44540000000001</v>
      </c>
      <c r="C4146" s="8">
        <f t="shared" si="33"/>
        <v>165.74324998410435</v>
      </c>
      <c r="D4146" s="9">
        <f t="shared" si="32"/>
        <v>73.086446523007098</v>
      </c>
      <c r="E4146" s="9"/>
      <c r="F4146" s="9">
        <f ca="1">IFERROR(__xludf.DUMMYFUNCTION("""COMPUTED_VALUE"""),41161)</f>
        <v>41161</v>
      </c>
      <c r="G4146" s="9" t="str">
        <f ca="1">IFERROR(__xludf.DUMMYFUNCTION("""COMPUTED_VALUE"""),"1 USD = 94.8455 PKR")</f>
        <v>1 USD = 94.8455 PKR</v>
      </c>
      <c r="H4146" s="9" t="str">
        <f ca="1">IFERROR(__xludf.DUMMYFUNCTION("""COMPUTED_VALUE"""),"USD PKR rate for 09/09/2012")</f>
        <v>USD PKR rate for 09/09/2012</v>
      </c>
      <c r="I4146" s="9"/>
    </row>
    <row r="4147" spans="1:9" ht="14.25" customHeight="1" x14ac:dyDescent="0.3">
      <c r="A4147" s="6">
        <v>43864</v>
      </c>
      <c r="B4147" s="7">
        <v>154.4743</v>
      </c>
      <c r="C4147" s="8">
        <f t="shared" si="33"/>
        <v>165.77289312597094</v>
      </c>
      <c r="D4147" s="9">
        <f t="shared" si="32"/>
        <v>73.089184355804363</v>
      </c>
      <c r="E4147" s="9"/>
      <c r="F4147" s="9">
        <f ca="1">IFERROR(__xludf.DUMMYFUNCTION("""COMPUTED_VALUE"""),41160)</f>
        <v>41160</v>
      </c>
      <c r="G4147" s="9" t="str">
        <f ca="1">IFERROR(__xludf.DUMMYFUNCTION("""COMPUTED_VALUE"""),"1 USD = 94.8574 PKR")</f>
        <v>1 USD = 94.8574 PKR</v>
      </c>
      <c r="H4147" s="9" t="str">
        <f ca="1">IFERROR(__xludf.DUMMYFUNCTION("""COMPUTED_VALUE"""),"USD PKR rate for 08/09/2012")</f>
        <v>USD PKR rate for 08/09/2012</v>
      </c>
      <c r="I4147" s="9"/>
    </row>
    <row r="4148" spans="1:9" ht="14.25" customHeight="1" x14ac:dyDescent="0.3">
      <c r="A4148" s="6">
        <v>43865</v>
      </c>
      <c r="B4148" s="7">
        <v>154.49210000000002</v>
      </c>
      <c r="C4148" s="8">
        <f t="shared" si="33"/>
        <v>165.80254156950645</v>
      </c>
      <c r="D4148" s="9">
        <f t="shared" si="32"/>
        <v>73.091922188601629</v>
      </c>
      <c r="E4148" s="9"/>
      <c r="F4148" s="9">
        <f ca="1">IFERROR(__xludf.DUMMYFUNCTION("""COMPUTED_VALUE"""),41159)</f>
        <v>41159</v>
      </c>
      <c r="G4148" s="9" t="str">
        <f ca="1">IFERROR(__xludf.DUMMYFUNCTION("""COMPUTED_VALUE"""),"1 USD = 94.6667 PKR")</f>
        <v>1 USD = 94.6667 PKR</v>
      </c>
      <c r="H4148" s="9" t="str">
        <f ca="1">IFERROR(__xludf.DUMMYFUNCTION("""COMPUTED_VALUE"""),"USD PKR rate for 07/09/2012")</f>
        <v>USD PKR rate for 07/09/2012</v>
      </c>
      <c r="I4148" s="9"/>
    </row>
    <row r="4149" spans="1:9" ht="14.25" customHeight="1" x14ac:dyDescent="0.3">
      <c r="A4149" s="6">
        <v>43866</v>
      </c>
      <c r="B4149" s="7">
        <v>154.40119999999999</v>
      </c>
      <c r="C4149" s="8">
        <f t="shared" si="33"/>
        <v>165.83219531565933</v>
      </c>
      <c r="D4149" s="9">
        <f t="shared" si="32"/>
        <v>73.094660021398894</v>
      </c>
      <c r="E4149" s="9"/>
      <c r="F4149" s="9">
        <f ca="1">IFERROR(__xludf.DUMMYFUNCTION("""COMPUTED_VALUE"""),41158)</f>
        <v>41158</v>
      </c>
      <c r="G4149" s="9" t="str">
        <f ca="1">IFERROR(__xludf.DUMMYFUNCTION("""COMPUTED_VALUE"""),"1 USD = 94.6774 PKR")</f>
        <v>1 USD = 94.6774 PKR</v>
      </c>
      <c r="H4149" s="9" t="str">
        <f ca="1">IFERROR(__xludf.DUMMYFUNCTION("""COMPUTED_VALUE"""),"USD PKR rate for 06/09/2012")</f>
        <v>USD PKR rate for 06/09/2012</v>
      </c>
      <c r="I4149" s="9"/>
    </row>
    <row r="4150" spans="1:9" ht="14.25" customHeight="1" x14ac:dyDescent="0.3">
      <c r="A4150" s="6">
        <v>43867</v>
      </c>
      <c r="B4150" s="7">
        <v>154.46930000000003</v>
      </c>
      <c r="C4150" s="8">
        <f t="shared" si="33"/>
        <v>165.86185436537787</v>
      </c>
      <c r="D4150" s="9">
        <f t="shared" si="32"/>
        <v>73.09739785419616</v>
      </c>
      <c r="E4150" s="9"/>
      <c r="F4150" s="9">
        <f ca="1">IFERROR(__xludf.DUMMYFUNCTION("""COMPUTED_VALUE"""),41157)</f>
        <v>41157</v>
      </c>
      <c r="G4150" s="9" t="str">
        <f ca="1">IFERROR(__xludf.DUMMYFUNCTION("""COMPUTED_VALUE"""),"1 USD = 94.7625 PKR")</f>
        <v>1 USD = 94.7625 PKR</v>
      </c>
      <c r="H4150" s="9" t="str">
        <f ca="1">IFERROR(__xludf.DUMMYFUNCTION("""COMPUTED_VALUE"""),"USD PKR rate for 05/09/2012")</f>
        <v>USD PKR rate for 05/09/2012</v>
      </c>
      <c r="I4150" s="9"/>
    </row>
    <row r="4151" spans="1:9" ht="14.25" customHeight="1" x14ac:dyDescent="0.3">
      <c r="A4151" s="6">
        <v>43868</v>
      </c>
      <c r="B4151" s="7">
        <v>154.5624</v>
      </c>
      <c r="C4151" s="8">
        <f t="shared" si="33"/>
        <v>165.89151871961056</v>
      </c>
      <c r="D4151" s="9">
        <f t="shared" si="32"/>
        <v>73.100135686993426</v>
      </c>
      <c r="E4151" s="9"/>
      <c r="F4151" s="9">
        <f ca="1">IFERROR(__xludf.DUMMYFUNCTION("""COMPUTED_VALUE"""),41156)</f>
        <v>41156</v>
      </c>
      <c r="G4151" s="9" t="str">
        <f ca="1">IFERROR(__xludf.DUMMYFUNCTION("""COMPUTED_VALUE"""),"1 USD = 94.9047 PKR")</f>
        <v>1 USD = 94.9047 PKR</v>
      </c>
      <c r="H4151" s="9" t="str">
        <f ca="1">IFERROR(__xludf.DUMMYFUNCTION("""COMPUTED_VALUE"""),"USD PKR rate for 04/09/2012")</f>
        <v>USD PKR rate for 04/09/2012</v>
      </c>
      <c r="I4151" s="9"/>
    </row>
    <row r="4152" spans="1:9" ht="14.25" customHeight="1" x14ac:dyDescent="0.3">
      <c r="A4152" s="6">
        <v>43869</v>
      </c>
      <c r="B4152" s="7">
        <v>154.5624</v>
      </c>
      <c r="C4152" s="8">
        <f t="shared" si="33"/>
        <v>165.92118837930616</v>
      </c>
      <c r="D4152" s="9">
        <f t="shared" si="32"/>
        <v>73.102873519790691</v>
      </c>
      <c r="E4152" s="9"/>
      <c r="F4152" s="9">
        <f ca="1">IFERROR(__xludf.DUMMYFUNCTION("""COMPUTED_VALUE"""),41155)</f>
        <v>41155</v>
      </c>
      <c r="G4152" s="9" t="str">
        <f ca="1">IFERROR(__xludf.DUMMYFUNCTION("""COMPUTED_VALUE"""),"1 USD = 94.7385 PKR")</f>
        <v>1 USD = 94.7385 PKR</v>
      </c>
      <c r="H4152" s="9" t="str">
        <f ca="1">IFERROR(__xludf.DUMMYFUNCTION("""COMPUTED_VALUE"""),"USD PKR rate for 03/09/2012")</f>
        <v>USD PKR rate for 03/09/2012</v>
      </c>
      <c r="I4152" s="9"/>
    </row>
    <row r="4153" spans="1:9" ht="14.25" customHeight="1" x14ac:dyDescent="0.3">
      <c r="A4153" s="6">
        <v>43870</v>
      </c>
      <c r="B4153" s="7">
        <v>154.52000000000001</v>
      </c>
      <c r="C4153" s="8">
        <f t="shared" si="33"/>
        <v>165.9508633454135</v>
      </c>
      <c r="D4153" s="9">
        <f t="shared" si="32"/>
        <v>73.105611352587957</v>
      </c>
      <c r="E4153" s="9"/>
      <c r="F4153" s="9">
        <f ca="1">IFERROR(__xludf.DUMMYFUNCTION("""COMPUTED_VALUE"""),41154)</f>
        <v>41154</v>
      </c>
      <c r="G4153" s="9" t="str">
        <f ca="1">IFERROR(__xludf.DUMMYFUNCTION("""COMPUTED_VALUE"""),"1 USD = 94.5443 PKR")</f>
        <v>1 USD = 94.5443 PKR</v>
      </c>
      <c r="H4153" s="9" t="str">
        <f ca="1">IFERROR(__xludf.DUMMYFUNCTION("""COMPUTED_VALUE"""),"USD PKR rate for 02/09/2012")</f>
        <v>USD PKR rate for 02/09/2012</v>
      </c>
      <c r="I4153" s="9"/>
    </row>
    <row r="4154" spans="1:9" ht="14.25" customHeight="1" x14ac:dyDescent="0.3">
      <c r="A4154" s="6">
        <v>43871</v>
      </c>
      <c r="B4154" s="7">
        <v>154.6225</v>
      </c>
      <c r="C4154" s="8">
        <f t="shared" si="33"/>
        <v>165.98054361888168</v>
      </c>
      <c r="D4154" s="9">
        <f t="shared" si="32"/>
        <v>73.108349185385222</v>
      </c>
      <c r="E4154" s="9"/>
      <c r="F4154" s="9">
        <f ca="1">IFERROR(__xludf.DUMMYFUNCTION("""COMPUTED_VALUE"""),41153)</f>
        <v>41153</v>
      </c>
      <c r="G4154" s="9" t="str">
        <f ca="1">IFERROR(__xludf.DUMMYFUNCTION("""COMPUTED_VALUE"""),"1 USD = 94.5682 PKR")</f>
        <v>1 USD = 94.5682 PKR</v>
      </c>
      <c r="H4154" s="9" t="str">
        <f ca="1">IFERROR(__xludf.DUMMYFUNCTION("""COMPUTED_VALUE"""),"USD PKR rate for 01/09/2012")</f>
        <v>USD PKR rate for 01/09/2012</v>
      </c>
      <c r="I4154" s="9"/>
    </row>
    <row r="4155" spans="1:9" ht="14.25" customHeight="1" x14ac:dyDescent="0.3">
      <c r="A4155" s="6">
        <v>43872</v>
      </c>
      <c r="B4155" s="7">
        <v>154.51070000000001</v>
      </c>
      <c r="C4155" s="8">
        <f t="shared" si="33"/>
        <v>166.01022920065989</v>
      </c>
      <c r="D4155" s="9">
        <f t="shared" si="32"/>
        <v>73.111087018182488</v>
      </c>
      <c r="E4155" s="9"/>
      <c r="F4155" s="9">
        <f ca="1">IFERROR(__xludf.DUMMYFUNCTION("""COMPUTED_VALUE"""),41152)</f>
        <v>41152</v>
      </c>
      <c r="G4155" s="9" t="str">
        <f ca="1">IFERROR(__xludf.DUMMYFUNCTION("""COMPUTED_VALUE"""),"1 USD = 94.5659 PKR")</f>
        <v>1 USD = 94.5659 PKR</v>
      </c>
      <c r="H4155" s="9" t="str">
        <f ca="1">IFERROR(__xludf.DUMMYFUNCTION("""COMPUTED_VALUE"""),"USD PKR rate for 31/08/2012")</f>
        <v>USD PKR rate for 31/08/2012</v>
      </c>
      <c r="I4155" s="9"/>
    </row>
    <row r="4156" spans="1:9" ht="14.25" customHeight="1" x14ac:dyDescent="0.3">
      <c r="A4156" s="6">
        <v>43873</v>
      </c>
      <c r="B4156" s="7">
        <v>154.42480000000003</v>
      </c>
      <c r="C4156" s="8">
        <f t="shared" si="33"/>
        <v>166.03992009169752</v>
      </c>
      <c r="D4156" s="9">
        <f t="shared" si="32"/>
        <v>73.113824850979753</v>
      </c>
      <c r="E4156" s="9"/>
      <c r="F4156" s="9">
        <f ca="1">IFERROR(__xludf.DUMMYFUNCTION("""COMPUTED_VALUE"""),41151)</f>
        <v>41151</v>
      </c>
      <c r="G4156" s="9" t="str">
        <f ca="1">IFERROR(__xludf.DUMMYFUNCTION("""COMPUTED_VALUE"""),"1 USD = 94.5515 PKR")</f>
        <v>1 USD = 94.5515 PKR</v>
      </c>
      <c r="H4156" s="9" t="str">
        <f ca="1">IFERROR(__xludf.DUMMYFUNCTION("""COMPUTED_VALUE"""),"USD PKR rate for 30/08/2012")</f>
        <v>USD PKR rate for 30/08/2012</v>
      </c>
      <c r="I4156" s="9"/>
    </row>
    <row r="4157" spans="1:9" ht="14.25" customHeight="1" x14ac:dyDescent="0.3">
      <c r="A4157" s="6">
        <v>43874</v>
      </c>
      <c r="B4157" s="7">
        <v>154.36179999999999</v>
      </c>
      <c r="C4157" s="8">
        <f t="shared" si="33"/>
        <v>166.06961629294398</v>
      </c>
      <c r="D4157" s="9">
        <f t="shared" si="32"/>
        <v>73.116562683777019</v>
      </c>
      <c r="E4157" s="9"/>
      <c r="F4157" s="9">
        <f ca="1">IFERROR(__xludf.DUMMYFUNCTION("""COMPUTED_VALUE"""),41150)</f>
        <v>41150</v>
      </c>
      <c r="G4157" s="9" t="str">
        <f ca="1">IFERROR(__xludf.DUMMYFUNCTION("""COMPUTED_VALUE"""),"1 USD = 94.712 PKR")</f>
        <v>1 USD = 94.712 PKR</v>
      </c>
      <c r="H4157" s="9" t="str">
        <f ca="1">IFERROR(__xludf.DUMMYFUNCTION("""COMPUTED_VALUE"""),"USD PKR rate for 29/08/2012")</f>
        <v>USD PKR rate for 29/08/2012</v>
      </c>
      <c r="I4157" s="9"/>
    </row>
    <row r="4158" spans="1:9" ht="14.25" customHeight="1" x14ac:dyDescent="0.3">
      <c r="A4158" s="6">
        <v>43875</v>
      </c>
      <c r="B4158" s="7">
        <v>154.35120000000001</v>
      </c>
      <c r="C4158" s="8">
        <f t="shared" si="33"/>
        <v>166.09931780534927</v>
      </c>
      <c r="D4158" s="9">
        <f t="shared" si="32"/>
        <v>73.119300516574285</v>
      </c>
      <c r="E4158" s="9"/>
      <c r="F4158" s="9">
        <f ca="1">IFERROR(__xludf.DUMMYFUNCTION("""COMPUTED_VALUE"""),41149)</f>
        <v>41149</v>
      </c>
      <c r="G4158" s="9" t="str">
        <f ca="1">IFERROR(__xludf.DUMMYFUNCTION("""COMPUTED_VALUE"""),"1 USD = 94.8688 PKR")</f>
        <v>1 USD = 94.8688 PKR</v>
      </c>
      <c r="H4158" s="9" t="str">
        <f ca="1">IFERROR(__xludf.DUMMYFUNCTION("""COMPUTED_VALUE"""),"USD PKR rate for 28/08/2012")</f>
        <v>USD PKR rate for 28/08/2012</v>
      </c>
      <c r="I4158" s="9"/>
    </row>
    <row r="4159" spans="1:9" ht="14.25" customHeight="1" x14ac:dyDescent="0.3">
      <c r="A4159" s="6">
        <v>43876</v>
      </c>
      <c r="B4159" s="7">
        <v>154.35120000000001</v>
      </c>
      <c r="C4159" s="8">
        <f t="shared" si="33"/>
        <v>166.12902462986324</v>
      </c>
      <c r="D4159" s="9">
        <f t="shared" si="32"/>
        <v>73.12203834937155</v>
      </c>
      <c r="E4159" s="9"/>
      <c r="F4159" s="9">
        <f ca="1">IFERROR(__xludf.DUMMYFUNCTION("""COMPUTED_VALUE"""),41148)</f>
        <v>41148</v>
      </c>
      <c r="G4159" s="9" t="str">
        <f ca="1">IFERROR(__xludf.DUMMYFUNCTION("""COMPUTED_VALUE"""),"1 USD = 94.9569 PKR")</f>
        <v>1 USD = 94.9569 PKR</v>
      </c>
      <c r="H4159" s="9" t="str">
        <f ca="1">IFERROR(__xludf.DUMMYFUNCTION("""COMPUTED_VALUE"""),"USD PKR rate for 27/08/2012")</f>
        <v>USD PKR rate for 27/08/2012</v>
      </c>
      <c r="I4159" s="9"/>
    </row>
    <row r="4160" spans="1:9" ht="14.25" customHeight="1" x14ac:dyDescent="0.3">
      <c r="A4160" s="6">
        <v>43877</v>
      </c>
      <c r="B4160" s="7">
        <v>154.33279999999999</v>
      </c>
      <c r="C4160" s="8">
        <f t="shared" si="33"/>
        <v>166.15873676743587</v>
      </c>
      <c r="D4160" s="9">
        <f t="shared" si="32"/>
        <v>73.124776182168816</v>
      </c>
      <c r="E4160" s="9"/>
      <c r="F4160" s="9">
        <f ca="1">IFERROR(__xludf.DUMMYFUNCTION("""COMPUTED_VALUE"""),41147)</f>
        <v>41147</v>
      </c>
      <c r="G4160" s="9" t="str">
        <f ca="1">IFERROR(__xludf.DUMMYFUNCTION("""COMPUTED_VALUE"""),"1 USD = 94.8755 PKR")</f>
        <v>1 USD = 94.8755 PKR</v>
      </c>
      <c r="H4160" s="9" t="str">
        <f ca="1">IFERROR(__xludf.DUMMYFUNCTION("""COMPUTED_VALUE"""),"USD PKR rate for 26/08/2012")</f>
        <v>USD PKR rate for 26/08/2012</v>
      </c>
      <c r="I4160" s="9"/>
    </row>
    <row r="4161" spans="1:9" ht="14.25" customHeight="1" x14ac:dyDescent="0.3">
      <c r="A4161" s="6">
        <v>43878</v>
      </c>
      <c r="B4161" s="7">
        <v>154.39960000000002</v>
      </c>
      <c r="C4161" s="8">
        <f t="shared" si="33"/>
        <v>166.18845421901742</v>
      </c>
      <c r="D4161" s="9">
        <f t="shared" si="32"/>
        <v>73.127514014966081</v>
      </c>
      <c r="E4161" s="9"/>
      <c r="F4161" s="9">
        <f ca="1">IFERROR(__xludf.DUMMYFUNCTION("""COMPUTED_VALUE"""),41146)</f>
        <v>41146</v>
      </c>
      <c r="G4161" s="9" t="str">
        <f ca="1">IFERROR(__xludf.DUMMYFUNCTION("""COMPUTED_VALUE"""),"1 USD = 94.9115 PKR")</f>
        <v>1 USD = 94.9115 PKR</v>
      </c>
      <c r="H4161" s="9" t="str">
        <f ca="1">IFERROR(__xludf.DUMMYFUNCTION("""COMPUTED_VALUE"""),"USD PKR rate for 25/08/2012")</f>
        <v>USD PKR rate for 25/08/2012</v>
      </c>
      <c r="I4161" s="9"/>
    </row>
    <row r="4162" spans="1:9" ht="14.25" customHeight="1" x14ac:dyDescent="0.3">
      <c r="A4162" s="6">
        <v>43879</v>
      </c>
      <c r="B4162" s="7">
        <v>154.33760000000001</v>
      </c>
      <c r="C4162" s="8">
        <f t="shared" si="33"/>
        <v>166.21817698555827</v>
      </c>
      <c r="D4162" s="9">
        <f t="shared" si="32"/>
        <v>73.130251847763347</v>
      </c>
      <c r="E4162" s="9"/>
      <c r="F4162" s="9">
        <f ca="1">IFERROR(__xludf.DUMMYFUNCTION("""COMPUTED_VALUE"""),41145)</f>
        <v>41145</v>
      </c>
      <c r="G4162" s="9" t="str">
        <f ca="1">IFERROR(__xludf.DUMMYFUNCTION("""COMPUTED_VALUE"""),"1 USD = 94.885 PKR")</f>
        <v>1 USD = 94.885 PKR</v>
      </c>
      <c r="H4162" s="9" t="str">
        <f ca="1">IFERROR(__xludf.DUMMYFUNCTION("""COMPUTED_VALUE"""),"USD PKR rate for 24/08/2012")</f>
        <v>USD PKR rate for 24/08/2012</v>
      </c>
      <c r="I4162" s="9"/>
    </row>
    <row r="4163" spans="1:9" ht="14.25" customHeight="1" x14ac:dyDescent="0.3">
      <c r="A4163" s="6">
        <v>43880</v>
      </c>
      <c r="B4163" s="7">
        <v>154.19659999999999</v>
      </c>
      <c r="C4163" s="8">
        <f t="shared" si="33"/>
        <v>166.24790506800906</v>
      </c>
      <c r="D4163" s="9">
        <f t="shared" si="32"/>
        <v>73.132989680560613</v>
      </c>
      <c r="E4163" s="9"/>
      <c r="F4163" s="9">
        <f ca="1">IFERROR(__xludf.DUMMYFUNCTION("""COMPUTED_VALUE"""),41144)</f>
        <v>41144</v>
      </c>
      <c r="G4163" s="9" t="str">
        <f ca="1">IFERROR(__xludf.DUMMYFUNCTION("""COMPUTED_VALUE"""),"1 USD = 94.7193 PKR")</f>
        <v>1 USD = 94.7193 PKR</v>
      </c>
      <c r="H4163" s="9" t="str">
        <f ca="1">IFERROR(__xludf.DUMMYFUNCTION("""COMPUTED_VALUE"""),"USD PKR rate for 23/08/2012")</f>
        <v>USD PKR rate for 23/08/2012</v>
      </c>
      <c r="I4163" s="9"/>
    </row>
    <row r="4164" spans="1:9" ht="14.25" customHeight="1" x14ac:dyDescent="0.3">
      <c r="A4164" s="6">
        <v>43881</v>
      </c>
      <c r="B4164" s="7">
        <v>154.31710000000001</v>
      </c>
      <c r="C4164" s="8">
        <f t="shared" si="33"/>
        <v>166.27763846732051</v>
      </c>
      <c r="D4164" s="9">
        <f t="shared" si="32"/>
        <v>73.135727513357878</v>
      </c>
      <c r="E4164" s="9"/>
      <c r="F4164" s="9">
        <f ca="1">IFERROR(__xludf.DUMMYFUNCTION("""COMPUTED_VALUE"""),41143)</f>
        <v>41143</v>
      </c>
      <c r="G4164" s="9" t="str">
        <f ca="1">IFERROR(__xludf.DUMMYFUNCTION("""COMPUTED_VALUE"""),"1 USD = 94.4386 PKR")</f>
        <v>1 USD = 94.4386 PKR</v>
      </c>
      <c r="H4164" s="9" t="str">
        <f ca="1">IFERROR(__xludf.DUMMYFUNCTION("""COMPUTED_VALUE"""),"USD PKR rate for 22/08/2012")</f>
        <v>USD PKR rate for 22/08/2012</v>
      </c>
      <c r="I4164" s="9"/>
    </row>
    <row r="4165" spans="1:9" ht="14.25" customHeight="1" x14ac:dyDescent="0.3">
      <c r="A4165" s="6">
        <v>43882</v>
      </c>
      <c r="B4165" s="7">
        <v>154.29990000000001</v>
      </c>
      <c r="C4165" s="8">
        <f t="shared" si="33"/>
        <v>166.30737718444351</v>
      </c>
      <c r="D4165" s="9">
        <f t="shared" si="32"/>
        <v>73.138465346155144</v>
      </c>
      <c r="E4165" s="9"/>
      <c r="F4165" s="9">
        <f ca="1">IFERROR(__xludf.DUMMYFUNCTION("""COMPUTED_VALUE"""),41142)</f>
        <v>41142</v>
      </c>
      <c r="G4165" s="9" t="str">
        <f ca="1">IFERROR(__xludf.DUMMYFUNCTION("""COMPUTED_VALUE"""),"1 USD = 94.4675 PKR")</f>
        <v>1 USD = 94.4675 PKR</v>
      </c>
      <c r="H4165" s="9" t="str">
        <f ca="1">IFERROR(__xludf.DUMMYFUNCTION("""COMPUTED_VALUE"""),"USD PKR rate for 21/08/2012")</f>
        <v>USD PKR rate for 21/08/2012</v>
      </c>
      <c r="I4165" s="9"/>
    </row>
    <row r="4166" spans="1:9" ht="14.25" customHeight="1" x14ac:dyDescent="0.3">
      <c r="A4166" s="6">
        <v>43883</v>
      </c>
      <c r="B4166" s="7">
        <v>154.29990000000001</v>
      </c>
      <c r="C4166" s="8">
        <f t="shared" si="33"/>
        <v>166.33712122032907</v>
      </c>
      <c r="D4166" s="9">
        <f t="shared" si="32"/>
        <v>73.141203178952409</v>
      </c>
      <c r="E4166" s="9"/>
      <c r="F4166" s="9">
        <f ca="1">IFERROR(__xludf.DUMMYFUNCTION("""COMPUTED_VALUE"""),41141)</f>
        <v>41141</v>
      </c>
      <c r="G4166" s="9" t="str">
        <f ca="1">IFERROR(__xludf.DUMMYFUNCTION("""COMPUTED_VALUE"""),"1 USD = 94.2536 PKR")</f>
        <v>1 USD = 94.2536 PKR</v>
      </c>
      <c r="H4166" s="9" t="str">
        <f ca="1">IFERROR(__xludf.DUMMYFUNCTION("""COMPUTED_VALUE"""),"USD PKR rate for 20/08/2012")</f>
        <v>USD PKR rate for 20/08/2012</v>
      </c>
      <c r="I4166" s="9"/>
    </row>
    <row r="4167" spans="1:9" ht="14.25" customHeight="1" x14ac:dyDescent="0.3">
      <c r="A4167" s="6">
        <v>43884</v>
      </c>
      <c r="B4167" s="7">
        <v>154.3588</v>
      </c>
      <c r="C4167" s="8">
        <f t="shared" si="33"/>
        <v>166.36687057592869</v>
      </c>
      <c r="D4167" s="9">
        <f t="shared" si="32"/>
        <v>73.143941011749675</v>
      </c>
      <c r="E4167" s="9"/>
      <c r="F4167" s="9">
        <f ca="1">IFERROR(__xludf.DUMMYFUNCTION("""COMPUTED_VALUE"""),41140)</f>
        <v>41140</v>
      </c>
      <c r="G4167" s="9" t="str">
        <f ca="1">IFERROR(__xludf.DUMMYFUNCTION("""COMPUTED_VALUE"""),"1 USD = 94.5611 PKR")</f>
        <v>1 USD = 94.5611 PKR</v>
      </c>
      <c r="H4167" s="9" t="str">
        <f ca="1">IFERROR(__xludf.DUMMYFUNCTION("""COMPUTED_VALUE"""),"USD PKR rate for 19/08/2012")</f>
        <v>USD PKR rate for 19/08/2012</v>
      </c>
      <c r="I4167" s="9"/>
    </row>
    <row r="4168" spans="1:9" ht="14.25" customHeight="1" x14ac:dyDescent="0.3">
      <c r="A4168" s="6">
        <v>43885</v>
      </c>
      <c r="B4168" s="7">
        <v>154.2587</v>
      </c>
      <c r="C4168" s="8">
        <f t="shared" si="33"/>
        <v>166.39662525219367</v>
      </c>
      <c r="D4168" s="9">
        <f t="shared" si="32"/>
        <v>73.14667884454694</v>
      </c>
      <c r="E4168" s="9"/>
      <c r="F4168" s="9">
        <f ca="1">IFERROR(__xludf.DUMMYFUNCTION("""COMPUTED_VALUE"""),41139)</f>
        <v>41139</v>
      </c>
      <c r="G4168" s="9" t="str">
        <f ca="1">IFERROR(__xludf.DUMMYFUNCTION("""COMPUTED_VALUE"""),"1 USD = 94.537 PKR")</f>
        <v>1 USD = 94.537 PKR</v>
      </c>
      <c r="H4168" s="9" t="str">
        <f ca="1">IFERROR(__xludf.DUMMYFUNCTION("""COMPUTED_VALUE"""),"USD PKR rate for 18/08/2012")</f>
        <v>USD PKR rate for 18/08/2012</v>
      </c>
      <c r="I4168" s="9"/>
    </row>
    <row r="4169" spans="1:9" ht="14.25" customHeight="1" x14ac:dyDescent="0.3">
      <c r="A4169" s="6">
        <v>43886</v>
      </c>
      <c r="B4169" s="7">
        <v>154.2501</v>
      </c>
      <c r="C4169" s="8">
        <f t="shared" si="33"/>
        <v>166.42638525007561</v>
      </c>
      <c r="D4169" s="9">
        <f t="shared" si="32"/>
        <v>73.149416677344206</v>
      </c>
      <c r="E4169" s="9"/>
      <c r="F4169" s="9">
        <f ca="1">IFERROR(__xludf.DUMMYFUNCTION("""COMPUTED_VALUE"""),41138)</f>
        <v>41138</v>
      </c>
      <c r="G4169" s="9" t="str">
        <f ca="1">IFERROR(__xludf.DUMMYFUNCTION("""COMPUTED_VALUE"""),"1 USD = 94.4426 PKR")</f>
        <v>1 USD = 94.4426 PKR</v>
      </c>
      <c r="H4169" s="9" t="str">
        <f ca="1">IFERROR(__xludf.DUMMYFUNCTION("""COMPUTED_VALUE"""),"USD PKR rate for 17/08/2012")</f>
        <v>USD PKR rate for 17/08/2012</v>
      </c>
      <c r="I4169" s="9"/>
    </row>
    <row r="4170" spans="1:9" ht="14.25" customHeight="1" x14ac:dyDescent="0.3">
      <c r="A4170" s="6">
        <v>43887</v>
      </c>
      <c r="B4170" s="7">
        <v>154.22770000000003</v>
      </c>
      <c r="C4170" s="8">
        <f t="shared" si="33"/>
        <v>166.45615057052629</v>
      </c>
      <c r="D4170" s="9">
        <f t="shared" si="32"/>
        <v>73.152154510141472</v>
      </c>
      <c r="E4170" s="9"/>
      <c r="F4170" s="9">
        <f ca="1">IFERROR(__xludf.DUMMYFUNCTION("""COMPUTED_VALUE"""),41137)</f>
        <v>41137</v>
      </c>
      <c r="G4170" s="9" t="str">
        <f ca="1">IFERROR(__xludf.DUMMYFUNCTION("""COMPUTED_VALUE"""),"1 USD = 94.0879 PKR")</f>
        <v>1 USD = 94.0879 PKR</v>
      </c>
      <c r="H4170" s="9" t="str">
        <f ca="1">IFERROR(__xludf.DUMMYFUNCTION("""COMPUTED_VALUE"""),"USD PKR rate for 16/08/2012")</f>
        <v>USD PKR rate for 16/08/2012</v>
      </c>
      <c r="I4170" s="9"/>
    </row>
    <row r="4171" spans="1:9" ht="14.25" customHeight="1" x14ac:dyDescent="0.3">
      <c r="A4171" s="6">
        <v>43888</v>
      </c>
      <c r="B4171" s="7">
        <v>154.25970000000001</v>
      </c>
      <c r="C4171" s="8">
        <f t="shared" si="33"/>
        <v>166.48592121449761</v>
      </c>
      <c r="D4171" s="9">
        <f t="shared" si="32"/>
        <v>73.154892342938737</v>
      </c>
      <c r="E4171" s="9"/>
      <c r="F4171" s="9">
        <f ca="1">IFERROR(__xludf.DUMMYFUNCTION("""COMPUTED_VALUE"""),41136)</f>
        <v>41136</v>
      </c>
      <c r="G4171" s="9" t="str">
        <f ca="1">IFERROR(__xludf.DUMMYFUNCTION("""COMPUTED_VALUE"""),"1 USD = 94.5361 PKR")</f>
        <v>1 USD = 94.5361 PKR</v>
      </c>
      <c r="H4171" s="9" t="str">
        <f ca="1">IFERROR(__xludf.DUMMYFUNCTION("""COMPUTED_VALUE"""),"USD PKR rate for 15/08/2012")</f>
        <v>USD PKR rate for 15/08/2012</v>
      </c>
      <c r="I4171" s="9"/>
    </row>
    <row r="4172" spans="1:9" ht="14.25" customHeight="1" x14ac:dyDescent="0.3">
      <c r="A4172" s="6">
        <v>43889</v>
      </c>
      <c r="B4172" s="7">
        <v>154.29349999999999</v>
      </c>
      <c r="C4172" s="8">
        <f t="shared" si="33"/>
        <v>166.51569718294172</v>
      </c>
      <c r="D4172" s="9">
        <f t="shared" si="32"/>
        <v>73.157630175736003</v>
      </c>
      <c r="E4172" s="9"/>
      <c r="F4172" s="9">
        <f ca="1">IFERROR(__xludf.DUMMYFUNCTION("""COMPUTED_VALUE"""),41135)</f>
        <v>41135</v>
      </c>
      <c r="G4172" s="9" t="str">
        <f ca="1">IFERROR(__xludf.DUMMYFUNCTION("""COMPUTED_VALUE"""),"1 USD = 94.5078 PKR")</f>
        <v>1 USD = 94.5078 PKR</v>
      </c>
      <c r="H4172" s="9" t="str">
        <f ca="1">IFERROR(__xludf.DUMMYFUNCTION("""COMPUTED_VALUE"""),"USD PKR rate for 14/08/2012")</f>
        <v>USD PKR rate for 14/08/2012</v>
      </c>
      <c r="I4172" s="9"/>
    </row>
    <row r="4173" spans="1:9" ht="14.25" customHeight="1" x14ac:dyDescent="0.3">
      <c r="A4173" s="6">
        <v>43890</v>
      </c>
      <c r="B4173" s="7">
        <v>154.29390000000001</v>
      </c>
      <c r="C4173" s="8">
        <f t="shared" si="33"/>
        <v>166.5454784768109</v>
      </c>
      <c r="D4173" s="9">
        <f t="shared" si="32"/>
        <v>73.160368008533268</v>
      </c>
      <c r="E4173" s="9"/>
      <c r="F4173" s="9">
        <f ca="1">IFERROR(__xludf.DUMMYFUNCTION("""COMPUTED_VALUE"""),41134)</f>
        <v>41134</v>
      </c>
      <c r="G4173" s="9" t="str">
        <f ca="1">IFERROR(__xludf.DUMMYFUNCTION("""COMPUTED_VALUE"""),"1 USD = 94.5201 PKR")</f>
        <v>1 USD = 94.5201 PKR</v>
      </c>
      <c r="H4173" s="9" t="str">
        <f ca="1">IFERROR(__xludf.DUMMYFUNCTION("""COMPUTED_VALUE"""),"USD PKR rate for 13/08/2012")</f>
        <v>USD PKR rate for 13/08/2012</v>
      </c>
      <c r="I4173" s="9"/>
    </row>
    <row r="4174" spans="1:9" ht="14.25" customHeight="1" x14ac:dyDescent="0.3">
      <c r="A4174" s="6">
        <v>43891</v>
      </c>
      <c r="B4174" s="7">
        <v>154.29419999999999</v>
      </c>
      <c r="C4174" s="8">
        <f t="shared" si="33"/>
        <v>166.57526509705758</v>
      </c>
      <c r="D4174" s="9">
        <f t="shared" si="32"/>
        <v>73.163105841330534</v>
      </c>
      <c r="E4174" s="9"/>
      <c r="F4174" s="9">
        <f ca="1">IFERROR(__xludf.DUMMYFUNCTION("""COMPUTED_VALUE"""),41133)</f>
        <v>41133</v>
      </c>
      <c r="G4174" s="9" t="str">
        <f ca="1">IFERROR(__xludf.DUMMYFUNCTION("""COMPUTED_VALUE"""),"1 USD = 94.1854 PKR")</f>
        <v>1 USD = 94.1854 PKR</v>
      </c>
      <c r="H4174" s="9" t="str">
        <f ca="1">IFERROR(__xludf.DUMMYFUNCTION("""COMPUTED_VALUE"""),"USD PKR rate for 12/08/2012")</f>
        <v>USD PKR rate for 12/08/2012</v>
      </c>
      <c r="I4174" s="9"/>
    </row>
    <row r="4175" spans="1:9" ht="14.25" customHeight="1" x14ac:dyDescent="0.3">
      <c r="A4175" s="6">
        <v>43892</v>
      </c>
      <c r="B4175" s="7">
        <v>154.3459</v>
      </c>
      <c r="C4175" s="8">
        <f t="shared" si="33"/>
        <v>166.60505704463424</v>
      </c>
      <c r="D4175" s="9">
        <f t="shared" si="32"/>
        <v>73.1658436741278</v>
      </c>
      <c r="E4175" s="9"/>
      <c r="F4175" s="9">
        <f ca="1">IFERROR(__xludf.DUMMYFUNCTION("""COMPUTED_VALUE"""),41132)</f>
        <v>41132</v>
      </c>
      <c r="G4175" s="9" t="str">
        <f ca="1">IFERROR(__xludf.DUMMYFUNCTION("""COMPUTED_VALUE"""),"1 USD = 94.0834 PKR")</f>
        <v>1 USD = 94.0834 PKR</v>
      </c>
      <c r="H4175" s="9" t="str">
        <f ca="1">IFERROR(__xludf.DUMMYFUNCTION("""COMPUTED_VALUE"""),"USD PKR rate for 11/08/2012")</f>
        <v>USD PKR rate for 11/08/2012</v>
      </c>
      <c r="I4175" s="9"/>
    </row>
    <row r="4176" spans="1:9" ht="14.25" customHeight="1" x14ac:dyDescent="0.3">
      <c r="A4176" s="6">
        <v>43893</v>
      </c>
      <c r="B4176" s="7">
        <v>154.20439999999999</v>
      </c>
      <c r="C4176" s="8">
        <f t="shared" si="33"/>
        <v>166.63485432049396</v>
      </c>
      <c r="D4176" s="9">
        <f t="shared" si="32"/>
        <v>73.168581506925065</v>
      </c>
      <c r="E4176" s="9"/>
      <c r="F4176" s="9">
        <f ca="1">IFERROR(__xludf.DUMMYFUNCTION("""COMPUTED_VALUE"""),41131)</f>
        <v>41131</v>
      </c>
      <c r="G4176" s="9" t="str">
        <f ca="1">IFERROR(__xludf.DUMMYFUNCTION("""COMPUTED_VALUE"""),"1 USD = 94.1354 PKR")</f>
        <v>1 USD = 94.1354 PKR</v>
      </c>
      <c r="H4176" s="9" t="str">
        <f ca="1">IFERROR(__xludf.DUMMYFUNCTION("""COMPUTED_VALUE"""),"USD PKR rate for 10/08/2012")</f>
        <v>USD PKR rate for 10/08/2012</v>
      </c>
      <c r="I4176" s="9"/>
    </row>
    <row r="4177" spans="1:9" ht="14.25" customHeight="1" x14ac:dyDescent="0.3">
      <c r="A4177" s="6">
        <v>43894</v>
      </c>
      <c r="B4177" s="7">
        <v>154.27719999999999</v>
      </c>
      <c r="C4177" s="8">
        <f t="shared" si="33"/>
        <v>166.66465692558958</v>
      </c>
      <c r="D4177" s="9">
        <f t="shared" si="32"/>
        <v>73.171319339722331</v>
      </c>
      <c r="E4177" s="9"/>
      <c r="F4177" s="9">
        <f ca="1">IFERROR(__xludf.DUMMYFUNCTION("""COMPUTED_VALUE"""),41130)</f>
        <v>41130</v>
      </c>
      <c r="G4177" s="9" t="str">
        <f ca="1">IFERROR(__xludf.DUMMYFUNCTION("""COMPUTED_VALUE"""),"1 USD = 94.07 PKR")</f>
        <v>1 USD = 94.07 PKR</v>
      </c>
      <c r="H4177" s="9" t="str">
        <f ca="1">IFERROR(__xludf.DUMMYFUNCTION("""COMPUTED_VALUE"""),"USD PKR rate for 09/08/2012")</f>
        <v>USD PKR rate for 09/08/2012</v>
      </c>
      <c r="I4177" s="9"/>
    </row>
    <row r="4178" spans="1:9" ht="14.25" customHeight="1" x14ac:dyDescent="0.3">
      <c r="A4178" s="6">
        <v>43895</v>
      </c>
      <c r="B4178" s="7">
        <v>154.24330000000003</v>
      </c>
      <c r="C4178" s="8">
        <f t="shared" si="33"/>
        <v>166.69446486087421</v>
      </c>
      <c r="D4178" s="9">
        <f t="shared" si="32"/>
        <v>73.174057172519596</v>
      </c>
      <c r="E4178" s="9"/>
      <c r="F4178" s="9">
        <f ca="1">IFERROR(__xludf.DUMMYFUNCTION("""COMPUTED_VALUE"""),41129)</f>
        <v>41129</v>
      </c>
      <c r="G4178" s="9" t="str">
        <f ca="1">IFERROR(__xludf.DUMMYFUNCTION("""COMPUTED_VALUE"""),"1 USD = 94.1528 PKR")</f>
        <v>1 USD = 94.1528 PKR</v>
      </c>
      <c r="H4178" s="9" t="str">
        <f ca="1">IFERROR(__xludf.DUMMYFUNCTION("""COMPUTED_VALUE"""),"USD PKR rate for 08/08/2012")</f>
        <v>USD PKR rate for 08/08/2012</v>
      </c>
      <c r="I4178" s="9"/>
    </row>
    <row r="4179" spans="1:9" ht="14.25" customHeight="1" x14ac:dyDescent="0.3">
      <c r="A4179" s="6">
        <v>43896</v>
      </c>
      <c r="B4179" s="7">
        <v>154.29409999999999</v>
      </c>
      <c r="C4179" s="8">
        <f t="shared" si="33"/>
        <v>166.72427812730118</v>
      </c>
      <c r="D4179" s="9">
        <f t="shared" si="32"/>
        <v>73.176795005316862</v>
      </c>
      <c r="E4179" s="9"/>
      <c r="F4179" s="9">
        <f ca="1">IFERROR(__xludf.DUMMYFUNCTION("""COMPUTED_VALUE"""),41128)</f>
        <v>41128</v>
      </c>
      <c r="G4179" s="9" t="str">
        <f ca="1">IFERROR(__xludf.DUMMYFUNCTION("""COMPUTED_VALUE"""),"1 USD = 94.2993 PKR")</f>
        <v>1 USD = 94.2993 PKR</v>
      </c>
      <c r="H4179" s="9" t="str">
        <f ca="1">IFERROR(__xludf.DUMMYFUNCTION("""COMPUTED_VALUE"""),"USD PKR rate for 07/08/2012")</f>
        <v>USD PKR rate for 07/08/2012</v>
      </c>
      <c r="I4179" s="9"/>
    </row>
    <row r="4180" spans="1:9" ht="14.25" customHeight="1" x14ac:dyDescent="0.3">
      <c r="A4180" s="6">
        <v>43897</v>
      </c>
      <c r="B4180" s="7">
        <v>154.28819999999999</v>
      </c>
      <c r="C4180" s="8">
        <f t="shared" si="33"/>
        <v>166.75409672582393</v>
      </c>
      <c r="D4180" s="9">
        <f t="shared" si="32"/>
        <v>73.179532838114127</v>
      </c>
      <c r="E4180" s="9"/>
      <c r="F4180" s="9">
        <f ca="1">IFERROR(__xludf.DUMMYFUNCTION("""COMPUTED_VALUE"""),41127)</f>
        <v>41127</v>
      </c>
      <c r="G4180" s="9" t="str">
        <f ca="1">IFERROR(__xludf.DUMMYFUNCTION("""COMPUTED_VALUE"""),"1 USD = 94.2484 PKR")</f>
        <v>1 USD = 94.2484 PKR</v>
      </c>
      <c r="H4180" s="9" t="str">
        <f ca="1">IFERROR(__xludf.DUMMYFUNCTION("""COMPUTED_VALUE"""),"USD PKR rate for 06/08/2012")</f>
        <v>USD PKR rate for 06/08/2012</v>
      </c>
      <c r="I4180" s="9"/>
    </row>
    <row r="4181" spans="1:9" ht="14.25" customHeight="1" x14ac:dyDescent="0.3">
      <c r="A4181" s="6">
        <v>43898</v>
      </c>
      <c r="B4181" s="7">
        <v>154.4502</v>
      </c>
      <c r="C4181" s="8">
        <f t="shared" si="33"/>
        <v>166.78392065739612</v>
      </c>
      <c r="D4181" s="9">
        <f t="shared" si="32"/>
        <v>73.182270670911393</v>
      </c>
      <c r="E4181" s="9"/>
      <c r="F4181" s="9">
        <f ca="1">IFERROR(__xludf.DUMMYFUNCTION("""COMPUTED_VALUE"""),41126)</f>
        <v>41126</v>
      </c>
      <c r="G4181" s="9" t="str">
        <f ca="1">IFERROR(__xludf.DUMMYFUNCTION("""COMPUTED_VALUE"""),"1 USD = 94.7248 PKR")</f>
        <v>1 USD = 94.7248 PKR</v>
      </c>
      <c r="H4181" s="9" t="str">
        <f ca="1">IFERROR(__xludf.DUMMYFUNCTION("""COMPUTED_VALUE"""),"USD PKR rate for 05/08/2012")</f>
        <v>USD PKR rate for 05/08/2012</v>
      </c>
      <c r="I4181" s="9"/>
    </row>
    <row r="4182" spans="1:9" ht="14.25" customHeight="1" x14ac:dyDescent="0.3">
      <c r="A4182" s="6">
        <v>43899</v>
      </c>
      <c r="B4182" s="7">
        <v>157.14240000000004</v>
      </c>
      <c r="C4182" s="8">
        <f t="shared" si="33"/>
        <v>166.81374992297157</v>
      </c>
      <c r="D4182" s="9">
        <f t="shared" si="32"/>
        <v>73.185008503708659</v>
      </c>
      <c r="E4182" s="9"/>
      <c r="F4182" s="9">
        <f ca="1">IFERROR(__xludf.DUMMYFUNCTION("""COMPUTED_VALUE"""),41125)</f>
        <v>41125</v>
      </c>
      <c r="G4182" s="9" t="str">
        <f ca="1">IFERROR(__xludf.DUMMYFUNCTION("""COMPUTED_VALUE"""),"1 USD = 94.7066 PKR")</f>
        <v>1 USD = 94.7066 PKR</v>
      </c>
      <c r="H4182" s="9" t="str">
        <f ca="1">IFERROR(__xludf.DUMMYFUNCTION("""COMPUTED_VALUE"""),"USD PKR rate for 04/08/2012")</f>
        <v>USD PKR rate for 04/08/2012</v>
      </c>
      <c r="I4182" s="9"/>
    </row>
    <row r="4183" spans="1:9" ht="14.25" customHeight="1" x14ac:dyDescent="0.3">
      <c r="A4183" s="6">
        <v>43900</v>
      </c>
      <c r="B4183" s="7">
        <v>157.07510000000002</v>
      </c>
      <c r="C4183" s="8">
        <f t="shared" si="33"/>
        <v>166.84358452350423</v>
      </c>
      <c r="D4183" s="9">
        <f t="shared" si="32"/>
        <v>73.187746336505924</v>
      </c>
      <c r="E4183" s="9"/>
      <c r="F4183" s="9">
        <f ca="1">IFERROR(__xludf.DUMMYFUNCTION("""COMPUTED_VALUE"""),41124)</f>
        <v>41124</v>
      </c>
      <c r="G4183" s="9" t="str">
        <f ca="1">IFERROR(__xludf.DUMMYFUNCTION("""COMPUTED_VALUE"""),"1 USD = 94.7104 PKR")</f>
        <v>1 USD = 94.7104 PKR</v>
      </c>
      <c r="H4183" s="9" t="str">
        <f ca="1">IFERROR(__xludf.DUMMYFUNCTION("""COMPUTED_VALUE"""),"USD PKR rate for 03/08/2012")</f>
        <v>USD PKR rate for 03/08/2012</v>
      </c>
      <c r="I4183" s="9"/>
    </row>
    <row r="4184" spans="1:9" ht="14.25" customHeight="1" x14ac:dyDescent="0.3">
      <c r="A4184" s="6">
        <v>43901</v>
      </c>
      <c r="B4184" s="7">
        <v>159.34739999999999</v>
      </c>
      <c r="C4184" s="8">
        <f t="shared" si="33"/>
        <v>166.87342445994818</v>
      </c>
      <c r="D4184" s="9">
        <f t="shared" si="32"/>
        <v>73.19048416930319</v>
      </c>
      <c r="E4184" s="9"/>
      <c r="F4184" s="9">
        <f ca="1">IFERROR(__xludf.DUMMYFUNCTION("""COMPUTED_VALUE"""),41123)</f>
        <v>41123</v>
      </c>
      <c r="G4184" s="9" t="str">
        <f ca="1">IFERROR(__xludf.DUMMYFUNCTION("""COMPUTED_VALUE"""),"1 USD = 94.36 PKR")</f>
        <v>1 USD = 94.36 PKR</v>
      </c>
      <c r="H4184" s="9" t="str">
        <f ca="1">IFERROR(__xludf.DUMMYFUNCTION("""COMPUTED_VALUE"""),"USD PKR rate for 02/08/2012")</f>
        <v>USD PKR rate for 02/08/2012</v>
      </c>
      <c r="I4184" s="9"/>
    </row>
    <row r="4185" spans="1:9" ht="14.25" customHeight="1" x14ac:dyDescent="0.3">
      <c r="A4185" s="6">
        <v>43902</v>
      </c>
      <c r="B4185" s="7">
        <v>159.0033</v>
      </c>
      <c r="C4185" s="8">
        <f t="shared" si="33"/>
        <v>166.90326973325796</v>
      </c>
      <c r="D4185" s="9">
        <f t="shared" si="32"/>
        <v>73.193222002100455</v>
      </c>
      <c r="E4185" s="9"/>
      <c r="F4185" s="9">
        <f ca="1">IFERROR(__xludf.DUMMYFUNCTION("""COMPUTED_VALUE"""),41122)</f>
        <v>41122</v>
      </c>
      <c r="G4185" s="9" t="str">
        <f ca="1">IFERROR(__xludf.DUMMYFUNCTION("""COMPUTED_VALUE"""),"1 USD = 94.598 PKR")</f>
        <v>1 USD = 94.598 PKR</v>
      </c>
      <c r="H4185" s="9" t="str">
        <f ca="1">IFERROR(__xludf.DUMMYFUNCTION("""COMPUTED_VALUE"""),"USD PKR rate for 01/08/2012")</f>
        <v>USD PKR rate for 01/08/2012</v>
      </c>
      <c r="I4185" s="9"/>
    </row>
    <row r="4186" spans="1:9" ht="14.25" customHeight="1" x14ac:dyDescent="0.3">
      <c r="A4186" s="6">
        <v>43903</v>
      </c>
      <c r="B4186" s="7">
        <v>156.7593</v>
      </c>
      <c r="C4186" s="8">
        <f t="shared" si="33"/>
        <v>166.93312034438799</v>
      </c>
      <c r="D4186" s="9">
        <f t="shared" si="32"/>
        <v>73.195959834897721</v>
      </c>
      <c r="E4186" s="9"/>
      <c r="F4186" s="9">
        <f ca="1">IFERROR(__xludf.DUMMYFUNCTION("""COMPUTED_VALUE"""),41121)</f>
        <v>41121</v>
      </c>
      <c r="G4186" s="9" t="str">
        <f ca="1">IFERROR(__xludf.DUMMYFUNCTION("""COMPUTED_VALUE"""),"1 USD = 94.639 PKR")</f>
        <v>1 USD = 94.639 PKR</v>
      </c>
      <c r="H4186" s="9" t="str">
        <f ca="1">IFERROR(__xludf.DUMMYFUNCTION("""COMPUTED_VALUE"""),"USD PKR rate for 31/07/2012")</f>
        <v>USD PKR rate for 31/07/2012</v>
      </c>
      <c r="I4186" s="9"/>
    </row>
    <row r="4187" spans="1:9" ht="14.25" customHeight="1" x14ac:dyDescent="0.3">
      <c r="A4187" s="6">
        <v>43904</v>
      </c>
      <c r="B4187" s="7">
        <v>156.76010000000002</v>
      </c>
      <c r="C4187" s="8">
        <f t="shared" si="33"/>
        <v>166.9629762942929</v>
      </c>
      <c r="D4187" s="9">
        <f t="shared" si="32"/>
        <v>73.198697667694987</v>
      </c>
      <c r="E4187" s="9"/>
      <c r="F4187" s="9">
        <f ca="1">IFERROR(__xludf.DUMMYFUNCTION("""COMPUTED_VALUE"""),41120)</f>
        <v>41120</v>
      </c>
      <c r="G4187" s="9" t="str">
        <f ca="1">IFERROR(__xludf.DUMMYFUNCTION("""COMPUTED_VALUE"""),"1 USD = 94.5241 PKR")</f>
        <v>1 USD = 94.5241 PKR</v>
      </c>
      <c r="H4187" s="9" t="str">
        <f ca="1">IFERROR(__xludf.DUMMYFUNCTION("""COMPUTED_VALUE"""),"USD PKR rate for 30/07/2012")</f>
        <v>USD PKR rate for 30/07/2012</v>
      </c>
      <c r="I4187" s="9"/>
    </row>
    <row r="4188" spans="1:9" ht="14.25" customHeight="1" x14ac:dyDescent="0.3">
      <c r="A4188" s="6">
        <v>43905</v>
      </c>
      <c r="B4188" s="7">
        <v>157.5232</v>
      </c>
      <c r="C4188" s="8">
        <f t="shared" si="33"/>
        <v>166.99283758392752</v>
      </c>
      <c r="D4188" s="9">
        <f t="shared" si="32"/>
        <v>73.201435500492252</v>
      </c>
      <c r="E4188" s="9"/>
      <c r="F4188" s="9">
        <f ca="1">IFERROR(__xludf.DUMMYFUNCTION("""COMPUTED_VALUE"""),41119)</f>
        <v>41119</v>
      </c>
      <c r="G4188" s="9" t="str">
        <f ca="1">IFERROR(__xludf.DUMMYFUNCTION("""COMPUTED_VALUE"""),"1 USD = 94.6724 PKR")</f>
        <v>1 USD = 94.6724 PKR</v>
      </c>
      <c r="H4188" s="9" t="str">
        <f ca="1">IFERROR(__xludf.DUMMYFUNCTION("""COMPUTED_VALUE"""),"USD PKR rate for 29/07/2012")</f>
        <v>USD PKR rate for 29/07/2012</v>
      </c>
      <c r="I4188" s="9"/>
    </row>
    <row r="4189" spans="1:9" ht="14.25" customHeight="1" x14ac:dyDescent="0.3">
      <c r="A4189" s="6">
        <v>43906</v>
      </c>
      <c r="B4189" s="7">
        <v>158.73779999999999</v>
      </c>
      <c r="C4189" s="8">
        <f t="shared" si="33"/>
        <v>167.02270421424689</v>
      </c>
      <c r="D4189" s="9">
        <f t="shared" si="32"/>
        <v>73.204173333289518</v>
      </c>
      <c r="E4189" s="9"/>
      <c r="F4189" s="9">
        <f ca="1">IFERROR(__xludf.DUMMYFUNCTION("""COMPUTED_VALUE"""),41118)</f>
        <v>41118</v>
      </c>
      <c r="G4189" s="9" t="str">
        <f ca="1">IFERROR(__xludf.DUMMYFUNCTION("""COMPUTED_VALUE"""),"1 USD = 94.5823 PKR")</f>
        <v>1 USD = 94.5823 PKR</v>
      </c>
      <c r="H4189" s="9" t="str">
        <f ca="1">IFERROR(__xludf.DUMMYFUNCTION("""COMPUTED_VALUE"""),"USD PKR rate for 28/07/2012")</f>
        <v>USD PKR rate for 28/07/2012</v>
      </c>
      <c r="I4189" s="9"/>
    </row>
    <row r="4190" spans="1:9" ht="14.25" customHeight="1" x14ac:dyDescent="0.3">
      <c r="A4190" s="6">
        <v>43907</v>
      </c>
      <c r="B4190" s="7">
        <v>159.12710000000001</v>
      </c>
      <c r="C4190" s="8">
        <f t="shared" si="33"/>
        <v>167.05257618620615</v>
      </c>
      <c r="D4190" s="9">
        <f t="shared" si="32"/>
        <v>73.206911166086783</v>
      </c>
      <c r="E4190" s="9"/>
      <c r="F4190" s="9">
        <f ca="1">IFERROR(__xludf.DUMMYFUNCTION("""COMPUTED_VALUE"""),41117)</f>
        <v>41117</v>
      </c>
      <c r="G4190" s="9" t="str">
        <f ca="1">IFERROR(__xludf.DUMMYFUNCTION("""COMPUTED_VALUE"""),"1 USD = 94.5861 PKR")</f>
        <v>1 USD = 94.5861 PKR</v>
      </c>
      <c r="H4190" s="9" t="str">
        <f ca="1">IFERROR(__xludf.DUMMYFUNCTION("""COMPUTED_VALUE"""),"USD PKR rate for 27/07/2012")</f>
        <v>USD PKR rate for 27/07/2012</v>
      </c>
      <c r="I4190" s="9"/>
    </row>
    <row r="4191" spans="1:9" ht="14.25" customHeight="1" x14ac:dyDescent="0.3">
      <c r="A4191" s="6">
        <v>43908</v>
      </c>
      <c r="B4191" s="7">
        <v>159.02780000000001</v>
      </c>
      <c r="C4191" s="8">
        <f t="shared" si="33"/>
        <v>167.08245350076069</v>
      </c>
      <c r="D4191" s="9">
        <f t="shared" si="32"/>
        <v>73.209648998884049</v>
      </c>
      <c r="E4191" s="9"/>
      <c r="F4191" s="9">
        <f ca="1">IFERROR(__xludf.DUMMYFUNCTION("""COMPUTED_VALUE"""),41116)</f>
        <v>41116</v>
      </c>
      <c r="G4191" s="9" t="str">
        <f ca="1">IFERROR(__xludf.DUMMYFUNCTION("""COMPUTED_VALUE"""),"1 USD = 94.4257 PKR")</f>
        <v>1 USD = 94.4257 PKR</v>
      </c>
      <c r="H4191" s="9" t="str">
        <f ca="1">IFERROR(__xludf.DUMMYFUNCTION("""COMPUTED_VALUE"""),"USD PKR rate for 26/07/2012")</f>
        <v>USD PKR rate for 26/07/2012</v>
      </c>
      <c r="I4191" s="9"/>
    </row>
    <row r="4192" spans="1:9" ht="14.25" customHeight="1" x14ac:dyDescent="0.3">
      <c r="A4192" s="6">
        <v>43909</v>
      </c>
      <c r="B4192" s="7">
        <v>159.01509999999999</v>
      </c>
      <c r="C4192" s="8">
        <f t="shared" si="33"/>
        <v>167.11233615886601</v>
      </c>
      <c r="D4192" s="9">
        <f t="shared" si="32"/>
        <v>73.212386831681314</v>
      </c>
      <c r="E4192" s="9"/>
      <c r="F4192" s="9">
        <f ca="1">IFERROR(__xludf.DUMMYFUNCTION("""COMPUTED_VALUE"""),41115)</f>
        <v>41115</v>
      </c>
      <c r="G4192" s="9" t="str">
        <f ca="1">IFERROR(__xludf.DUMMYFUNCTION("""COMPUTED_VALUE"""),"1 USD = 94.6671 PKR")</f>
        <v>1 USD = 94.6671 PKR</v>
      </c>
      <c r="H4192" s="9" t="str">
        <f ca="1">IFERROR(__xludf.DUMMYFUNCTION("""COMPUTED_VALUE"""),"USD PKR rate for 25/07/2012")</f>
        <v>USD PKR rate for 25/07/2012</v>
      </c>
      <c r="I4192" s="9"/>
    </row>
    <row r="4193" spans="1:9" ht="14.25" customHeight="1" x14ac:dyDescent="0.3">
      <c r="A4193" s="6">
        <v>43910</v>
      </c>
      <c r="B4193" s="7">
        <v>158.92960000000002</v>
      </c>
      <c r="C4193" s="8">
        <f t="shared" si="33"/>
        <v>167.14222416147769</v>
      </c>
      <c r="D4193" s="9">
        <f t="shared" si="32"/>
        <v>73.21512466447858</v>
      </c>
      <c r="E4193" s="9"/>
      <c r="F4193" s="9">
        <f ca="1">IFERROR(__xludf.DUMMYFUNCTION("""COMPUTED_VALUE"""),41114)</f>
        <v>41114</v>
      </c>
      <c r="G4193" s="9" t="str">
        <f ca="1">IFERROR(__xludf.DUMMYFUNCTION("""COMPUTED_VALUE"""),"1 USD = 94.4606 PKR")</f>
        <v>1 USD = 94.4606 PKR</v>
      </c>
      <c r="H4193" s="9" t="str">
        <f ca="1">IFERROR(__xludf.DUMMYFUNCTION("""COMPUTED_VALUE"""),"USD PKR rate for 24/07/2012")</f>
        <v>USD PKR rate for 24/07/2012</v>
      </c>
      <c r="I4193" s="9"/>
    </row>
    <row r="4194" spans="1:9" ht="14.25" customHeight="1" x14ac:dyDescent="0.3">
      <c r="A4194" s="6">
        <v>43911</v>
      </c>
      <c r="B4194" s="7">
        <v>158.72499999999999</v>
      </c>
      <c r="C4194" s="8">
        <f t="shared" si="33"/>
        <v>167.17211750955184</v>
      </c>
      <c r="D4194" s="9">
        <f t="shared" si="32"/>
        <v>73.217862497275846</v>
      </c>
      <c r="E4194" s="9"/>
      <c r="F4194" s="9">
        <f ca="1">IFERROR(__xludf.DUMMYFUNCTION("""COMPUTED_VALUE"""),41113)</f>
        <v>41113</v>
      </c>
      <c r="G4194" s="9" t="str">
        <f ca="1">IFERROR(__xludf.DUMMYFUNCTION("""COMPUTED_VALUE"""),"1 USD = 94.418 PKR")</f>
        <v>1 USD = 94.418 PKR</v>
      </c>
      <c r="H4194" s="9" t="str">
        <f ca="1">IFERROR(__xludf.DUMMYFUNCTION("""COMPUTED_VALUE"""),"USD PKR rate for 23/07/2012")</f>
        <v>USD PKR rate for 23/07/2012</v>
      </c>
      <c r="I4194" s="9"/>
    </row>
    <row r="4195" spans="1:9" ht="14.25" customHeight="1" x14ac:dyDescent="0.3">
      <c r="A4195" s="6">
        <v>43912</v>
      </c>
      <c r="B4195" s="7">
        <v>159.1191</v>
      </c>
      <c r="C4195" s="8">
        <f t="shared" si="33"/>
        <v>167.20201620404436</v>
      </c>
      <c r="D4195" s="9">
        <f t="shared" si="32"/>
        <v>73.220600330073111</v>
      </c>
      <c r="E4195" s="9"/>
      <c r="F4195" s="9">
        <f ca="1">IFERROR(__xludf.DUMMYFUNCTION("""COMPUTED_VALUE"""),41112)</f>
        <v>41112</v>
      </c>
      <c r="G4195" s="9" t="str">
        <f ca="1">IFERROR(__xludf.DUMMYFUNCTION("""COMPUTED_VALUE"""),"1 USD = 94.5194 PKR")</f>
        <v>1 USD = 94.5194 PKR</v>
      </c>
      <c r="H4195" s="9" t="str">
        <f ca="1">IFERROR(__xludf.DUMMYFUNCTION("""COMPUTED_VALUE"""),"USD PKR rate for 22/07/2012")</f>
        <v>USD PKR rate for 22/07/2012</v>
      </c>
      <c r="I4195" s="9"/>
    </row>
    <row r="4196" spans="1:9" ht="14.25" customHeight="1" x14ac:dyDescent="0.3">
      <c r="A4196" s="6">
        <v>43913</v>
      </c>
      <c r="B4196" s="7">
        <v>157.8381</v>
      </c>
      <c r="C4196" s="8">
        <f t="shared" si="33"/>
        <v>167.23192024591148</v>
      </c>
      <c r="D4196" s="9">
        <f t="shared" si="32"/>
        <v>73.223338162870377</v>
      </c>
      <c r="E4196" s="9"/>
      <c r="F4196" s="9">
        <f ca="1">IFERROR(__xludf.DUMMYFUNCTION("""COMPUTED_VALUE"""),41111)</f>
        <v>41111</v>
      </c>
      <c r="G4196" s="9" t="str">
        <f ca="1">IFERROR(__xludf.DUMMYFUNCTION("""COMPUTED_VALUE"""),"1 USD = 94.4529 PKR")</f>
        <v>1 USD = 94.4529 PKR</v>
      </c>
      <c r="H4196" s="9" t="str">
        <f ca="1">IFERROR(__xludf.DUMMYFUNCTION("""COMPUTED_VALUE"""),"USD PKR rate for 21/07/2012")</f>
        <v>USD PKR rate for 21/07/2012</v>
      </c>
      <c r="I4196" s="9"/>
    </row>
    <row r="4197" spans="1:9" ht="14.25" customHeight="1" x14ac:dyDescent="0.3">
      <c r="A4197" s="6">
        <v>43914</v>
      </c>
      <c r="B4197" s="7">
        <v>158.83110000000002</v>
      </c>
      <c r="C4197" s="8">
        <f t="shared" si="33"/>
        <v>167.26182963610955</v>
      </c>
      <c r="D4197" s="9">
        <f t="shared" si="32"/>
        <v>73.226075995667642</v>
      </c>
      <c r="E4197" s="9"/>
      <c r="F4197" s="9">
        <f ca="1">IFERROR(__xludf.DUMMYFUNCTION("""COMPUTED_VALUE"""),41110)</f>
        <v>41110</v>
      </c>
      <c r="G4197" s="9" t="str">
        <f ca="1">IFERROR(__xludf.DUMMYFUNCTION("""COMPUTED_VALUE"""),"1 USD = 94.4529 PKR")</f>
        <v>1 USD = 94.4529 PKR</v>
      </c>
      <c r="H4197" s="9" t="str">
        <f ca="1">IFERROR(__xludf.DUMMYFUNCTION("""COMPUTED_VALUE"""),"USD PKR rate for 20/07/2012")</f>
        <v>USD PKR rate for 20/07/2012</v>
      </c>
      <c r="I4197" s="9"/>
    </row>
    <row r="4198" spans="1:9" ht="14.25" customHeight="1" x14ac:dyDescent="0.3">
      <c r="A4198" s="6">
        <v>43915</v>
      </c>
      <c r="B4198" s="7">
        <v>159.58760000000001</v>
      </c>
      <c r="C4198" s="8">
        <f t="shared" si="33"/>
        <v>167.29174437559513</v>
      </c>
      <c r="D4198" s="9">
        <f t="shared" si="32"/>
        <v>73.228813828464908</v>
      </c>
      <c r="E4198" s="9"/>
      <c r="F4198" s="9">
        <f ca="1">IFERROR(__xludf.DUMMYFUNCTION("""COMPUTED_VALUE"""),41109)</f>
        <v>41109</v>
      </c>
      <c r="G4198" s="9" t="str">
        <f ca="1">IFERROR(__xludf.DUMMYFUNCTION("""COMPUTED_VALUE"""),"1 USD = 94.4401 PKR")</f>
        <v>1 USD = 94.4401 PKR</v>
      </c>
      <c r="H4198" s="9" t="str">
        <f ca="1">IFERROR(__xludf.DUMMYFUNCTION("""COMPUTED_VALUE"""),"USD PKR rate for 19/07/2012")</f>
        <v>USD PKR rate for 19/07/2012</v>
      </c>
      <c r="I4198" s="9"/>
    </row>
    <row r="4199" spans="1:9" ht="14.25" customHeight="1" x14ac:dyDescent="0.3">
      <c r="A4199" s="6">
        <v>43916</v>
      </c>
      <c r="B4199" s="7">
        <v>162.7201</v>
      </c>
      <c r="C4199" s="8">
        <f t="shared" si="33"/>
        <v>167.32166446532494</v>
      </c>
      <c r="D4199" s="9">
        <f t="shared" si="32"/>
        <v>73.231551661262174</v>
      </c>
      <c r="E4199" s="9"/>
      <c r="F4199" s="9">
        <f ca="1">IFERROR(__xludf.DUMMYFUNCTION("""COMPUTED_VALUE"""),41108)</f>
        <v>41108</v>
      </c>
      <c r="G4199" s="9" t="str">
        <f ca="1">IFERROR(__xludf.DUMMYFUNCTION("""COMPUTED_VALUE"""),"1 USD = 94.4069 PKR")</f>
        <v>1 USD = 94.4069 PKR</v>
      </c>
      <c r="H4199" s="9" t="str">
        <f ca="1">IFERROR(__xludf.DUMMYFUNCTION("""COMPUTED_VALUE"""),"USD PKR rate for 18/07/2012")</f>
        <v>USD PKR rate for 18/07/2012</v>
      </c>
      <c r="I4199" s="9"/>
    </row>
    <row r="4200" spans="1:9" ht="14.25" customHeight="1" x14ac:dyDescent="0.3">
      <c r="A4200" s="6">
        <v>43917</v>
      </c>
      <c r="B4200" s="7">
        <v>161.46430000000001</v>
      </c>
      <c r="C4200" s="8">
        <f t="shared" si="33"/>
        <v>167.35158990625587</v>
      </c>
      <c r="D4200" s="9">
        <f t="shared" si="32"/>
        <v>73.234289494059439</v>
      </c>
      <c r="E4200" s="9"/>
      <c r="F4200" s="9">
        <f ca="1">IFERROR(__xludf.DUMMYFUNCTION("""COMPUTED_VALUE"""),41107)</f>
        <v>41107</v>
      </c>
      <c r="G4200" s="9" t="str">
        <f ca="1">IFERROR(__xludf.DUMMYFUNCTION("""COMPUTED_VALUE"""),"1 USD = 94.4324 PKR")</f>
        <v>1 USD = 94.4324 PKR</v>
      </c>
      <c r="H4200" s="9" t="str">
        <f ca="1">IFERROR(__xludf.DUMMYFUNCTION("""COMPUTED_VALUE"""),"USD PKR rate for 17/07/2012")</f>
        <v>USD PKR rate for 17/07/2012</v>
      </c>
      <c r="I4200" s="9"/>
    </row>
    <row r="4201" spans="1:9" ht="14.25" customHeight="1" x14ac:dyDescent="0.3">
      <c r="A4201" s="6">
        <v>43918</v>
      </c>
      <c r="B4201" s="7">
        <v>161.46450000000002</v>
      </c>
      <c r="C4201" s="8">
        <f t="shared" si="33"/>
        <v>167.38152069934497</v>
      </c>
      <c r="D4201" s="9">
        <f t="shared" si="32"/>
        <v>73.237027326856705</v>
      </c>
      <c r="E4201" s="9"/>
      <c r="F4201" s="9">
        <f ca="1">IFERROR(__xludf.DUMMYFUNCTION("""COMPUTED_VALUE"""),41106)</f>
        <v>41106</v>
      </c>
      <c r="G4201" s="9" t="str">
        <f ca="1">IFERROR(__xludf.DUMMYFUNCTION("""COMPUTED_VALUE"""),"1 USD = 94.478 PKR")</f>
        <v>1 USD = 94.478 PKR</v>
      </c>
      <c r="H4201" s="9" t="str">
        <f ca="1">IFERROR(__xludf.DUMMYFUNCTION("""COMPUTED_VALUE"""),"USD PKR rate for 16/07/2012")</f>
        <v>USD PKR rate for 16/07/2012</v>
      </c>
      <c r="I4201" s="9"/>
    </row>
    <row r="4202" spans="1:9" ht="14.25" customHeight="1" x14ac:dyDescent="0.3">
      <c r="A4202" s="6">
        <v>43919</v>
      </c>
      <c r="B4202" s="7">
        <v>163.7484</v>
      </c>
      <c r="C4202" s="8">
        <f t="shared" si="33"/>
        <v>167.41145684554934</v>
      </c>
      <c r="D4202" s="9">
        <f t="shared" si="32"/>
        <v>73.23976515965397</v>
      </c>
      <c r="E4202" s="9"/>
      <c r="F4202" s="9">
        <f ca="1">IFERROR(__xludf.DUMMYFUNCTION("""COMPUTED_VALUE"""),41105)</f>
        <v>41105</v>
      </c>
      <c r="G4202" s="9" t="str">
        <f ca="1">IFERROR(__xludf.DUMMYFUNCTION("""COMPUTED_VALUE"""),"1 USD = 94.3038 PKR")</f>
        <v>1 USD = 94.3038 PKR</v>
      </c>
      <c r="H4202" s="9" t="str">
        <f ca="1">IFERROR(__xludf.DUMMYFUNCTION("""COMPUTED_VALUE"""),"USD PKR rate for 15/07/2012")</f>
        <v>USD PKR rate for 15/07/2012</v>
      </c>
      <c r="I4202" s="9"/>
    </row>
    <row r="4203" spans="1:9" ht="14.25" customHeight="1" x14ac:dyDescent="0.3">
      <c r="A4203" s="6">
        <v>43920</v>
      </c>
      <c r="B4203" s="7">
        <v>166.01669999999999</v>
      </c>
      <c r="C4203" s="8">
        <f t="shared" si="33"/>
        <v>167.44139834582668</v>
      </c>
      <c r="D4203" s="9">
        <f t="shared" si="32"/>
        <v>73.242502992451236</v>
      </c>
      <c r="E4203" s="9"/>
      <c r="F4203" s="9">
        <f ca="1">IFERROR(__xludf.DUMMYFUNCTION("""COMPUTED_VALUE"""),41104)</f>
        <v>41104</v>
      </c>
      <c r="G4203" s="9" t="str">
        <f ca="1">IFERROR(__xludf.DUMMYFUNCTION("""COMPUTED_VALUE"""),"1 USD = 94.3825 PKR")</f>
        <v>1 USD = 94.3825 PKR</v>
      </c>
      <c r="H4203" s="9" t="str">
        <f ca="1">IFERROR(__xludf.DUMMYFUNCTION("""COMPUTED_VALUE"""),"USD PKR rate for 14/07/2012")</f>
        <v>USD PKR rate for 14/07/2012</v>
      </c>
      <c r="I4203" s="9"/>
    </row>
    <row r="4204" spans="1:9" ht="14.25" customHeight="1" x14ac:dyDescent="0.3">
      <c r="A4204" s="6">
        <v>43921</v>
      </c>
      <c r="B4204" s="7">
        <v>166.40320000000003</v>
      </c>
      <c r="C4204" s="8">
        <f t="shared" si="33"/>
        <v>167.4713452011344</v>
      </c>
      <c r="D4204" s="9">
        <f t="shared" si="32"/>
        <v>73.245240825248501</v>
      </c>
      <c r="E4204" s="9"/>
      <c r="F4204" s="9">
        <f ca="1">IFERROR(__xludf.DUMMYFUNCTION("""COMPUTED_VALUE"""),41103)</f>
        <v>41103</v>
      </c>
      <c r="G4204" s="9" t="str">
        <f ca="1">IFERROR(__xludf.DUMMYFUNCTION("""COMPUTED_VALUE"""),"1 USD = 94.3492 PKR")</f>
        <v>1 USD = 94.3492 PKR</v>
      </c>
      <c r="H4204" s="9" t="str">
        <f ca="1">IFERROR(__xludf.DUMMYFUNCTION("""COMPUTED_VALUE"""),"USD PKR rate for 13/07/2012")</f>
        <v>USD PKR rate for 13/07/2012</v>
      </c>
      <c r="I4204" s="9"/>
    </row>
    <row r="4205" spans="1:9" ht="14.25" customHeight="1" x14ac:dyDescent="0.3">
      <c r="A4205" s="6">
        <v>43922</v>
      </c>
      <c r="B4205" s="7">
        <v>166.42429999999999</v>
      </c>
      <c r="C4205" s="8">
        <f t="shared" si="33"/>
        <v>167.5012974124304</v>
      </c>
      <c r="D4205" s="9">
        <f t="shared" si="32"/>
        <v>73.247978658045781</v>
      </c>
      <c r="E4205" s="9"/>
      <c r="F4205" s="9">
        <f ca="1">IFERROR(__xludf.DUMMYFUNCTION("""COMPUTED_VALUE"""),41102)</f>
        <v>41102</v>
      </c>
      <c r="G4205" s="9" t="str">
        <f ca="1">IFERROR(__xludf.DUMMYFUNCTION("""COMPUTED_VALUE"""),"1 USD = 94.4301 PKR")</f>
        <v>1 USD = 94.4301 PKR</v>
      </c>
      <c r="H4205" s="9" t="str">
        <f ca="1">IFERROR(__xludf.DUMMYFUNCTION("""COMPUTED_VALUE"""),"USD PKR rate for 12/07/2012")</f>
        <v>USD PKR rate for 12/07/2012</v>
      </c>
      <c r="I4205" s="9"/>
    </row>
    <row r="4206" spans="1:9" ht="14.25" customHeight="1" x14ac:dyDescent="0.3">
      <c r="A4206" s="6">
        <v>43923</v>
      </c>
      <c r="B4206" s="7">
        <v>166.57660000000001</v>
      </c>
      <c r="C4206" s="8">
        <f t="shared" si="33"/>
        <v>167.53125498067232</v>
      </c>
      <c r="D4206" s="9">
        <f t="shared" si="32"/>
        <v>73.250716490843047</v>
      </c>
      <c r="E4206" s="9"/>
      <c r="F4206" s="9">
        <f ca="1">IFERROR(__xludf.DUMMYFUNCTION("""COMPUTED_VALUE"""),41101)</f>
        <v>41101</v>
      </c>
      <c r="G4206" s="9" t="str">
        <f ca="1">IFERROR(__xludf.DUMMYFUNCTION("""COMPUTED_VALUE"""),"1 USD = 94.4344 PKR")</f>
        <v>1 USD = 94.4344 PKR</v>
      </c>
      <c r="H4206" s="9" t="str">
        <f ca="1">IFERROR(__xludf.DUMMYFUNCTION("""COMPUTED_VALUE"""),"USD PKR rate for 11/07/2012")</f>
        <v>USD PKR rate for 11/07/2012</v>
      </c>
      <c r="I4206" s="9"/>
    </row>
    <row r="4207" spans="1:9" ht="14.25" customHeight="1" x14ac:dyDescent="0.3">
      <c r="A4207" s="6">
        <v>43924</v>
      </c>
      <c r="B4207" s="7">
        <v>166.53</v>
      </c>
      <c r="C4207" s="8">
        <f t="shared" si="33"/>
        <v>167.56121790681834</v>
      </c>
      <c r="D4207" s="9">
        <f t="shared" si="32"/>
        <v>73.253454323640312</v>
      </c>
      <c r="E4207" s="9"/>
      <c r="F4207" s="9">
        <f ca="1">IFERROR(__xludf.DUMMYFUNCTION("""COMPUTED_VALUE"""),41100)</f>
        <v>41100</v>
      </c>
      <c r="G4207" s="9" t="str">
        <f ca="1">IFERROR(__xludf.DUMMYFUNCTION("""COMPUTED_VALUE"""),"1 USD = 94.4139 PKR")</f>
        <v>1 USD = 94.4139 PKR</v>
      </c>
      <c r="H4207" s="9" t="str">
        <f ca="1">IFERROR(__xludf.DUMMYFUNCTION("""COMPUTED_VALUE"""),"USD PKR rate for 10/07/2012")</f>
        <v>USD PKR rate for 10/07/2012</v>
      </c>
      <c r="I4207" s="9"/>
    </row>
    <row r="4208" spans="1:9" ht="14.25" customHeight="1" x14ac:dyDescent="0.3">
      <c r="A4208" s="6">
        <v>43925</v>
      </c>
      <c r="B4208" s="7">
        <v>166.53</v>
      </c>
      <c r="C4208" s="8">
        <f t="shared" si="33"/>
        <v>167.59118619182681</v>
      </c>
      <c r="D4208" s="9">
        <f t="shared" si="32"/>
        <v>73.256192156437578</v>
      </c>
      <c r="E4208" s="9"/>
      <c r="F4208" s="9">
        <f ca="1">IFERROR(__xludf.DUMMYFUNCTION("""COMPUTED_VALUE"""),41099)</f>
        <v>41099</v>
      </c>
      <c r="G4208" s="9" t="str">
        <f ca="1">IFERROR(__xludf.DUMMYFUNCTION("""COMPUTED_VALUE"""),"1 USD = 94.1046 PKR")</f>
        <v>1 USD = 94.1046 PKR</v>
      </c>
      <c r="H4208" s="9" t="str">
        <f ca="1">IFERROR(__xludf.DUMMYFUNCTION("""COMPUTED_VALUE"""),"USD PKR rate for 09/07/2012")</f>
        <v>USD PKR rate for 09/07/2012</v>
      </c>
      <c r="I4208" s="9"/>
    </row>
    <row r="4209" spans="1:9" ht="14.25" customHeight="1" x14ac:dyDescent="0.3">
      <c r="A4209" s="6">
        <v>43926</v>
      </c>
      <c r="B4209" s="7">
        <v>167.0719</v>
      </c>
      <c r="C4209" s="8">
        <f t="shared" si="33"/>
        <v>167.62115983665609</v>
      </c>
      <c r="D4209" s="9">
        <f t="shared" si="32"/>
        <v>73.258929989234844</v>
      </c>
      <c r="E4209" s="9"/>
      <c r="F4209" s="9">
        <f ca="1">IFERROR(__xludf.DUMMYFUNCTION("""COMPUTED_VALUE"""),41098)</f>
        <v>41098</v>
      </c>
      <c r="G4209" s="9" t="str">
        <f ca="1">IFERROR(__xludf.DUMMYFUNCTION("""COMPUTED_VALUE"""),"1 USD = 94.1387 PKR")</f>
        <v>1 USD = 94.1387 PKR</v>
      </c>
      <c r="H4209" s="9" t="str">
        <f ca="1">IFERROR(__xludf.DUMMYFUNCTION("""COMPUTED_VALUE"""),"USD PKR rate for 08/07/2012")</f>
        <v>USD PKR rate for 08/07/2012</v>
      </c>
      <c r="I4209" s="9"/>
    </row>
    <row r="4210" spans="1:9" ht="14.25" customHeight="1" x14ac:dyDescent="0.3">
      <c r="A4210" s="6">
        <v>43927</v>
      </c>
      <c r="B4210" s="7">
        <v>167.04620000000003</v>
      </c>
      <c r="C4210" s="8">
        <f t="shared" si="33"/>
        <v>167.6511388422648</v>
      </c>
      <c r="D4210" s="9">
        <f t="shared" si="32"/>
        <v>73.261667822032109</v>
      </c>
      <c r="E4210" s="9"/>
      <c r="F4210" s="9">
        <f ca="1">IFERROR(__xludf.DUMMYFUNCTION("""COMPUTED_VALUE"""),41097)</f>
        <v>41097</v>
      </c>
      <c r="G4210" s="9" t="str">
        <f ca="1">IFERROR(__xludf.DUMMYFUNCTION("""COMPUTED_VALUE"""),"1 USD = 94.1083 PKR")</f>
        <v>1 USD = 94.1083 PKR</v>
      </c>
      <c r="H4210" s="9" t="str">
        <f ca="1">IFERROR(__xludf.DUMMYFUNCTION("""COMPUTED_VALUE"""),"USD PKR rate for 07/07/2012")</f>
        <v>USD PKR rate for 07/07/2012</v>
      </c>
      <c r="I4210" s="9"/>
    </row>
    <row r="4211" spans="1:9" ht="14.25" customHeight="1" x14ac:dyDescent="0.3">
      <c r="A4211" s="6">
        <v>43928</v>
      </c>
      <c r="B4211" s="7">
        <v>167.4289</v>
      </c>
      <c r="C4211" s="8">
        <f t="shared" si="33"/>
        <v>167.68112320961171</v>
      </c>
      <c r="D4211" s="9">
        <f t="shared" si="32"/>
        <v>73.264405654829375</v>
      </c>
      <c r="E4211" s="9"/>
      <c r="F4211" s="9">
        <f ca="1">IFERROR(__xludf.DUMMYFUNCTION("""COMPUTED_VALUE"""),41096)</f>
        <v>41096</v>
      </c>
      <c r="G4211" s="9" t="str">
        <f ca="1">IFERROR(__xludf.DUMMYFUNCTION("""COMPUTED_VALUE"""),"1 USD = 93.968 PKR")</f>
        <v>1 USD = 93.968 PKR</v>
      </c>
      <c r="H4211" s="9" t="str">
        <f ca="1">IFERROR(__xludf.DUMMYFUNCTION("""COMPUTED_VALUE"""),"USD PKR rate for 06/07/2012")</f>
        <v>USD PKR rate for 06/07/2012</v>
      </c>
      <c r="I4211" s="9"/>
    </row>
    <row r="4212" spans="1:9" ht="14.25" customHeight="1" x14ac:dyDescent="0.3">
      <c r="A4212" s="6">
        <v>43929</v>
      </c>
      <c r="B4212" s="7">
        <v>167.60810000000001</v>
      </c>
      <c r="C4212" s="8">
        <f t="shared" si="33"/>
        <v>167.71111293965564</v>
      </c>
      <c r="D4212" s="9">
        <f t="shared" si="32"/>
        <v>73.26714348762664</v>
      </c>
      <c r="E4212" s="9"/>
      <c r="F4212" s="9">
        <f ca="1">IFERROR(__xludf.DUMMYFUNCTION("""COMPUTED_VALUE"""),41095)</f>
        <v>41095</v>
      </c>
      <c r="G4212" s="9" t="str">
        <f ca="1">IFERROR(__xludf.DUMMYFUNCTION("""COMPUTED_VALUE"""),"1 USD = 94.4043 PKR")</f>
        <v>1 USD = 94.4043 PKR</v>
      </c>
      <c r="H4212" s="9" t="str">
        <f ca="1">IFERROR(__xludf.DUMMYFUNCTION("""COMPUTED_VALUE"""),"USD PKR rate for 05/07/2012")</f>
        <v>USD PKR rate for 05/07/2012</v>
      </c>
      <c r="I4212" s="9"/>
    </row>
    <row r="4213" spans="1:9" ht="14.25" customHeight="1" x14ac:dyDescent="0.3">
      <c r="A4213" s="6">
        <v>43930</v>
      </c>
      <c r="B4213" s="7">
        <v>167.53559999999999</v>
      </c>
      <c r="C4213" s="8">
        <f t="shared" si="33"/>
        <v>167.741108033356</v>
      </c>
      <c r="D4213" s="9">
        <f t="shared" si="32"/>
        <v>73.269881320423906</v>
      </c>
      <c r="E4213" s="9"/>
      <c r="F4213" s="9">
        <f ca="1">IFERROR(__xludf.DUMMYFUNCTION("""COMPUTED_VALUE"""),41094)</f>
        <v>41094</v>
      </c>
      <c r="G4213" s="9" t="str">
        <f ca="1">IFERROR(__xludf.DUMMYFUNCTION("""COMPUTED_VALUE"""),"1 USD = 94.5932 PKR")</f>
        <v>1 USD = 94.5932 PKR</v>
      </c>
      <c r="H4213" s="9" t="str">
        <f ca="1">IFERROR(__xludf.DUMMYFUNCTION("""COMPUTED_VALUE"""),"USD PKR rate for 04/07/2012")</f>
        <v>USD PKR rate for 04/07/2012</v>
      </c>
      <c r="I4213" s="9"/>
    </row>
    <row r="4214" spans="1:9" ht="14.25" customHeight="1" x14ac:dyDescent="0.3">
      <c r="A4214" s="6">
        <v>43931</v>
      </c>
      <c r="B4214" s="7">
        <v>166.50380000000001</v>
      </c>
      <c r="C4214" s="8">
        <f t="shared" si="33"/>
        <v>167.7711084916719</v>
      </c>
      <c r="D4214" s="9">
        <f t="shared" si="32"/>
        <v>73.272619153221171</v>
      </c>
      <c r="E4214" s="9"/>
      <c r="F4214" s="9">
        <f ca="1">IFERROR(__xludf.DUMMYFUNCTION("""COMPUTED_VALUE"""),41093)</f>
        <v>41093</v>
      </c>
      <c r="G4214" s="9" t="str">
        <f ca="1">IFERROR(__xludf.DUMMYFUNCTION("""COMPUTED_VALUE"""),"1 USD = 94.6742 PKR")</f>
        <v>1 USD = 94.6742 PKR</v>
      </c>
      <c r="H4214" s="9" t="str">
        <f ca="1">IFERROR(__xludf.DUMMYFUNCTION("""COMPUTED_VALUE"""),"USD PKR rate for 03/07/2012")</f>
        <v>USD PKR rate for 03/07/2012</v>
      </c>
      <c r="I4214" s="9"/>
    </row>
    <row r="4215" spans="1:9" ht="14.25" customHeight="1" x14ac:dyDescent="0.3">
      <c r="A4215" s="6">
        <v>43932</v>
      </c>
      <c r="B4215" s="7">
        <v>166.5001</v>
      </c>
      <c r="C4215" s="8">
        <f t="shared" si="33"/>
        <v>167.80111431556284</v>
      </c>
      <c r="D4215" s="9">
        <f t="shared" si="32"/>
        <v>73.275356986018437</v>
      </c>
      <c r="E4215" s="9"/>
      <c r="F4215" s="9">
        <f ca="1">IFERROR(__xludf.DUMMYFUNCTION("""COMPUTED_VALUE"""),41092)</f>
        <v>41092</v>
      </c>
      <c r="G4215" s="9" t="str">
        <f ca="1">IFERROR(__xludf.DUMMYFUNCTION("""COMPUTED_VALUE"""),"1 USD = 94.6477 PKR")</f>
        <v>1 USD = 94.6477 PKR</v>
      </c>
      <c r="H4215" s="9" t="str">
        <f ca="1">IFERROR(__xludf.DUMMYFUNCTION("""COMPUTED_VALUE"""),"USD PKR rate for 02/07/2012")</f>
        <v>USD PKR rate for 02/07/2012</v>
      </c>
      <c r="I4215" s="9"/>
    </row>
    <row r="4216" spans="1:9" ht="14.25" customHeight="1" x14ac:dyDescent="0.3">
      <c r="A4216" s="6">
        <v>43933</v>
      </c>
      <c r="B4216" s="7">
        <v>166.4716</v>
      </c>
      <c r="C4216" s="8">
        <f t="shared" si="33"/>
        <v>167.83112550598844</v>
      </c>
      <c r="D4216" s="9">
        <f t="shared" si="32"/>
        <v>73.278094818815703</v>
      </c>
      <c r="E4216" s="9"/>
      <c r="F4216" s="9">
        <f ca="1">IFERROR(__xludf.DUMMYFUNCTION("""COMPUTED_VALUE"""),41091)</f>
        <v>41091</v>
      </c>
      <c r="G4216" s="9" t="str">
        <f ca="1">IFERROR(__xludf.DUMMYFUNCTION("""COMPUTED_VALUE"""),"1 USD = 94.7495 PKR")</f>
        <v>1 USD = 94.7495 PKR</v>
      </c>
      <c r="H4216" s="9" t="str">
        <f ca="1">IFERROR(__xludf.DUMMYFUNCTION("""COMPUTED_VALUE"""),"USD PKR rate for 01/07/2012")</f>
        <v>USD PKR rate for 01/07/2012</v>
      </c>
      <c r="I4216" s="9"/>
    </row>
    <row r="4217" spans="1:9" ht="14.25" customHeight="1" x14ac:dyDescent="0.3">
      <c r="A4217" s="6">
        <v>43934</v>
      </c>
      <c r="B4217" s="7">
        <v>166.4676</v>
      </c>
      <c r="C4217" s="8">
        <f t="shared" si="33"/>
        <v>167.86114206390846</v>
      </c>
      <c r="D4217" s="9">
        <f t="shared" si="32"/>
        <v>73.280832651612968</v>
      </c>
      <c r="E4217" s="9"/>
      <c r="F4217" s="9">
        <f ca="1">IFERROR(__xludf.DUMMYFUNCTION("""COMPUTED_VALUE"""),41090)</f>
        <v>41090</v>
      </c>
      <c r="G4217" s="9" t="str">
        <f ca="1">IFERROR(__xludf.DUMMYFUNCTION("""COMPUTED_VALUE"""),"1 USD = 94.5987 PKR")</f>
        <v>1 USD = 94.5987 PKR</v>
      </c>
      <c r="H4217" s="9" t="str">
        <f ca="1">IFERROR(__xludf.DUMMYFUNCTION("""COMPUTED_VALUE"""),"USD PKR rate for 30/06/2012")</f>
        <v>USD PKR rate for 30/06/2012</v>
      </c>
      <c r="I4217" s="9"/>
    </row>
    <row r="4218" spans="1:9" ht="14.25" customHeight="1" x14ac:dyDescent="0.3">
      <c r="A4218" s="6">
        <v>43935</v>
      </c>
      <c r="B4218" s="7">
        <v>166.70070000000001</v>
      </c>
      <c r="C4218" s="8">
        <f t="shared" si="33"/>
        <v>167.89116399028293</v>
      </c>
      <c r="D4218" s="9">
        <f t="shared" si="32"/>
        <v>73.283570484410234</v>
      </c>
      <c r="E4218" s="9"/>
      <c r="F4218" s="9">
        <f ca="1">IFERROR(__xludf.DUMMYFUNCTION("""COMPUTED_VALUE"""),41089)</f>
        <v>41089</v>
      </c>
      <c r="G4218" s="9" t="str">
        <f ca="1">IFERROR(__xludf.DUMMYFUNCTION("""COMPUTED_VALUE"""),"1 USD = 94.5647 PKR")</f>
        <v>1 USD = 94.5647 PKR</v>
      </c>
      <c r="H4218" s="9" t="str">
        <f ca="1">IFERROR(__xludf.DUMMYFUNCTION("""COMPUTED_VALUE"""),"USD PKR rate for 29/06/2012")</f>
        <v>USD PKR rate for 29/06/2012</v>
      </c>
      <c r="I4218" s="9"/>
    </row>
    <row r="4219" spans="1:9" ht="14.25" customHeight="1" x14ac:dyDescent="0.3">
      <c r="A4219" s="6">
        <v>43936</v>
      </c>
      <c r="B4219" s="7">
        <v>166.8929</v>
      </c>
      <c r="C4219" s="8">
        <f t="shared" si="33"/>
        <v>167.92119128607197</v>
      </c>
      <c r="D4219" s="9">
        <f t="shared" si="32"/>
        <v>73.286308317207499</v>
      </c>
      <c r="E4219" s="9"/>
      <c r="F4219" s="9">
        <f ca="1">IFERROR(__xludf.DUMMYFUNCTION("""COMPUTED_VALUE"""),41088)</f>
        <v>41088</v>
      </c>
      <c r="G4219" s="9" t="str">
        <f ca="1">IFERROR(__xludf.DUMMYFUNCTION("""COMPUTED_VALUE"""),"1 USD = 94.2634 PKR")</f>
        <v>1 USD = 94.2634 PKR</v>
      </c>
      <c r="H4219" s="9" t="str">
        <f ca="1">IFERROR(__xludf.DUMMYFUNCTION("""COMPUTED_VALUE"""),"USD PKR rate for 28/06/2012")</f>
        <v>USD PKR rate for 28/06/2012</v>
      </c>
      <c r="I4219" s="9"/>
    </row>
    <row r="4220" spans="1:9" ht="14.25" customHeight="1" x14ac:dyDescent="0.3">
      <c r="A4220" s="6">
        <v>43937</v>
      </c>
      <c r="B4220" s="7">
        <v>167.31829999999999</v>
      </c>
      <c r="C4220" s="8">
        <f t="shared" si="33"/>
        <v>167.95122395223592</v>
      </c>
      <c r="D4220" s="9">
        <f t="shared" si="32"/>
        <v>73.289046150004765</v>
      </c>
      <c r="E4220" s="9"/>
      <c r="F4220" s="9">
        <f ca="1">IFERROR(__xludf.DUMMYFUNCTION("""COMPUTED_VALUE"""),41087)</f>
        <v>41087</v>
      </c>
      <c r="G4220" s="9" t="str">
        <f ca="1">IFERROR(__xludf.DUMMYFUNCTION("""COMPUTED_VALUE"""),"1 USD = 94.5892 PKR")</f>
        <v>1 USD = 94.5892 PKR</v>
      </c>
      <c r="H4220" s="9" t="str">
        <f ca="1">IFERROR(__xludf.DUMMYFUNCTION("""COMPUTED_VALUE"""),"USD PKR rate for 27/06/2012")</f>
        <v>USD PKR rate for 27/06/2012</v>
      </c>
      <c r="I4220" s="9"/>
    </row>
    <row r="4221" spans="1:9" ht="14.25" customHeight="1" x14ac:dyDescent="0.3">
      <c r="A4221" s="6">
        <v>43938</v>
      </c>
      <c r="B4221" s="7">
        <v>166.64340000000001</v>
      </c>
      <c r="C4221" s="8">
        <f t="shared" si="33"/>
        <v>167.98126198973512</v>
      </c>
      <c r="D4221" s="9">
        <f t="shared" si="32"/>
        <v>73.291783982802031</v>
      </c>
      <c r="E4221" s="9"/>
      <c r="F4221" s="9">
        <f ca="1">IFERROR(__xludf.DUMMYFUNCTION("""COMPUTED_VALUE"""),41086)</f>
        <v>41086</v>
      </c>
      <c r="G4221" s="9" t="str">
        <f ca="1">IFERROR(__xludf.DUMMYFUNCTION("""COMPUTED_VALUE"""),"1 USD = 94.5487 PKR")</f>
        <v>1 USD = 94.5487 PKR</v>
      </c>
      <c r="H4221" s="9" t="str">
        <f ca="1">IFERROR(__xludf.DUMMYFUNCTION("""COMPUTED_VALUE"""),"USD PKR rate for 26/06/2012")</f>
        <v>USD PKR rate for 26/06/2012</v>
      </c>
      <c r="I4221" s="9"/>
    </row>
    <row r="4222" spans="1:9" ht="14.25" customHeight="1" x14ac:dyDescent="0.3">
      <c r="A4222" s="6">
        <v>43939</v>
      </c>
      <c r="B4222" s="7">
        <v>166.64340000000001</v>
      </c>
      <c r="C4222" s="8">
        <f t="shared" si="33"/>
        <v>168.01130539953047</v>
      </c>
      <c r="D4222" s="9">
        <f t="shared" si="32"/>
        <v>73.294521815599296</v>
      </c>
      <c r="E4222" s="9"/>
      <c r="F4222" s="9">
        <f ca="1">IFERROR(__xludf.DUMMYFUNCTION("""COMPUTED_VALUE"""),41085)</f>
        <v>41085</v>
      </c>
      <c r="G4222" s="9" t="str">
        <f ca="1">IFERROR(__xludf.DUMMYFUNCTION("""COMPUTED_VALUE"""),"1 USD = 94.5289 PKR")</f>
        <v>1 USD = 94.5289 PKR</v>
      </c>
      <c r="H4222" s="9" t="str">
        <f ca="1">IFERROR(__xludf.DUMMYFUNCTION("""COMPUTED_VALUE"""),"USD PKR rate for 25/06/2012")</f>
        <v>USD PKR rate for 25/06/2012</v>
      </c>
      <c r="I4222" s="9"/>
    </row>
    <row r="4223" spans="1:9" ht="14.25" customHeight="1" x14ac:dyDescent="0.3">
      <c r="A4223" s="6">
        <v>43940</v>
      </c>
      <c r="B4223" s="7">
        <v>163.59440000000001</v>
      </c>
      <c r="C4223" s="8">
        <f t="shared" si="33"/>
        <v>168.04135418258275</v>
      </c>
      <c r="D4223" s="9">
        <f t="shared" si="32"/>
        <v>73.297259648396562</v>
      </c>
      <c r="E4223" s="9"/>
      <c r="F4223" s="9">
        <f ca="1">IFERROR(__xludf.DUMMYFUNCTION("""COMPUTED_VALUE"""),41084)</f>
        <v>41084</v>
      </c>
      <c r="G4223" s="9" t="str">
        <f ca="1">IFERROR(__xludf.DUMMYFUNCTION("""COMPUTED_VALUE"""),"1 USD = 94.4872 PKR")</f>
        <v>1 USD = 94.4872 PKR</v>
      </c>
      <c r="H4223" s="9" t="str">
        <f ca="1">IFERROR(__xludf.DUMMYFUNCTION("""COMPUTED_VALUE"""),"USD PKR rate for 24/06/2012")</f>
        <v>USD PKR rate for 24/06/2012</v>
      </c>
      <c r="I4223" s="9"/>
    </row>
    <row r="4224" spans="1:9" ht="14.25" customHeight="1" x14ac:dyDescent="0.3">
      <c r="A4224" s="6">
        <v>43941</v>
      </c>
      <c r="B4224" s="7">
        <v>163.5916</v>
      </c>
      <c r="C4224" s="8">
        <f t="shared" si="33"/>
        <v>168.07140833985289</v>
      </c>
      <c r="D4224" s="9">
        <f t="shared" si="32"/>
        <v>73.299997481193827</v>
      </c>
      <c r="E4224" s="9"/>
      <c r="F4224" s="9">
        <f ca="1">IFERROR(__xludf.DUMMYFUNCTION("""COMPUTED_VALUE"""),41083)</f>
        <v>41083</v>
      </c>
      <c r="G4224" s="9" t="str">
        <f ca="1">IFERROR(__xludf.DUMMYFUNCTION("""COMPUTED_VALUE"""),"1 USD = 94.4811 PKR")</f>
        <v>1 USD = 94.4811 PKR</v>
      </c>
      <c r="H4224" s="9" t="str">
        <f ca="1">IFERROR(__xludf.DUMMYFUNCTION("""COMPUTED_VALUE"""),"USD PKR rate for 23/06/2012")</f>
        <v>USD PKR rate for 23/06/2012</v>
      </c>
      <c r="I4224" s="9"/>
    </row>
    <row r="4225" spans="1:9" ht="14.25" customHeight="1" x14ac:dyDescent="0.3">
      <c r="A4225" s="6">
        <v>43942</v>
      </c>
      <c r="B4225" s="7">
        <v>161.35579999999999</v>
      </c>
      <c r="C4225" s="8">
        <f t="shared" si="33"/>
        <v>168.10146787230209</v>
      </c>
      <c r="D4225" s="9">
        <f t="shared" si="32"/>
        <v>73.302735313991093</v>
      </c>
      <c r="E4225" s="9"/>
      <c r="F4225" s="9">
        <f ca="1">IFERROR(__xludf.DUMMYFUNCTION("""COMPUTED_VALUE"""),41082)</f>
        <v>41082</v>
      </c>
      <c r="G4225" s="9" t="str">
        <f ca="1">IFERROR(__xludf.DUMMYFUNCTION("""COMPUTED_VALUE"""),"1 USD = 94.4337 PKR")</f>
        <v>1 USD = 94.4337 PKR</v>
      </c>
      <c r="H4225" s="9" t="str">
        <f ca="1">IFERROR(__xludf.DUMMYFUNCTION("""COMPUTED_VALUE"""),"USD PKR rate for 22/06/2012")</f>
        <v>USD PKR rate for 22/06/2012</v>
      </c>
      <c r="I4225" s="9"/>
    </row>
    <row r="4226" spans="1:9" ht="14.25" customHeight="1" x14ac:dyDescent="0.3">
      <c r="A4226" s="6">
        <v>43943</v>
      </c>
      <c r="B4226" s="7">
        <v>160.40960000000001</v>
      </c>
      <c r="C4226" s="8">
        <f t="shared" si="33"/>
        <v>168.13153278089172</v>
      </c>
      <c r="D4226" s="9">
        <f t="shared" si="32"/>
        <v>73.305473146788358</v>
      </c>
      <c r="E4226" s="9"/>
      <c r="F4226" s="9">
        <f ca="1">IFERROR(__xludf.DUMMYFUNCTION("""COMPUTED_VALUE"""),41081)</f>
        <v>41081</v>
      </c>
      <c r="G4226" s="9" t="str">
        <f ca="1">IFERROR(__xludf.DUMMYFUNCTION("""COMPUTED_VALUE"""),"1 USD = 94.406 PKR")</f>
        <v>1 USD = 94.406 PKR</v>
      </c>
      <c r="H4226" s="9" t="str">
        <f ca="1">IFERROR(__xludf.DUMMYFUNCTION("""COMPUTED_VALUE"""),"USD PKR rate for 21/06/2012")</f>
        <v>USD PKR rate for 21/06/2012</v>
      </c>
      <c r="I4226" s="9"/>
    </row>
    <row r="4227" spans="1:9" ht="14.25" customHeight="1" x14ac:dyDescent="0.3">
      <c r="A4227" s="6">
        <v>43944</v>
      </c>
      <c r="B4227" s="7">
        <v>159.97309999999999</v>
      </c>
      <c r="C4227" s="8">
        <f t="shared" si="33"/>
        <v>168.16160306658333</v>
      </c>
      <c r="D4227" s="9">
        <f t="shared" si="32"/>
        <v>73.308210979585624</v>
      </c>
      <c r="E4227" s="9"/>
      <c r="F4227" s="9">
        <f ca="1">IFERROR(__xludf.DUMMYFUNCTION("""COMPUTED_VALUE"""),41080)</f>
        <v>41080</v>
      </c>
      <c r="G4227" s="9" t="str">
        <f ca="1">IFERROR(__xludf.DUMMYFUNCTION("""COMPUTED_VALUE"""),"1 USD = 94.2591 PKR")</f>
        <v>1 USD = 94.2591 PKR</v>
      </c>
      <c r="H4227" s="9" t="str">
        <f ca="1">IFERROR(__xludf.DUMMYFUNCTION("""COMPUTED_VALUE"""),"USD PKR rate for 20/06/2012")</f>
        <v>USD PKR rate for 20/06/2012</v>
      </c>
      <c r="I4227" s="9"/>
    </row>
    <row r="4228" spans="1:9" ht="14.25" customHeight="1" x14ac:dyDescent="0.3">
      <c r="A4228" s="6">
        <v>43945</v>
      </c>
      <c r="B4228" s="7">
        <v>161.0001</v>
      </c>
      <c r="C4228" s="8">
        <f t="shared" si="33"/>
        <v>168.19167873033851</v>
      </c>
      <c r="D4228" s="9">
        <f t="shared" si="32"/>
        <v>73.31094881238289</v>
      </c>
      <c r="E4228" s="9"/>
      <c r="F4228" s="9">
        <f ca="1">IFERROR(__xludf.DUMMYFUNCTION("""COMPUTED_VALUE"""),41079)</f>
        <v>41079</v>
      </c>
      <c r="G4228" s="9" t="str">
        <f ca="1">IFERROR(__xludf.DUMMYFUNCTION("""COMPUTED_VALUE"""),"1 USD = 93.4297 PKR")</f>
        <v>1 USD = 93.4297 PKR</v>
      </c>
      <c r="H4228" s="9" t="str">
        <f ca="1">IFERROR(__xludf.DUMMYFUNCTION("""COMPUTED_VALUE"""),"USD PKR rate for 19/06/2012")</f>
        <v>USD PKR rate for 19/06/2012</v>
      </c>
      <c r="I4228" s="9"/>
    </row>
    <row r="4229" spans="1:9" ht="14.25" customHeight="1" x14ac:dyDescent="0.3">
      <c r="A4229" s="6">
        <v>43946</v>
      </c>
      <c r="B4229" s="7">
        <v>161.0001</v>
      </c>
      <c r="C4229" s="8">
        <f t="shared" si="33"/>
        <v>168.2217597731192</v>
      </c>
      <c r="D4229" s="9">
        <f t="shared" si="32"/>
        <v>73.313686645180155</v>
      </c>
      <c r="E4229" s="9"/>
      <c r="F4229" s="9">
        <f ca="1">IFERROR(__xludf.DUMMYFUNCTION("""COMPUTED_VALUE"""),41078)</f>
        <v>41078</v>
      </c>
      <c r="G4229" s="9" t="str">
        <f ca="1">IFERROR(__xludf.DUMMYFUNCTION("""COMPUTED_VALUE"""),"1 USD = 94.0024 PKR")</f>
        <v>1 USD = 94.0024 PKR</v>
      </c>
      <c r="H4229" s="9" t="str">
        <f ca="1">IFERROR(__xludf.DUMMYFUNCTION("""COMPUTED_VALUE"""),"USD PKR rate for 18/06/2012")</f>
        <v>USD PKR rate for 18/06/2012</v>
      </c>
      <c r="I4229" s="9"/>
    </row>
    <row r="4230" spans="1:9" ht="14.25" customHeight="1" x14ac:dyDescent="0.3">
      <c r="A4230" s="6">
        <v>43947</v>
      </c>
      <c r="B4230" s="7">
        <v>161.0104</v>
      </c>
      <c r="C4230" s="8">
        <f t="shared" si="33"/>
        <v>168.25184619588728</v>
      </c>
      <c r="D4230" s="9">
        <f t="shared" si="32"/>
        <v>73.316424477977421</v>
      </c>
      <c r="E4230" s="9"/>
      <c r="F4230" s="9">
        <f ca="1">IFERROR(__xludf.DUMMYFUNCTION("""COMPUTED_VALUE"""),41077)</f>
        <v>41077</v>
      </c>
      <c r="G4230" s="9" t="str">
        <f ca="1">IFERROR(__xludf.DUMMYFUNCTION("""COMPUTED_VALUE"""),"1 USD = 94.2063 PKR")</f>
        <v>1 USD = 94.2063 PKR</v>
      </c>
      <c r="H4230" s="9" t="str">
        <f ca="1">IFERROR(__xludf.DUMMYFUNCTION("""COMPUTED_VALUE"""),"USD PKR rate for 17/06/2012")</f>
        <v>USD PKR rate for 17/06/2012</v>
      </c>
      <c r="I4230" s="9"/>
    </row>
    <row r="4231" spans="1:9" ht="14.25" customHeight="1" x14ac:dyDescent="0.3">
      <c r="A4231" s="6">
        <v>43948</v>
      </c>
      <c r="B4231" s="7">
        <v>160.94520000000003</v>
      </c>
      <c r="C4231" s="8">
        <f t="shared" si="33"/>
        <v>168.28193799960525</v>
      </c>
      <c r="D4231" s="9">
        <f t="shared" si="32"/>
        <v>73.319162310774686</v>
      </c>
      <c r="E4231" s="9"/>
      <c r="F4231" s="9">
        <f ca="1">IFERROR(__xludf.DUMMYFUNCTION("""COMPUTED_VALUE"""),41076)</f>
        <v>41076</v>
      </c>
      <c r="G4231" s="9" t="str">
        <f ca="1">IFERROR(__xludf.DUMMYFUNCTION("""COMPUTED_VALUE"""),"1 USD = 94.2063 PKR")</f>
        <v>1 USD = 94.2063 PKR</v>
      </c>
      <c r="H4231" s="9" t="str">
        <f ca="1">IFERROR(__xludf.DUMMYFUNCTION("""COMPUTED_VALUE"""),"USD PKR rate for 16/06/2012")</f>
        <v>USD PKR rate for 16/06/2012</v>
      </c>
      <c r="I4231" s="9"/>
    </row>
    <row r="4232" spans="1:9" ht="14.25" customHeight="1" x14ac:dyDescent="0.3">
      <c r="A4232" s="6">
        <v>43949</v>
      </c>
      <c r="B4232" s="7">
        <v>161.15560000000002</v>
      </c>
      <c r="C4232" s="8">
        <f t="shared" si="33"/>
        <v>168.31203518523535</v>
      </c>
      <c r="D4232" s="9">
        <f t="shared" si="32"/>
        <v>73.321900143571952</v>
      </c>
      <c r="E4232" s="9"/>
      <c r="F4232" s="9">
        <f ca="1">IFERROR(__xludf.DUMMYFUNCTION("""COMPUTED_VALUE"""),41075)</f>
        <v>41075</v>
      </c>
      <c r="G4232" s="9" t="str">
        <f ca="1">IFERROR(__xludf.DUMMYFUNCTION("""COMPUTED_VALUE"""),"1 USD = 94.3805 PKR")</f>
        <v>1 USD = 94.3805 PKR</v>
      </c>
      <c r="H4232" s="9" t="str">
        <f ca="1">IFERROR(__xludf.DUMMYFUNCTION("""COMPUTED_VALUE"""),"USD PKR rate for 15/06/2012")</f>
        <v>USD PKR rate for 15/06/2012</v>
      </c>
      <c r="I4232" s="9"/>
    </row>
    <row r="4233" spans="1:9" ht="14.25" customHeight="1" x14ac:dyDescent="0.3">
      <c r="A4233" s="6">
        <v>43950</v>
      </c>
      <c r="B4233" s="7">
        <v>161.54599999999999</v>
      </c>
      <c r="C4233" s="8">
        <f t="shared" si="33"/>
        <v>168.3421377537401</v>
      </c>
      <c r="D4233" s="9">
        <f t="shared" si="32"/>
        <v>73.324637976369218</v>
      </c>
      <c r="E4233" s="9"/>
      <c r="F4233" s="9">
        <f ca="1">IFERROR(__xludf.DUMMYFUNCTION("""COMPUTED_VALUE"""),41074)</f>
        <v>41074</v>
      </c>
      <c r="G4233" s="9" t="str">
        <f ca="1">IFERROR(__xludf.DUMMYFUNCTION("""COMPUTED_VALUE"""),"1 USD = 94.3266 PKR")</f>
        <v>1 USD = 94.3266 PKR</v>
      </c>
      <c r="H4233" s="9" t="str">
        <f ca="1">IFERROR(__xludf.DUMMYFUNCTION("""COMPUTED_VALUE"""),"USD PKR rate for 14/06/2012")</f>
        <v>USD PKR rate for 14/06/2012</v>
      </c>
      <c r="I4233" s="9"/>
    </row>
    <row r="4234" spans="1:9" ht="14.25" customHeight="1" x14ac:dyDescent="0.3">
      <c r="A4234" s="6">
        <v>43951</v>
      </c>
      <c r="B4234" s="7">
        <v>160.4479</v>
      </c>
      <c r="C4234" s="8">
        <f t="shared" si="33"/>
        <v>168.37224570608231</v>
      </c>
      <c r="D4234" s="9">
        <f t="shared" si="32"/>
        <v>73.327375809166483</v>
      </c>
      <c r="E4234" s="9"/>
      <c r="F4234" s="9">
        <f ca="1">IFERROR(__xludf.DUMMYFUNCTION("""COMPUTED_VALUE"""),41073)</f>
        <v>41073</v>
      </c>
      <c r="G4234" s="9" t="str">
        <f ca="1">IFERROR(__xludf.DUMMYFUNCTION("""COMPUTED_VALUE"""),"1 USD = 94.4174 PKR")</f>
        <v>1 USD = 94.4174 PKR</v>
      </c>
      <c r="H4234" s="9" t="str">
        <f ca="1">IFERROR(__xludf.DUMMYFUNCTION("""COMPUTED_VALUE"""),"USD PKR rate for 13/06/2012")</f>
        <v>USD PKR rate for 13/06/2012</v>
      </c>
      <c r="I4234" s="9"/>
    </row>
    <row r="4235" spans="1:9" ht="14.25" customHeight="1" x14ac:dyDescent="0.3">
      <c r="A4235" s="6">
        <v>43952</v>
      </c>
      <c r="B4235" s="7">
        <v>160.375</v>
      </c>
      <c r="C4235" s="8">
        <f t="shared" si="33"/>
        <v>168.40235904322478</v>
      </c>
      <c r="D4235" s="9">
        <f t="shared" si="32"/>
        <v>73.330113641963749</v>
      </c>
      <c r="E4235" s="9"/>
      <c r="F4235" s="9">
        <f ca="1">IFERROR(__xludf.DUMMYFUNCTION("""COMPUTED_VALUE"""),41072)</f>
        <v>41072</v>
      </c>
      <c r="G4235" s="9" t="str">
        <f ca="1">IFERROR(__xludf.DUMMYFUNCTION("""COMPUTED_VALUE"""),"1 USD = 94.5268 PKR")</f>
        <v>1 USD = 94.5268 PKR</v>
      </c>
      <c r="H4235" s="9" t="str">
        <f ca="1">IFERROR(__xludf.DUMMYFUNCTION("""COMPUTED_VALUE"""),"USD PKR rate for 12/06/2012")</f>
        <v>USD PKR rate for 12/06/2012</v>
      </c>
      <c r="I4235" s="9"/>
    </row>
    <row r="4236" spans="1:9" ht="14.25" customHeight="1" x14ac:dyDescent="0.3">
      <c r="A4236" s="6">
        <v>43953</v>
      </c>
      <c r="B4236" s="7">
        <v>160.375</v>
      </c>
      <c r="C4236" s="8">
        <f t="shared" si="33"/>
        <v>168.43247776613063</v>
      </c>
      <c r="D4236" s="9">
        <f t="shared" si="32"/>
        <v>73.332851474761014</v>
      </c>
      <c r="E4236" s="9"/>
      <c r="F4236" s="9">
        <f ca="1">IFERROR(__xludf.DUMMYFUNCTION("""COMPUTED_VALUE"""),41071)</f>
        <v>41071</v>
      </c>
      <c r="G4236" s="9" t="str">
        <f ca="1">IFERROR(__xludf.DUMMYFUNCTION("""COMPUTED_VALUE"""),"1 USD = 94.529 PKR")</f>
        <v>1 USD = 94.529 PKR</v>
      </c>
      <c r="H4236" s="9" t="str">
        <f ca="1">IFERROR(__xludf.DUMMYFUNCTION("""COMPUTED_VALUE"""),"USD PKR rate for 11/06/2012")</f>
        <v>USD PKR rate for 11/06/2012</v>
      </c>
      <c r="I4236" s="9"/>
    </row>
    <row r="4237" spans="1:9" ht="14.25" customHeight="1" x14ac:dyDescent="0.3">
      <c r="A4237" s="6">
        <v>43954</v>
      </c>
      <c r="B4237" s="7">
        <v>159.80250000000001</v>
      </c>
      <c r="C4237" s="8">
        <f t="shared" si="33"/>
        <v>168.46260187576308</v>
      </c>
      <c r="D4237" s="9">
        <f t="shared" si="32"/>
        <v>73.33558930755828</v>
      </c>
      <c r="E4237" s="9"/>
      <c r="F4237" s="9">
        <f ca="1">IFERROR(__xludf.DUMMYFUNCTION("""COMPUTED_VALUE"""),41070)</f>
        <v>41070</v>
      </c>
      <c r="G4237" s="9" t="str">
        <f ca="1">IFERROR(__xludf.DUMMYFUNCTION("""COMPUTED_VALUE"""),"1 USD = 93.8993 PKR")</f>
        <v>1 USD = 93.8993 PKR</v>
      </c>
      <c r="H4237" s="9" t="str">
        <f ca="1">IFERROR(__xludf.DUMMYFUNCTION("""COMPUTED_VALUE"""),"USD PKR rate for 10/06/2012")</f>
        <v>USD PKR rate for 10/06/2012</v>
      </c>
      <c r="I4237" s="9"/>
    </row>
    <row r="4238" spans="1:9" ht="14.25" customHeight="1" x14ac:dyDescent="0.3">
      <c r="A4238" s="6">
        <v>43955</v>
      </c>
      <c r="B4238" s="7">
        <v>158.4734</v>
      </c>
      <c r="C4238" s="8">
        <f t="shared" si="33"/>
        <v>168.49273137308558</v>
      </c>
      <c r="D4238" s="9">
        <f t="shared" si="32"/>
        <v>73.338327140355545</v>
      </c>
      <c r="E4238" s="9"/>
      <c r="F4238" s="9">
        <f ca="1">IFERROR(__xludf.DUMMYFUNCTION("""COMPUTED_VALUE"""),41069)</f>
        <v>41069</v>
      </c>
      <c r="G4238" s="9" t="str">
        <f ca="1">IFERROR(__xludf.DUMMYFUNCTION("""COMPUTED_VALUE"""),"1 USD = 94.2633 PKR")</f>
        <v>1 USD = 94.2633 PKR</v>
      </c>
      <c r="H4238" s="9" t="str">
        <f ca="1">IFERROR(__xludf.DUMMYFUNCTION("""COMPUTED_VALUE"""),"USD PKR rate for 09/06/2012")</f>
        <v>USD PKR rate for 09/06/2012</v>
      </c>
      <c r="I4238" s="9"/>
    </row>
    <row r="4239" spans="1:9" ht="14.25" customHeight="1" x14ac:dyDescent="0.3">
      <c r="A4239" s="6">
        <v>43956</v>
      </c>
      <c r="B4239" s="7">
        <v>159.5865</v>
      </c>
      <c r="C4239" s="8">
        <f t="shared" si="33"/>
        <v>168.52286625906154</v>
      </c>
      <c r="D4239" s="9">
        <f t="shared" si="32"/>
        <v>73.341064973152811</v>
      </c>
      <c r="E4239" s="9"/>
      <c r="F4239" s="9">
        <f ca="1">IFERROR(__xludf.DUMMYFUNCTION("""COMPUTED_VALUE"""),41068)</f>
        <v>41068</v>
      </c>
      <c r="G4239" s="9" t="str">
        <f ca="1">IFERROR(__xludf.DUMMYFUNCTION("""COMPUTED_VALUE"""),"1 USD = 94.2633 PKR")</f>
        <v>1 USD = 94.2633 PKR</v>
      </c>
      <c r="H4239" s="9" t="str">
        <f ca="1">IFERROR(__xludf.DUMMYFUNCTION("""COMPUTED_VALUE"""),"USD PKR rate for 08/06/2012")</f>
        <v>USD PKR rate for 08/06/2012</v>
      </c>
      <c r="I4239" s="9"/>
    </row>
    <row r="4240" spans="1:9" ht="14.25" customHeight="1" x14ac:dyDescent="0.3">
      <c r="A4240" s="6">
        <v>43957</v>
      </c>
      <c r="B4240" s="7">
        <v>159.26</v>
      </c>
      <c r="C4240" s="8">
        <f t="shared" si="33"/>
        <v>168.55300653465503</v>
      </c>
      <c r="D4240" s="9">
        <f t="shared" si="32"/>
        <v>73.343802805950077</v>
      </c>
      <c r="E4240" s="9"/>
      <c r="F4240" s="9">
        <f ca="1">IFERROR(__xludf.DUMMYFUNCTION("""COMPUTED_VALUE"""),41067)</f>
        <v>41067</v>
      </c>
      <c r="G4240" s="9" t="str">
        <f ca="1">IFERROR(__xludf.DUMMYFUNCTION("""COMPUTED_VALUE"""),"1 USD = 94.4126 PKR")</f>
        <v>1 USD = 94.4126 PKR</v>
      </c>
      <c r="H4240" s="9" t="str">
        <f ca="1">IFERROR(__xludf.DUMMYFUNCTION("""COMPUTED_VALUE"""),"USD PKR rate for 07/06/2012")</f>
        <v>USD PKR rate for 07/06/2012</v>
      </c>
      <c r="I4240" s="9"/>
    </row>
    <row r="4241" spans="1:9" ht="14.25" customHeight="1" x14ac:dyDescent="0.3">
      <c r="A4241" s="6">
        <v>43958</v>
      </c>
      <c r="B4241" s="7">
        <v>160.30340000000004</v>
      </c>
      <c r="C4241" s="8">
        <f t="shared" si="33"/>
        <v>168.58315220082983</v>
      </c>
      <c r="D4241" s="9">
        <f t="shared" si="32"/>
        <v>73.346540638747342</v>
      </c>
      <c r="E4241" s="9"/>
      <c r="F4241" s="9">
        <f ca="1">IFERROR(__xludf.DUMMYFUNCTION("""COMPUTED_VALUE"""),41066)</f>
        <v>41066</v>
      </c>
      <c r="G4241" s="9" t="str">
        <f ca="1">IFERROR(__xludf.DUMMYFUNCTION("""COMPUTED_VALUE"""),"1 USD = 94.1353 PKR")</f>
        <v>1 USD = 94.1353 PKR</v>
      </c>
      <c r="H4241" s="9" t="str">
        <f ca="1">IFERROR(__xludf.DUMMYFUNCTION("""COMPUTED_VALUE"""),"USD PKR rate for 06/06/2012")</f>
        <v>USD PKR rate for 06/06/2012</v>
      </c>
      <c r="I4241" s="9"/>
    </row>
    <row r="4242" spans="1:9" ht="14.25" customHeight="1" x14ac:dyDescent="0.3">
      <c r="A4242" s="6">
        <v>43959</v>
      </c>
      <c r="B4242" s="7">
        <v>159.6499</v>
      </c>
      <c r="C4242" s="8">
        <f t="shared" si="33"/>
        <v>168.61330325855005</v>
      </c>
      <c r="D4242" s="9">
        <f t="shared" si="32"/>
        <v>73.349278471544608</v>
      </c>
      <c r="E4242" s="9"/>
      <c r="F4242" s="9">
        <f ca="1">IFERROR(__xludf.DUMMYFUNCTION("""COMPUTED_VALUE"""),41065)</f>
        <v>41065</v>
      </c>
      <c r="G4242" s="9" t="str">
        <f ca="1">IFERROR(__xludf.DUMMYFUNCTION("""COMPUTED_VALUE"""),"1 USD = 93.8802 PKR")</f>
        <v>1 USD = 93.8802 PKR</v>
      </c>
      <c r="H4242" s="9" t="str">
        <f ca="1">IFERROR(__xludf.DUMMYFUNCTION("""COMPUTED_VALUE"""),"USD PKR rate for 05/06/2012")</f>
        <v>USD PKR rate for 05/06/2012</v>
      </c>
      <c r="I4242" s="9"/>
    </row>
    <row r="4243" spans="1:9" ht="14.25" customHeight="1" x14ac:dyDescent="0.3">
      <c r="A4243" s="6">
        <v>43960</v>
      </c>
      <c r="B4243" s="7">
        <v>159.6499</v>
      </c>
      <c r="C4243" s="8">
        <f t="shared" si="33"/>
        <v>168.64345970877994</v>
      </c>
      <c r="D4243" s="9">
        <f t="shared" si="32"/>
        <v>73.352016304341873</v>
      </c>
      <c r="E4243" s="9"/>
      <c r="F4243" s="9">
        <f ca="1">IFERROR(__xludf.DUMMYFUNCTION("""COMPUTED_VALUE"""),41064)</f>
        <v>41064</v>
      </c>
      <c r="G4243" s="9" t="str">
        <f ca="1">IFERROR(__xludf.DUMMYFUNCTION("""COMPUTED_VALUE"""),"1 USD = 93.8828 PKR")</f>
        <v>1 USD = 93.8828 PKR</v>
      </c>
      <c r="H4243" s="9" t="str">
        <f ca="1">IFERROR(__xludf.DUMMYFUNCTION("""COMPUTED_VALUE"""),"USD PKR rate for 04/06/2012")</f>
        <v>USD PKR rate for 04/06/2012</v>
      </c>
      <c r="I4243" s="9"/>
    </row>
    <row r="4244" spans="1:9" ht="14.25" customHeight="1" x14ac:dyDescent="0.3">
      <c r="A4244" s="6">
        <v>43961</v>
      </c>
      <c r="B4244" s="7">
        <v>159.749</v>
      </c>
      <c r="C4244" s="8">
        <f t="shared" si="33"/>
        <v>168.67362155248398</v>
      </c>
      <c r="D4244" s="9">
        <f t="shared" si="32"/>
        <v>73.354754137139139</v>
      </c>
      <c r="E4244" s="9"/>
      <c r="F4244" s="9">
        <f ca="1">IFERROR(__xludf.DUMMYFUNCTION("""COMPUTED_VALUE"""),41063)</f>
        <v>41063</v>
      </c>
      <c r="G4244" s="9" t="str">
        <f ca="1">IFERROR(__xludf.DUMMYFUNCTION("""COMPUTED_VALUE"""),"1 USD = 93.7234 PKR")</f>
        <v>1 USD = 93.7234 PKR</v>
      </c>
      <c r="H4244" s="9" t="str">
        <f ca="1">IFERROR(__xludf.DUMMYFUNCTION("""COMPUTED_VALUE"""),"USD PKR rate for 03/06/2012")</f>
        <v>USD PKR rate for 03/06/2012</v>
      </c>
      <c r="I4244" s="9"/>
    </row>
    <row r="4245" spans="1:9" ht="14.25" customHeight="1" x14ac:dyDescent="0.3">
      <c r="A4245" s="6">
        <v>43962</v>
      </c>
      <c r="B4245" s="7">
        <v>159.93260000000001</v>
      </c>
      <c r="C4245" s="8">
        <f t="shared" si="33"/>
        <v>168.70378879062679</v>
      </c>
      <c r="D4245" s="9">
        <f t="shared" si="32"/>
        <v>73.357491969936405</v>
      </c>
      <c r="E4245" s="9"/>
      <c r="F4245" s="9">
        <f ca="1">IFERROR(__xludf.DUMMYFUNCTION("""COMPUTED_VALUE"""),41062)</f>
        <v>41062</v>
      </c>
      <c r="G4245" s="9" t="str">
        <f ca="1">IFERROR(__xludf.DUMMYFUNCTION("""COMPUTED_VALUE"""),"1 USD = 93.6807 PKR")</f>
        <v>1 USD = 93.6807 PKR</v>
      </c>
      <c r="H4245" s="9" t="str">
        <f ca="1">IFERROR(__xludf.DUMMYFUNCTION("""COMPUTED_VALUE"""),"USD PKR rate for 02/06/2012")</f>
        <v>USD PKR rate for 02/06/2012</v>
      </c>
      <c r="I4245" s="9"/>
    </row>
    <row r="4246" spans="1:9" ht="14.25" customHeight="1" x14ac:dyDescent="0.3">
      <c r="A4246" s="6">
        <v>43963</v>
      </c>
      <c r="B4246" s="7">
        <v>160.27170000000001</v>
      </c>
      <c r="C4246" s="8">
        <f t="shared" si="33"/>
        <v>168.73396142417312</v>
      </c>
      <c r="D4246" s="9">
        <f t="shared" si="32"/>
        <v>73.36022980273367</v>
      </c>
      <c r="E4246" s="9"/>
      <c r="F4246" s="9">
        <f ca="1">IFERROR(__xludf.DUMMYFUNCTION("""COMPUTED_VALUE"""),41061)</f>
        <v>41061</v>
      </c>
      <c r="G4246" s="9" t="str">
        <f ca="1">IFERROR(__xludf.DUMMYFUNCTION("""COMPUTED_VALUE"""),"1 USD = 93.5048 PKR")</f>
        <v>1 USD = 93.5048 PKR</v>
      </c>
      <c r="H4246" s="9" t="str">
        <f ca="1">IFERROR(__xludf.DUMMYFUNCTION("""COMPUTED_VALUE"""),"USD PKR rate for 01/06/2012")</f>
        <v>USD PKR rate for 01/06/2012</v>
      </c>
      <c r="I4246" s="9"/>
    </row>
    <row r="4247" spans="1:9" ht="14.25" customHeight="1" x14ac:dyDescent="0.3">
      <c r="A4247" s="6">
        <v>43964</v>
      </c>
      <c r="B4247" s="7">
        <v>160.6661</v>
      </c>
      <c r="C4247" s="8">
        <f t="shared" si="33"/>
        <v>168.764139454088</v>
      </c>
      <c r="D4247" s="9">
        <f t="shared" si="32"/>
        <v>73.362967635530936</v>
      </c>
      <c r="E4247" s="9"/>
      <c r="F4247" s="9">
        <f ca="1">IFERROR(__xludf.DUMMYFUNCTION("""COMPUTED_VALUE"""),41060)</f>
        <v>41060</v>
      </c>
      <c r="G4247" s="9" t="str">
        <f ca="1">IFERROR(__xludf.DUMMYFUNCTION("""COMPUTED_VALUE"""),"1 USD = 93.6442 PKR")</f>
        <v>1 USD = 93.6442 PKR</v>
      </c>
      <c r="H4247" s="9" t="str">
        <f ca="1">IFERROR(__xludf.DUMMYFUNCTION("""COMPUTED_VALUE"""),"USD PKR rate for 31/05/2012")</f>
        <v>USD PKR rate for 31/05/2012</v>
      </c>
      <c r="I4247" s="9"/>
    </row>
    <row r="4248" spans="1:9" ht="14.25" customHeight="1" x14ac:dyDescent="0.3">
      <c r="A4248" s="6">
        <v>43965</v>
      </c>
      <c r="B4248" s="7">
        <v>160.3578</v>
      </c>
      <c r="C4248" s="8">
        <f t="shared" si="33"/>
        <v>168.79432288133637</v>
      </c>
      <c r="D4248" s="9">
        <f t="shared" si="32"/>
        <v>73.365705468328201</v>
      </c>
      <c r="E4248" s="9"/>
      <c r="F4248" s="9">
        <f ca="1">IFERROR(__xludf.DUMMYFUNCTION("""COMPUTED_VALUE"""),41059)</f>
        <v>41059</v>
      </c>
      <c r="G4248" s="9" t="str">
        <f ca="1">IFERROR(__xludf.DUMMYFUNCTION("""COMPUTED_VALUE"""),"1 USD = 93.1242 PKR")</f>
        <v>1 USD = 93.1242 PKR</v>
      </c>
      <c r="H4248" s="9" t="str">
        <f ca="1">IFERROR(__xludf.DUMMYFUNCTION("""COMPUTED_VALUE"""),"USD PKR rate for 30/05/2012")</f>
        <v>USD PKR rate for 30/05/2012</v>
      </c>
      <c r="I4248" s="9"/>
    </row>
    <row r="4249" spans="1:9" ht="14.25" customHeight="1" x14ac:dyDescent="0.3">
      <c r="A4249" s="6">
        <v>43966</v>
      </c>
      <c r="B4249" s="7">
        <v>159.99600000000001</v>
      </c>
      <c r="C4249" s="8">
        <f t="shared" si="33"/>
        <v>168.8245117068839</v>
      </c>
      <c r="D4249" s="9">
        <f t="shared" si="32"/>
        <v>73.368443301125467</v>
      </c>
      <c r="E4249" s="9"/>
      <c r="F4249" s="9">
        <f ca="1">IFERROR(__xludf.DUMMYFUNCTION("""COMPUTED_VALUE"""),41058)</f>
        <v>41058</v>
      </c>
      <c r="G4249" s="9" t="str">
        <f ca="1">IFERROR(__xludf.DUMMYFUNCTION("""COMPUTED_VALUE"""),"1 USD = 92.9162 PKR")</f>
        <v>1 USD = 92.9162 PKR</v>
      </c>
      <c r="H4249" s="9" t="str">
        <f ca="1">IFERROR(__xludf.DUMMYFUNCTION("""COMPUTED_VALUE"""),"USD PKR rate for 29/05/2012")</f>
        <v>USD PKR rate for 29/05/2012</v>
      </c>
      <c r="I4249" s="9"/>
    </row>
    <row r="4250" spans="1:9" ht="14.25" customHeight="1" x14ac:dyDescent="0.3">
      <c r="A4250" s="6">
        <v>43967</v>
      </c>
      <c r="B4250" s="7">
        <v>159.99600000000001</v>
      </c>
      <c r="C4250" s="8">
        <f t="shared" si="33"/>
        <v>168.85470593169583</v>
      </c>
      <c r="D4250" s="9">
        <f t="shared" si="32"/>
        <v>73.371181133922732</v>
      </c>
      <c r="E4250" s="9"/>
      <c r="F4250" s="9">
        <f ca="1">IFERROR(__xludf.DUMMYFUNCTION("""COMPUTED_VALUE"""),41057)</f>
        <v>41057</v>
      </c>
      <c r="G4250" s="9" t="str">
        <f ca="1">IFERROR(__xludf.DUMMYFUNCTION("""COMPUTED_VALUE"""),"1 USD = 91.8156 PKR")</f>
        <v>1 USD = 91.8156 PKR</v>
      </c>
      <c r="H4250" s="9" t="str">
        <f ca="1">IFERROR(__xludf.DUMMYFUNCTION("""COMPUTED_VALUE"""),"USD PKR rate for 28/05/2012")</f>
        <v>USD PKR rate for 28/05/2012</v>
      </c>
      <c r="I4250" s="9"/>
    </row>
    <row r="4251" spans="1:9" ht="14.25" customHeight="1" x14ac:dyDescent="0.3">
      <c r="A4251" s="6">
        <v>43968</v>
      </c>
      <c r="B4251" s="7">
        <v>160.0504</v>
      </c>
      <c r="C4251" s="8">
        <f t="shared" si="33"/>
        <v>168.88490555673789</v>
      </c>
      <c r="D4251" s="9">
        <f t="shared" si="32"/>
        <v>73.373918966719998</v>
      </c>
      <c r="E4251" s="9"/>
      <c r="F4251" s="9">
        <f ca="1">IFERROR(__xludf.DUMMYFUNCTION("""COMPUTED_VALUE"""),41056)</f>
        <v>41056</v>
      </c>
      <c r="G4251" s="9" t="str">
        <f ca="1">IFERROR(__xludf.DUMMYFUNCTION("""COMPUTED_VALUE"""),"1 USD = 91.6341 PKR")</f>
        <v>1 USD = 91.6341 PKR</v>
      </c>
      <c r="H4251" s="9" t="str">
        <f ca="1">IFERROR(__xludf.DUMMYFUNCTION("""COMPUTED_VALUE"""),"USD PKR rate for 27/05/2012")</f>
        <v>USD PKR rate for 27/05/2012</v>
      </c>
      <c r="I4251" s="9"/>
    </row>
    <row r="4252" spans="1:9" ht="14.25" customHeight="1" x14ac:dyDescent="0.3">
      <c r="A4252" s="6">
        <v>43969</v>
      </c>
      <c r="B4252" s="7">
        <v>160.47999999999999</v>
      </c>
      <c r="C4252" s="8">
        <f t="shared" si="33"/>
        <v>168.91511058297593</v>
      </c>
      <c r="D4252" s="9">
        <f t="shared" si="32"/>
        <v>73.376656799517264</v>
      </c>
      <c r="E4252" s="9"/>
      <c r="F4252" s="9">
        <f ca="1">IFERROR(__xludf.DUMMYFUNCTION("""COMPUTED_VALUE"""),41055)</f>
        <v>41055</v>
      </c>
      <c r="G4252" s="9" t="str">
        <f ca="1">IFERROR(__xludf.DUMMYFUNCTION("""COMPUTED_VALUE"""),"1 USD = 91.8097 PKR")</f>
        <v>1 USD = 91.8097 PKR</v>
      </c>
      <c r="H4252" s="9" t="str">
        <f ca="1">IFERROR(__xludf.DUMMYFUNCTION("""COMPUTED_VALUE"""),"USD PKR rate for 26/05/2012")</f>
        <v>USD PKR rate for 26/05/2012</v>
      </c>
      <c r="I4252" s="9"/>
    </row>
    <row r="4253" spans="1:9" ht="14.25" customHeight="1" x14ac:dyDescent="0.3">
      <c r="A4253" s="6">
        <v>43970</v>
      </c>
      <c r="B4253" s="7">
        <v>160.5155</v>
      </c>
      <c r="C4253" s="8">
        <f t="shared" si="33"/>
        <v>168.94532101137591</v>
      </c>
      <c r="D4253" s="9">
        <f t="shared" si="32"/>
        <v>73.379394632314529</v>
      </c>
      <c r="E4253" s="9"/>
      <c r="F4253" s="9">
        <f ca="1">IFERROR(__xludf.DUMMYFUNCTION("""COMPUTED_VALUE"""),41054)</f>
        <v>41054</v>
      </c>
      <c r="G4253" s="9" t="str">
        <f ca="1">IFERROR(__xludf.DUMMYFUNCTION("""COMPUTED_VALUE"""),"1 USD = 91.8097 PKR")</f>
        <v>1 USD = 91.8097 PKR</v>
      </c>
      <c r="H4253" s="9" t="str">
        <f ca="1">IFERROR(__xludf.DUMMYFUNCTION("""COMPUTED_VALUE"""),"USD PKR rate for 25/05/2012")</f>
        <v>USD PKR rate for 25/05/2012</v>
      </c>
      <c r="I4253" s="9"/>
    </row>
    <row r="4254" spans="1:9" ht="14.25" customHeight="1" x14ac:dyDescent="0.3">
      <c r="A4254" s="6">
        <v>43971</v>
      </c>
      <c r="B4254" s="7">
        <v>160.5</v>
      </c>
      <c r="C4254" s="8">
        <f t="shared" si="33"/>
        <v>168.97553684290398</v>
      </c>
      <c r="D4254" s="9">
        <f t="shared" si="32"/>
        <v>73.382132465111795</v>
      </c>
      <c r="E4254" s="9"/>
      <c r="F4254" s="9">
        <f ca="1">IFERROR(__xludf.DUMMYFUNCTION("""COMPUTED_VALUE"""),41053)</f>
        <v>41053</v>
      </c>
      <c r="G4254" s="9" t="str">
        <f ca="1">IFERROR(__xludf.DUMMYFUNCTION("""COMPUTED_VALUE"""),"1 USD = 91.9736 PKR")</f>
        <v>1 USD = 91.9736 PKR</v>
      </c>
      <c r="H4254" s="9" t="str">
        <f ca="1">IFERROR(__xludf.DUMMYFUNCTION("""COMPUTED_VALUE"""),"USD PKR rate for 24/05/2012")</f>
        <v>USD PKR rate for 24/05/2012</v>
      </c>
      <c r="I4254" s="9"/>
    </row>
    <row r="4255" spans="1:9" ht="14.25" customHeight="1" x14ac:dyDescent="0.3">
      <c r="A4255" s="6">
        <v>43972</v>
      </c>
      <c r="B4255" s="7">
        <v>160.5385</v>
      </c>
      <c r="C4255" s="8">
        <f t="shared" si="33"/>
        <v>169.00575807852653</v>
      </c>
      <c r="D4255" s="9">
        <f t="shared" si="32"/>
        <v>73.38487029790906</v>
      </c>
      <c r="E4255" s="9"/>
      <c r="F4255" s="9">
        <f ca="1">IFERROR(__xludf.DUMMYFUNCTION("""COMPUTED_VALUE"""),41052)</f>
        <v>41052</v>
      </c>
      <c r="G4255" s="9" t="str">
        <f ca="1">IFERROR(__xludf.DUMMYFUNCTION("""COMPUTED_VALUE"""),"1 USD = 91.9969 PKR")</f>
        <v>1 USD = 91.9969 PKR</v>
      </c>
      <c r="H4255" s="9" t="str">
        <f ca="1">IFERROR(__xludf.DUMMYFUNCTION("""COMPUTED_VALUE"""),"USD PKR rate for 23/05/2012")</f>
        <v>USD PKR rate for 23/05/2012</v>
      </c>
      <c r="I4255" s="9"/>
    </row>
    <row r="4256" spans="1:9" ht="14.25" customHeight="1" x14ac:dyDescent="0.3">
      <c r="A4256" s="6">
        <v>43973</v>
      </c>
      <c r="B4256" s="7">
        <v>160.6045</v>
      </c>
      <c r="C4256" s="8">
        <f t="shared" si="33"/>
        <v>169.03598471921006</v>
      </c>
      <c r="D4256" s="9">
        <f t="shared" si="32"/>
        <v>73.387608130706326</v>
      </c>
      <c r="E4256" s="9"/>
      <c r="F4256" s="9">
        <f ca="1">IFERROR(__xludf.DUMMYFUNCTION("""COMPUTED_VALUE"""),41051)</f>
        <v>41051</v>
      </c>
      <c r="G4256" s="9" t="str">
        <f ca="1">IFERROR(__xludf.DUMMYFUNCTION("""COMPUTED_VALUE"""),"1 USD = 91.5075 PKR")</f>
        <v>1 USD = 91.5075 PKR</v>
      </c>
      <c r="H4256" s="9" t="str">
        <f ca="1">IFERROR(__xludf.DUMMYFUNCTION("""COMPUTED_VALUE"""),"USD PKR rate for 22/05/2012")</f>
        <v>USD PKR rate for 22/05/2012</v>
      </c>
      <c r="I4256" s="9"/>
    </row>
    <row r="4257" spans="1:9" ht="14.25" customHeight="1" x14ac:dyDescent="0.3">
      <c r="A4257" s="6">
        <v>43974</v>
      </c>
      <c r="B4257" s="7">
        <v>160.60079999999999</v>
      </c>
      <c r="C4257" s="8">
        <f t="shared" si="33"/>
        <v>169.06621676592115</v>
      </c>
      <c r="D4257" s="9">
        <f t="shared" si="32"/>
        <v>73.390345963503592</v>
      </c>
      <c r="E4257" s="9"/>
      <c r="F4257" s="9">
        <f ca="1">IFERROR(__xludf.DUMMYFUNCTION("""COMPUTED_VALUE"""),41050)</f>
        <v>41050</v>
      </c>
      <c r="G4257" s="9" t="str">
        <f ca="1">IFERROR(__xludf.DUMMYFUNCTION("""COMPUTED_VALUE"""),"1 USD = 91.3022 PKR")</f>
        <v>1 USD = 91.3022 PKR</v>
      </c>
      <c r="H4257" s="9" t="str">
        <f ca="1">IFERROR(__xludf.DUMMYFUNCTION("""COMPUTED_VALUE"""),"USD PKR rate for 21/05/2012")</f>
        <v>USD PKR rate for 21/05/2012</v>
      </c>
      <c r="I4257" s="9"/>
    </row>
    <row r="4258" spans="1:9" ht="14.25" customHeight="1" x14ac:dyDescent="0.3">
      <c r="A4258" s="6">
        <v>43975</v>
      </c>
      <c r="B4258" s="7">
        <v>160.4913</v>
      </c>
      <c r="C4258" s="8">
        <f t="shared" si="33"/>
        <v>169.09645421962691</v>
      </c>
      <c r="D4258" s="9">
        <f t="shared" si="32"/>
        <v>73.393083796300857</v>
      </c>
      <c r="E4258" s="9"/>
      <c r="F4258" s="9">
        <f ca="1">IFERROR(__xludf.DUMMYFUNCTION("""COMPUTED_VALUE"""),41049)</f>
        <v>41049</v>
      </c>
      <c r="G4258" s="9" t="str">
        <f ca="1">IFERROR(__xludf.DUMMYFUNCTION("""COMPUTED_VALUE"""),"1 USD = 91.0312 PKR")</f>
        <v>1 USD = 91.0312 PKR</v>
      </c>
      <c r="H4258" s="9" t="str">
        <f ca="1">IFERROR(__xludf.DUMMYFUNCTION("""COMPUTED_VALUE"""),"USD PKR rate for 20/05/2012")</f>
        <v>USD PKR rate for 20/05/2012</v>
      </c>
      <c r="I4258" s="9"/>
    </row>
    <row r="4259" spans="1:9" ht="14.25" customHeight="1" x14ac:dyDescent="0.3">
      <c r="A4259" s="6">
        <v>43976</v>
      </c>
      <c r="B4259" s="7">
        <v>161.23099999999999</v>
      </c>
      <c r="C4259" s="8">
        <f t="shared" si="33"/>
        <v>169.12669708129428</v>
      </c>
      <c r="D4259" s="9">
        <f t="shared" si="32"/>
        <v>73.395821629098123</v>
      </c>
      <c r="E4259" s="9"/>
      <c r="F4259" s="9">
        <f ca="1">IFERROR(__xludf.DUMMYFUNCTION("""COMPUTED_VALUE"""),41048)</f>
        <v>41048</v>
      </c>
      <c r="G4259" s="9" t="str">
        <f ca="1">IFERROR(__xludf.DUMMYFUNCTION("""COMPUTED_VALUE"""),"1 USD = 90.9219 PKR")</f>
        <v>1 USD = 90.9219 PKR</v>
      </c>
      <c r="H4259" s="9" t="str">
        <f ca="1">IFERROR(__xludf.DUMMYFUNCTION("""COMPUTED_VALUE"""),"USD PKR rate for 19/05/2012")</f>
        <v>USD PKR rate for 19/05/2012</v>
      </c>
      <c r="I4259" s="9"/>
    </row>
    <row r="4260" spans="1:9" ht="14.25" customHeight="1" x14ac:dyDescent="0.3">
      <c r="A4260" s="6">
        <v>43977</v>
      </c>
      <c r="B4260" s="7">
        <v>161.1626</v>
      </c>
      <c r="C4260" s="8">
        <f t="shared" si="33"/>
        <v>169.15694535189047</v>
      </c>
      <c r="D4260" s="9">
        <f t="shared" si="32"/>
        <v>73.398559461895388</v>
      </c>
      <c r="E4260" s="9"/>
      <c r="F4260" s="9">
        <f ca="1">IFERROR(__xludf.DUMMYFUNCTION("""COMPUTED_VALUE"""),41047)</f>
        <v>41047</v>
      </c>
      <c r="G4260" s="9" t="str">
        <f ca="1">IFERROR(__xludf.DUMMYFUNCTION("""COMPUTED_VALUE"""),"1 USD = 90.9219 PKR")</f>
        <v>1 USD = 90.9219 PKR</v>
      </c>
      <c r="H4260" s="9" t="str">
        <f ca="1">IFERROR(__xludf.DUMMYFUNCTION("""COMPUTED_VALUE"""),"USD PKR rate for 18/05/2012")</f>
        <v>USD PKR rate for 18/05/2012</v>
      </c>
      <c r="I4260" s="9"/>
    </row>
    <row r="4261" spans="1:9" ht="14.25" customHeight="1" x14ac:dyDescent="0.3">
      <c r="A4261" s="6">
        <v>43978</v>
      </c>
      <c r="B4261" s="7">
        <v>160.88499999999999</v>
      </c>
      <c r="C4261" s="8">
        <f t="shared" si="33"/>
        <v>169.18719903238281</v>
      </c>
      <c r="D4261" s="9">
        <f t="shared" si="32"/>
        <v>73.401297294692654</v>
      </c>
      <c r="E4261" s="9"/>
      <c r="F4261" s="9">
        <f ca="1">IFERROR(__xludf.DUMMYFUNCTION("""COMPUTED_VALUE"""),41046)</f>
        <v>41046</v>
      </c>
      <c r="G4261" s="9" t="str">
        <f ca="1">IFERROR(__xludf.DUMMYFUNCTION("""COMPUTED_VALUE"""),"1 USD = 90.8771 PKR")</f>
        <v>1 USD = 90.8771 PKR</v>
      </c>
      <c r="H4261" s="9" t="str">
        <f ca="1">IFERROR(__xludf.DUMMYFUNCTION("""COMPUTED_VALUE"""),"USD PKR rate for 17/05/2012")</f>
        <v>USD PKR rate for 17/05/2012</v>
      </c>
      <c r="I4261" s="9"/>
    </row>
    <row r="4262" spans="1:9" ht="14.25" customHeight="1" x14ac:dyDescent="0.3">
      <c r="A4262" s="6">
        <v>43979</v>
      </c>
      <c r="B4262" s="7">
        <v>161.12649999999999</v>
      </c>
      <c r="C4262" s="8">
        <f t="shared" si="33"/>
        <v>169.21745812373894</v>
      </c>
      <c r="D4262" s="9">
        <f t="shared" si="32"/>
        <v>73.404035127489919</v>
      </c>
      <c r="E4262" s="9"/>
      <c r="F4262" s="9">
        <f ca="1">IFERROR(__xludf.DUMMYFUNCTION("""COMPUTED_VALUE"""),41045)</f>
        <v>41045</v>
      </c>
      <c r="G4262" s="9" t="str">
        <f ca="1">IFERROR(__xludf.DUMMYFUNCTION("""COMPUTED_VALUE"""),"1 USD = 90.8811 PKR")</f>
        <v>1 USD = 90.8811 PKR</v>
      </c>
      <c r="H4262" s="9" t="str">
        <f ca="1">IFERROR(__xludf.DUMMYFUNCTION("""COMPUTED_VALUE"""),"USD PKR rate for 16/05/2012")</f>
        <v>USD PKR rate for 16/05/2012</v>
      </c>
      <c r="I4262" s="9"/>
    </row>
    <row r="4263" spans="1:9" ht="14.25" customHeight="1" x14ac:dyDescent="0.3">
      <c r="A4263" s="6">
        <v>43980</v>
      </c>
      <c r="B4263" s="7">
        <v>160.95650000000001</v>
      </c>
      <c r="C4263" s="8">
        <f t="shared" si="33"/>
        <v>169.24772262692653</v>
      </c>
      <c r="D4263" s="9">
        <f t="shared" si="32"/>
        <v>73.406772960287185</v>
      </c>
      <c r="E4263" s="9"/>
      <c r="F4263" s="9">
        <f ca="1">IFERROR(__xludf.DUMMYFUNCTION("""COMPUTED_VALUE"""),41044)</f>
        <v>41044</v>
      </c>
      <c r="G4263" s="9" t="str">
        <f ca="1">IFERROR(__xludf.DUMMYFUNCTION("""COMPUTED_VALUE"""),"1 USD = 90.9362 PKR")</f>
        <v>1 USD = 90.9362 PKR</v>
      </c>
      <c r="H4263" s="9" t="str">
        <f ca="1">IFERROR(__xludf.DUMMYFUNCTION("""COMPUTED_VALUE"""),"USD PKR rate for 15/05/2012")</f>
        <v>USD PKR rate for 15/05/2012</v>
      </c>
      <c r="I4263" s="9"/>
    </row>
    <row r="4264" spans="1:9" ht="14.25" customHeight="1" x14ac:dyDescent="0.3">
      <c r="A4264" s="6">
        <v>43981</v>
      </c>
      <c r="B4264" s="7">
        <v>160.95650000000001</v>
      </c>
      <c r="C4264" s="8">
        <f t="shared" si="33"/>
        <v>169.27799254291349</v>
      </c>
      <c r="D4264" s="9">
        <f t="shared" si="32"/>
        <v>73.409510793084451</v>
      </c>
      <c r="E4264" s="9"/>
      <c r="F4264" s="9">
        <f ca="1">IFERROR(__xludf.DUMMYFUNCTION("""COMPUTED_VALUE"""),41043)</f>
        <v>41043</v>
      </c>
      <c r="G4264" s="9" t="str">
        <f ca="1">IFERROR(__xludf.DUMMYFUNCTION("""COMPUTED_VALUE"""),"1 USD = 90.8768 PKR")</f>
        <v>1 USD = 90.8768 PKR</v>
      </c>
      <c r="H4264" s="9" t="str">
        <f ca="1">IFERROR(__xludf.DUMMYFUNCTION("""COMPUTED_VALUE"""),"USD PKR rate for 14/05/2012")</f>
        <v>USD PKR rate for 14/05/2012</v>
      </c>
      <c r="I4264" s="9"/>
    </row>
    <row r="4265" spans="1:9" ht="14.25" customHeight="1" x14ac:dyDescent="0.3">
      <c r="A4265" s="6">
        <v>43982</v>
      </c>
      <c r="B4265" s="7">
        <v>162.86600000000001</v>
      </c>
      <c r="C4265" s="8">
        <f t="shared" si="33"/>
        <v>169.30826787266793</v>
      </c>
      <c r="D4265" s="9">
        <f t="shared" si="32"/>
        <v>73.412248625881716</v>
      </c>
      <c r="E4265" s="9"/>
      <c r="F4265" s="9">
        <f ca="1">IFERROR(__xludf.DUMMYFUNCTION("""COMPUTED_VALUE"""),41042)</f>
        <v>41042</v>
      </c>
      <c r="G4265" s="9" t="str">
        <f ca="1">IFERROR(__xludf.DUMMYFUNCTION("""COMPUTED_VALUE"""),"1 USD = 91.0257 PKR")</f>
        <v>1 USD = 91.0257 PKR</v>
      </c>
      <c r="H4265" s="9" t="str">
        <f ca="1">IFERROR(__xludf.DUMMYFUNCTION("""COMPUTED_VALUE"""),"USD PKR rate for 13/05/2012")</f>
        <v>USD PKR rate for 13/05/2012</v>
      </c>
      <c r="I4265" s="9"/>
    </row>
    <row r="4266" spans="1:9" ht="14.25" customHeight="1" x14ac:dyDescent="0.3">
      <c r="A4266" s="6">
        <v>43983</v>
      </c>
      <c r="B4266" s="7">
        <v>163.05220000000003</v>
      </c>
      <c r="C4266" s="8">
        <f t="shared" si="33"/>
        <v>169.33854861715793</v>
      </c>
      <c r="D4266" s="9">
        <f t="shared" si="32"/>
        <v>73.414986458678982</v>
      </c>
      <c r="E4266" s="9"/>
      <c r="F4266" s="9">
        <f ca="1">IFERROR(__xludf.DUMMYFUNCTION("""COMPUTED_VALUE"""),41041)</f>
        <v>41041</v>
      </c>
      <c r="G4266" s="9" t="str">
        <f ca="1">IFERROR(__xludf.DUMMYFUNCTION("""COMPUTED_VALUE"""),"1 USD = 90.9804 PKR")</f>
        <v>1 USD = 90.9804 PKR</v>
      </c>
      <c r="H4266" s="9" t="str">
        <f ca="1">IFERROR(__xludf.DUMMYFUNCTION("""COMPUTED_VALUE"""),"USD PKR rate for 12/05/2012")</f>
        <v>USD PKR rate for 12/05/2012</v>
      </c>
      <c r="I4266" s="9"/>
    </row>
    <row r="4267" spans="1:9" ht="14.25" customHeight="1" x14ac:dyDescent="0.3">
      <c r="A4267" s="6">
        <v>43984</v>
      </c>
      <c r="B4267" s="7">
        <v>165.5</v>
      </c>
      <c r="C4267" s="8">
        <f t="shared" si="33"/>
        <v>169.36883477735222</v>
      </c>
      <c r="D4267" s="9">
        <f t="shared" si="32"/>
        <v>73.417724291476247</v>
      </c>
      <c r="E4267" s="9"/>
      <c r="F4267" s="9">
        <f ca="1">IFERROR(__xludf.DUMMYFUNCTION("""COMPUTED_VALUE"""),41040)</f>
        <v>41040</v>
      </c>
      <c r="G4267" s="9" t="str">
        <f ca="1">IFERROR(__xludf.DUMMYFUNCTION("""COMPUTED_VALUE"""),"1 USD = 90.9803 PKR")</f>
        <v>1 USD = 90.9803 PKR</v>
      </c>
      <c r="H4267" s="9" t="str">
        <f ca="1">IFERROR(__xludf.DUMMYFUNCTION("""COMPUTED_VALUE"""),"USD PKR rate for 11/05/2012")</f>
        <v>USD PKR rate for 11/05/2012</v>
      </c>
      <c r="I4267" s="9"/>
    </row>
    <row r="4268" spans="1:9" ht="14.25" customHeight="1" x14ac:dyDescent="0.3">
      <c r="A4268" s="6">
        <v>43985</v>
      </c>
      <c r="B4268" s="7">
        <v>164.99279999999999</v>
      </c>
      <c r="C4268" s="8">
        <f t="shared" si="33"/>
        <v>169.39912635421925</v>
      </c>
      <c r="D4268" s="9">
        <f t="shared" si="32"/>
        <v>73.420462124273513</v>
      </c>
      <c r="E4268" s="9"/>
      <c r="F4268" s="9">
        <f ca="1">IFERROR(__xludf.DUMMYFUNCTION("""COMPUTED_VALUE"""),41039)</f>
        <v>41039</v>
      </c>
      <c r="G4268" s="9" t="str">
        <f ca="1">IFERROR(__xludf.DUMMYFUNCTION("""COMPUTED_VALUE"""),"1 USD = 90.9176 PKR")</f>
        <v>1 USD = 90.9176 PKR</v>
      </c>
      <c r="H4268" s="9" t="str">
        <f ca="1">IFERROR(__xludf.DUMMYFUNCTION("""COMPUTED_VALUE"""),"USD PKR rate for 10/05/2012")</f>
        <v>USD PKR rate for 10/05/2012</v>
      </c>
      <c r="I4268" s="9"/>
    </row>
    <row r="4269" spans="1:9" ht="14.25" customHeight="1" x14ac:dyDescent="0.3">
      <c r="A4269" s="6">
        <v>43986</v>
      </c>
      <c r="B4269" s="7">
        <v>163.5539</v>
      </c>
      <c r="C4269" s="8">
        <f t="shared" si="33"/>
        <v>169.42942334872779</v>
      </c>
      <c r="D4269" s="9">
        <f t="shared" si="32"/>
        <v>73.423199957070779</v>
      </c>
      <c r="E4269" s="9"/>
      <c r="F4269" s="9">
        <f ca="1">IFERROR(__xludf.DUMMYFUNCTION("""COMPUTED_VALUE"""),41038)</f>
        <v>41038</v>
      </c>
      <c r="G4269" s="9" t="str">
        <f ca="1">IFERROR(__xludf.DUMMYFUNCTION("""COMPUTED_VALUE"""),"1 USD = 90.896 PKR")</f>
        <v>1 USD = 90.896 PKR</v>
      </c>
      <c r="H4269" s="9" t="str">
        <f ca="1">IFERROR(__xludf.DUMMYFUNCTION("""COMPUTED_VALUE"""),"USD PKR rate for 09/05/2012")</f>
        <v>USD PKR rate for 09/05/2012</v>
      </c>
      <c r="I4269" s="9"/>
    </row>
    <row r="4270" spans="1:9" ht="14.25" customHeight="1" x14ac:dyDescent="0.3">
      <c r="A4270" s="6">
        <v>43987</v>
      </c>
      <c r="B4270" s="7">
        <v>163.46870000000001</v>
      </c>
      <c r="C4270" s="8">
        <f t="shared" si="33"/>
        <v>169.45972576184676</v>
      </c>
      <c r="D4270" s="9">
        <f t="shared" si="32"/>
        <v>73.425937789868044</v>
      </c>
      <c r="E4270" s="9"/>
      <c r="F4270" s="9">
        <f ca="1">IFERROR(__xludf.DUMMYFUNCTION("""COMPUTED_VALUE"""),41037)</f>
        <v>41037</v>
      </c>
      <c r="G4270" s="9" t="str">
        <f ca="1">IFERROR(__xludf.DUMMYFUNCTION("""COMPUTED_VALUE"""),"1 USD = 90.9107 PKR")</f>
        <v>1 USD = 90.9107 PKR</v>
      </c>
      <c r="H4270" s="9" t="str">
        <f ca="1">IFERROR(__xludf.DUMMYFUNCTION("""COMPUTED_VALUE"""),"USD PKR rate for 08/05/2012")</f>
        <v>USD PKR rate for 08/05/2012</v>
      </c>
      <c r="I4270" s="9"/>
    </row>
    <row r="4271" spans="1:9" ht="14.25" customHeight="1" x14ac:dyDescent="0.3">
      <c r="A4271" s="6">
        <v>43988</v>
      </c>
      <c r="B4271" s="7">
        <v>163.46870000000001</v>
      </c>
      <c r="C4271" s="8">
        <f t="shared" si="33"/>
        <v>169.49003359454531</v>
      </c>
      <c r="D4271" s="9">
        <f t="shared" si="32"/>
        <v>73.42867562266531</v>
      </c>
      <c r="E4271" s="9"/>
      <c r="F4271" s="9">
        <f ca="1">IFERROR(__xludf.DUMMYFUNCTION("""COMPUTED_VALUE"""),41036)</f>
        <v>41036</v>
      </c>
      <c r="G4271" s="9" t="str">
        <f ca="1">IFERROR(__xludf.DUMMYFUNCTION("""COMPUTED_VALUE"""),"1 USD = 90.8282 PKR")</f>
        <v>1 USD = 90.8282 PKR</v>
      </c>
      <c r="H4271" s="9" t="str">
        <f ca="1">IFERROR(__xludf.DUMMYFUNCTION("""COMPUTED_VALUE"""),"USD PKR rate for 07/05/2012")</f>
        <v>USD PKR rate for 07/05/2012</v>
      </c>
      <c r="I4271" s="9"/>
    </row>
    <row r="4272" spans="1:9" ht="14.25" customHeight="1" x14ac:dyDescent="0.3">
      <c r="A4272" s="6">
        <v>43989</v>
      </c>
      <c r="B4272" s="7">
        <v>163.34829999999999</v>
      </c>
      <c r="C4272" s="8">
        <f t="shared" si="33"/>
        <v>169.52034684779269</v>
      </c>
      <c r="D4272" s="9">
        <f t="shared" si="32"/>
        <v>73.431413455462575</v>
      </c>
      <c r="E4272" s="9"/>
      <c r="F4272" s="9">
        <f ca="1">IFERROR(__xludf.DUMMYFUNCTION("""COMPUTED_VALUE"""),41035)</f>
        <v>41035</v>
      </c>
      <c r="G4272" s="9" t="str">
        <f ca="1">IFERROR(__xludf.DUMMYFUNCTION("""COMPUTED_VALUE"""),"1 USD = 90.9233 PKR")</f>
        <v>1 USD = 90.9233 PKR</v>
      </c>
      <c r="H4272" s="9" t="str">
        <f ca="1">IFERROR(__xludf.DUMMYFUNCTION("""COMPUTED_VALUE"""),"USD PKR rate for 06/05/2012")</f>
        <v>USD PKR rate for 06/05/2012</v>
      </c>
      <c r="I4272" s="9"/>
    </row>
    <row r="4273" spans="1:9" ht="14.25" customHeight="1" x14ac:dyDescent="0.3">
      <c r="A4273" s="6">
        <v>43990</v>
      </c>
      <c r="B4273" s="7">
        <v>163.3348</v>
      </c>
      <c r="C4273" s="8">
        <f t="shared" si="33"/>
        <v>169.55066552255843</v>
      </c>
      <c r="D4273" s="9">
        <f t="shared" si="32"/>
        <v>73.434151288259841</v>
      </c>
      <c r="E4273" s="9"/>
      <c r="F4273" s="9">
        <f ca="1">IFERROR(__xludf.DUMMYFUNCTION("""COMPUTED_VALUE"""),41034)</f>
        <v>41034</v>
      </c>
      <c r="G4273" s="9" t="str">
        <f ca="1">IFERROR(__xludf.DUMMYFUNCTION("""COMPUTED_VALUE"""),"1 USD = 90.7995 PKR")</f>
        <v>1 USD = 90.7995 PKR</v>
      </c>
      <c r="H4273" s="9" t="str">
        <f ca="1">IFERROR(__xludf.DUMMYFUNCTION("""COMPUTED_VALUE"""),"USD PKR rate for 05/05/2012")</f>
        <v>USD PKR rate for 05/05/2012</v>
      </c>
      <c r="I4273" s="9"/>
    </row>
    <row r="4274" spans="1:9" ht="14.25" customHeight="1" x14ac:dyDescent="0.3">
      <c r="A4274" s="6">
        <v>43991</v>
      </c>
      <c r="B4274" s="7">
        <v>163.91149999999999</v>
      </c>
      <c r="C4274" s="8">
        <f t="shared" si="33"/>
        <v>169.5809896198121</v>
      </c>
      <c r="D4274" s="9">
        <f t="shared" si="32"/>
        <v>73.436889121057106</v>
      </c>
      <c r="E4274" s="9"/>
      <c r="F4274" s="9">
        <f ca="1">IFERROR(__xludf.DUMMYFUNCTION("""COMPUTED_VALUE"""),41033)</f>
        <v>41033</v>
      </c>
      <c r="G4274" s="9" t="str">
        <f ca="1">IFERROR(__xludf.DUMMYFUNCTION("""COMPUTED_VALUE"""),"1 USD = 90.7995 PKR")</f>
        <v>1 USD = 90.7995 PKR</v>
      </c>
      <c r="H4274" s="9" t="str">
        <f ca="1">IFERROR(__xludf.DUMMYFUNCTION("""COMPUTED_VALUE"""),"USD PKR rate for 04/05/2012")</f>
        <v>USD PKR rate for 04/05/2012</v>
      </c>
      <c r="I4274" s="9"/>
    </row>
    <row r="4275" spans="1:9" ht="14.25" customHeight="1" x14ac:dyDescent="0.3">
      <c r="A4275" s="6">
        <v>43992</v>
      </c>
      <c r="B4275" s="7">
        <v>164.49080000000001</v>
      </c>
      <c r="C4275" s="8">
        <f t="shared" si="33"/>
        <v>169.61131914052342</v>
      </c>
      <c r="D4275" s="9">
        <f t="shared" si="32"/>
        <v>73.439626953854372</v>
      </c>
      <c r="E4275" s="9"/>
      <c r="F4275" s="9">
        <f ca="1">IFERROR(__xludf.DUMMYFUNCTION("""COMPUTED_VALUE"""),41032)</f>
        <v>41032</v>
      </c>
      <c r="G4275" s="9" t="str">
        <f ca="1">IFERROR(__xludf.DUMMYFUNCTION("""COMPUTED_VALUE"""),"1 USD = 90.803 PKR")</f>
        <v>1 USD = 90.803 PKR</v>
      </c>
      <c r="H4275" s="9" t="str">
        <f ca="1">IFERROR(__xludf.DUMMYFUNCTION("""COMPUTED_VALUE"""),"USD PKR rate for 03/05/2012")</f>
        <v>USD PKR rate for 03/05/2012</v>
      </c>
      <c r="I4275" s="9"/>
    </row>
    <row r="4276" spans="1:9" ht="14.25" customHeight="1" x14ac:dyDescent="0.3">
      <c r="A4276" s="6">
        <v>43993</v>
      </c>
      <c r="B4276" s="7">
        <v>164.54589999999999</v>
      </c>
      <c r="C4276" s="8">
        <f t="shared" si="33"/>
        <v>169.64165408566262</v>
      </c>
      <c r="D4276" s="9">
        <f t="shared" si="32"/>
        <v>73.442364786651638</v>
      </c>
      <c r="E4276" s="9"/>
      <c r="F4276" s="9">
        <f ca="1">IFERROR(__xludf.DUMMYFUNCTION("""COMPUTED_VALUE"""),41031)</f>
        <v>41031</v>
      </c>
      <c r="G4276" s="9" t="str">
        <f ca="1">IFERROR(__xludf.DUMMYFUNCTION("""COMPUTED_VALUE"""),"1 USD = 90.987 PKR")</f>
        <v>1 USD = 90.987 PKR</v>
      </c>
      <c r="H4276" s="9" t="str">
        <f ca="1">IFERROR(__xludf.DUMMYFUNCTION("""COMPUTED_VALUE"""),"USD PKR rate for 02/05/2012")</f>
        <v>USD PKR rate for 02/05/2012</v>
      </c>
      <c r="I4276" s="9"/>
    </row>
    <row r="4277" spans="1:9" ht="14.25" customHeight="1" x14ac:dyDescent="0.3">
      <c r="A4277" s="6">
        <v>43994</v>
      </c>
      <c r="B4277" s="7">
        <v>164.49350000000001</v>
      </c>
      <c r="C4277" s="8">
        <f t="shared" si="33"/>
        <v>169.67199445619974</v>
      </c>
      <c r="D4277" s="9">
        <f t="shared" si="32"/>
        <v>73.445102619448903</v>
      </c>
      <c r="E4277" s="9"/>
      <c r="F4277" s="9">
        <f ca="1">IFERROR(__xludf.DUMMYFUNCTION("""COMPUTED_VALUE"""),41030)</f>
        <v>41030</v>
      </c>
      <c r="G4277" s="9" t="str">
        <f ca="1">IFERROR(__xludf.DUMMYFUNCTION("""COMPUTED_VALUE"""),"1 USD = 91.0739 PKR")</f>
        <v>1 USD = 91.0739 PKR</v>
      </c>
      <c r="H4277" s="9" t="str">
        <f ca="1">IFERROR(__xludf.DUMMYFUNCTION("""COMPUTED_VALUE"""),"USD PKR rate for 01/05/2012")</f>
        <v>USD PKR rate for 01/05/2012</v>
      </c>
      <c r="I4277" s="9"/>
    </row>
    <row r="4278" spans="1:9" ht="14.25" customHeight="1" x14ac:dyDescent="0.3">
      <c r="A4278" s="6">
        <v>43995</v>
      </c>
      <c r="B4278" s="7">
        <v>164.49350000000001</v>
      </c>
      <c r="C4278" s="8">
        <f t="shared" si="33"/>
        <v>169.70234025310512</v>
      </c>
      <c r="D4278" s="9">
        <f t="shared" si="32"/>
        <v>73.447840452246169</v>
      </c>
      <c r="E4278" s="9"/>
      <c r="F4278" s="9">
        <f ca="1">IFERROR(__xludf.DUMMYFUNCTION("""COMPUTED_VALUE"""),41029)</f>
        <v>41029</v>
      </c>
      <c r="G4278" s="9" t="str">
        <f ca="1">IFERROR(__xludf.DUMMYFUNCTION("""COMPUTED_VALUE"""),"1 USD = 91.067 PKR")</f>
        <v>1 USD = 91.067 PKR</v>
      </c>
      <c r="H4278" s="9" t="str">
        <f ca="1">IFERROR(__xludf.DUMMYFUNCTION("""COMPUTED_VALUE"""),"USD PKR rate for 30/04/2012")</f>
        <v>USD PKR rate for 30/04/2012</v>
      </c>
      <c r="I4278" s="9"/>
    </row>
    <row r="4279" spans="1:9" ht="14.25" customHeight="1" x14ac:dyDescent="0.3">
      <c r="A4279" s="6">
        <v>43996</v>
      </c>
      <c r="B4279" s="7">
        <v>164.8724</v>
      </c>
      <c r="C4279" s="8">
        <f t="shared" si="33"/>
        <v>169.73269147734922</v>
      </c>
      <c r="D4279" s="9">
        <f t="shared" si="32"/>
        <v>73.450578285043434</v>
      </c>
      <c r="E4279" s="9"/>
      <c r="F4279" s="9">
        <f ca="1">IFERROR(__xludf.DUMMYFUNCTION("""COMPUTED_VALUE"""),41028)</f>
        <v>41028</v>
      </c>
      <c r="G4279" s="9" t="str">
        <f ca="1">IFERROR(__xludf.DUMMYFUNCTION("""COMPUTED_VALUE"""),"1 USD = 90.7369 PKR")</f>
        <v>1 USD = 90.7369 PKR</v>
      </c>
      <c r="H4279" s="9" t="str">
        <f ca="1">IFERROR(__xludf.DUMMYFUNCTION("""COMPUTED_VALUE"""),"USD PKR rate for 29/04/2012")</f>
        <v>USD PKR rate for 29/04/2012</v>
      </c>
      <c r="I4279" s="9"/>
    </row>
    <row r="4280" spans="1:9" ht="14.25" customHeight="1" x14ac:dyDescent="0.3">
      <c r="A4280" s="6">
        <v>43997</v>
      </c>
      <c r="B4280" s="7">
        <v>164.827</v>
      </c>
      <c r="C4280" s="8">
        <f t="shared" si="33"/>
        <v>169.76304812990276</v>
      </c>
      <c r="D4280" s="9">
        <f t="shared" si="32"/>
        <v>73.4533161178407</v>
      </c>
      <c r="E4280" s="9"/>
      <c r="F4280" s="9">
        <f ca="1">IFERROR(__xludf.DUMMYFUNCTION("""COMPUTED_VALUE"""),41027)</f>
        <v>41027</v>
      </c>
      <c r="G4280" s="9" t="str">
        <f ca="1">IFERROR(__xludf.DUMMYFUNCTION("""COMPUTED_VALUE"""),"1 USD = 90.7536 PKR")</f>
        <v>1 USD = 90.7536 PKR</v>
      </c>
      <c r="H4280" s="9" t="str">
        <f ca="1">IFERROR(__xludf.DUMMYFUNCTION("""COMPUTED_VALUE"""),"USD PKR rate for 28/04/2012")</f>
        <v>USD PKR rate for 28/04/2012</v>
      </c>
      <c r="I4280" s="9"/>
    </row>
    <row r="4281" spans="1:9" ht="14.25" customHeight="1" x14ac:dyDescent="0.3">
      <c r="A4281" s="6">
        <v>43998</v>
      </c>
      <c r="B4281" s="7">
        <v>165.04040000000001</v>
      </c>
      <c r="C4281" s="8">
        <f t="shared" si="33"/>
        <v>169.79341021173656</v>
      </c>
      <c r="D4281" s="9">
        <f t="shared" si="32"/>
        <v>73.456053950637965</v>
      </c>
      <c r="E4281" s="9"/>
      <c r="F4281" s="9">
        <f ca="1">IFERROR(__xludf.DUMMYFUNCTION("""COMPUTED_VALUE"""),41026)</f>
        <v>41026</v>
      </c>
      <c r="G4281" s="9" t="str">
        <f ca="1">IFERROR(__xludf.DUMMYFUNCTION("""COMPUTED_VALUE"""),"1 USD = 90.7536 PKR")</f>
        <v>1 USD = 90.7536 PKR</v>
      </c>
      <c r="H4281" s="9" t="str">
        <f ca="1">IFERROR(__xludf.DUMMYFUNCTION("""COMPUTED_VALUE"""),"USD PKR rate for 27/04/2012")</f>
        <v>USD PKR rate for 27/04/2012</v>
      </c>
      <c r="I4281" s="9"/>
    </row>
    <row r="4282" spans="1:9" ht="14.25" customHeight="1" x14ac:dyDescent="0.3">
      <c r="A4282" s="6">
        <v>43999</v>
      </c>
      <c r="B4282" s="7">
        <v>165.5361</v>
      </c>
      <c r="C4282" s="8">
        <f t="shared" si="33"/>
        <v>169.82377772382168</v>
      </c>
      <c r="D4282" s="9">
        <f t="shared" si="32"/>
        <v>73.458791783435231</v>
      </c>
      <c r="E4282" s="9"/>
      <c r="F4282" s="9">
        <f ca="1">IFERROR(__xludf.DUMMYFUNCTION("""COMPUTED_VALUE"""),41025)</f>
        <v>41025</v>
      </c>
      <c r="G4282" s="9" t="str">
        <f ca="1">IFERROR(__xludf.DUMMYFUNCTION("""COMPUTED_VALUE"""),"1 USD = 90.867 PKR")</f>
        <v>1 USD = 90.867 PKR</v>
      </c>
      <c r="H4282" s="9" t="str">
        <f ca="1">IFERROR(__xludf.DUMMYFUNCTION("""COMPUTED_VALUE"""),"USD PKR rate for 26/04/2012")</f>
        <v>USD PKR rate for 26/04/2012</v>
      </c>
      <c r="I4282" s="9"/>
    </row>
    <row r="4283" spans="1:9" ht="14.25" customHeight="1" x14ac:dyDescent="0.3">
      <c r="A4283" s="6">
        <v>44000</v>
      </c>
      <c r="B4283" s="7">
        <v>166.32490000000001</v>
      </c>
      <c r="C4283" s="8">
        <f t="shared" si="33"/>
        <v>169.85415066712929</v>
      </c>
      <c r="D4283" s="9">
        <f t="shared" si="32"/>
        <v>73.461529616232497</v>
      </c>
      <c r="E4283" s="9"/>
      <c r="F4283" s="9">
        <f ca="1">IFERROR(__xludf.DUMMYFUNCTION("""COMPUTED_VALUE"""),41024)</f>
        <v>41024</v>
      </c>
      <c r="G4283" s="9" t="str">
        <f ca="1">IFERROR(__xludf.DUMMYFUNCTION("""COMPUTED_VALUE"""),"1 USD = 90.8875 PKR")</f>
        <v>1 USD = 90.8875 PKR</v>
      </c>
      <c r="H4283" s="9" t="str">
        <f ca="1">IFERROR(__xludf.DUMMYFUNCTION("""COMPUTED_VALUE"""),"USD PKR rate for 25/04/2012")</f>
        <v>USD PKR rate for 25/04/2012</v>
      </c>
      <c r="I4283" s="9"/>
    </row>
    <row r="4284" spans="1:9" ht="14.25" customHeight="1" x14ac:dyDescent="0.3">
      <c r="A4284" s="6">
        <v>44001</v>
      </c>
      <c r="B4284" s="7">
        <v>166.86199999999999</v>
      </c>
      <c r="C4284" s="8">
        <f t="shared" si="33"/>
        <v>169.88452904263065</v>
      </c>
      <c r="D4284" s="9">
        <f t="shared" si="32"/>
        <v>73.464267449029762</v>
      </c>
      <c r="E4284" s="9"/>
      <c r="F4284" s="9">
        <f ca="1">IFERROR(__xludf.DUMMYFUNCTION("""COMPUTED_VALUE"""),41023)</f>
        <v>41023</v>
      </c>
      <c r="G4284" s="9" t="str">
        <f ca="1">IFERROR(__xludf.DUMMYFUNCTION("""COMPUTED_VALUE"""),"1 USD = 90.9289 PKR")</f>
        <v>1 USD = 90.9289 PKR</v>
      </c>
      <c r="H4284" s="9" t="str">
        <f ca="1">IFERROR(__xludf.DUMMYFUNCTION("""COMPUTED_VALUE"""),"USD PKR rate for 24/04/2012")</f>
        <v>USD PKR rate for 24/04/2012</v>
      </c>
      <c r="I4284" s="9"/>
    </row>
    <row r="4285" spans="1:9" ht="14.25" customHeight="1" x14ac:dyDescent="0.3">
      <c r="A4285" s="6">
        <v>44002</v>
      </c>
      <c r="B4285" s="7">
        <v>166.86199999999999</v>
      </c>
      <c r="C4285" s="8">
        <f t="shared" si="33"/>
        <v>169.91491285129754</v>
      </c>
      <c r="D4285" s="9">
        <f t="shared" si="32"/>
        <v>73.467005281827028</v>
      </c>
      <c r="E4285" s="9"/>
      <c r="F4285" s="9">
        <f ca="1">IFERROR(__xludf.DUMMYFUNCTION("""COMPUTED_VALUE"""),41022)</f>
        <v>41022</v>
      </c>
      <c r="G4285" s="9" t="str">
        <f ca="1">IFERROR(__xludf.DUMMYFUNCTION("""COMPUTED_VALUE"""),"1 USD = 90.9039 PKR")</f>
        <v>1 USD = 90.9039 PKR</v>
      </c>
      <c r="H4285" s="9" t="str">
        <f ca="1">IFERROR(__xludf.DUMMYFUNCTION("""COMPUTED_VALUE"""),"USD PKR rate for 23/04/2012")</f>
        <v>USD PKR rate for 23/04/2012</v>
      </c>
      <c r="I4285" s="9"/>
    </row>
    <row r="4286" spans="1:9" ht="14.25" customHeight="1" x14ac:dyDescent="0.3">
      <c r="A4286" s="6">
        <v>44003</v>
      </c>
      <c r="B4286" s="7">
        <v>167.0231</v>
      </c>
      <c r="C4286" s="8">
        <f t="shared" si="33"/>
        <v>169.94530209410161</v>
      </c>
      <c r="D4286" s="9">
        <f t="shared" si="32"/>
        <v>73.469743114624293</v>
      </c>
      <c r="E4286" s="9"/>
      <c r="F4286" s="9">
        <f ca="1">IFERROR(__xludf.DUMMYFUNCTION("""COMPUTED_VALUE"""),41021)</f>
        <v>41021</v>
      </c>
      <c r="G4286" s="9" t="str">
        <f ca="1">IFERROR(__xludf.DUMMYFUNCTION("""COMPUTED_VALUE"""),"1 USD = 90.6863 PKR")</f>
        <v>1 USD = 90.6863 PKR</v>
      </c>
      <c r="H4286" s="9" t="str">
        <f ca="1">IFERROR(__xludf.DUMMYFUNCTION("""COMPUTED_VALUE"""),"USD PKR rate for 22/04/2012")</f>
        <v>USD PKR rate for 22/04/2012</v>
      </c>
      <c r="I4286" s="9"/>
    </row>
    <row r="4287" spans="1:9" ht="14.25" customHeight="1" x14ac:dyDescent="0.3">
      <c r="A4287" s="6">
        <v>44004</v>
      </c>
      <c r="B4287" s="7">
        <v>166.66880000000003</v>
      </c>
      <c r="C4287" s="8">
        <f t="shared" si="33"/>
        <v>169.97569677201469</v>
      </c>
      <c r="D4287" s="9">
        <f t="shared" si="32"/>
        <v>73.472480947421559</v>
      </c>
      <c r="E4287" s="9"/>
      <c r="F4287" s="9">
        <f ca="1">IFERROR(__xludf.DUMMYFUNCTION("""COMPUTED_VALUE"""),41020)</f>
        <v>41020</v>
      </c>
      <c r="G4287" s="9" t="str">
        <f ca="1">IFERROR(__xludf.DUMMYFUNCTION("""COMPUTED_VALUE"""),"1 USD = 90.7201 PKR")</f>
        <v>1 USD = 90.7201 PKR</v>
      </c>
      <c r="H4287" s="9" t="str">
        <f ca="1">IFERROR(__xludf.DUMMYFUNCTION("""COMPUTED_VALUE"""),"USD PKR rate for 21/04/2012")</f>
        <v>USD PKR rate for 21/04/2012</v>
      </c>
      <c r="I4287" s="9"/>
    </row>
    <row r="4288" spans="1:9" ht="14.25" customHeight="1" x14ac:dyDescent="0.3">
      <c r="A4288" s="6">
        <v>44005</v>
      </c>
      <c r="B4288" s="7">
        <v>167.17529999999999</v>
      </c>
      <c r="C4288" s="8">
        <f t="shared" si="33"/>
        <v>170.00609688600889</v>
      </c>
      <c r="D4288" s="9">
        <f t="shared" si="32"/>
        <v>73.475218780218825</v>
      </c>
      <c r="E4288" s="9"/>
      <c r="F4288" s="9">
        <f ca="1">IFERROR(__xludf.DUMMYFUNCTION("""COMPUTED_VALUE"""),41019)</f>
        <v>41019</v>
      </c>
      <c r="G4288" s="9" t="str">
        <f ca="1">IFERROR(__xludf.DUMMYFUNCTION("""COMPUTED_VALUE"""),"1 USD = 90.7201 PKR")</f>
        <v>1 USD = 90.7201 PKR</v>
      </c>
      <c r="H4288" s="9" t="str">
        <f ca="1">IFERROR(__xludf.DUMMYFUNCTION("""COMPUTED_VALUE"""),"USD PKR rate for 20/04/2012")</f>
        <v>USD PKR rate for 20/04/2012</v>
      </c>
      <c r="I4288" s="9"/>
    </row>
    <row r="4289" spans="1:9" ht="14.25" customHeight="1" x14ac:dyDescent="0.3">
      <c r="A4289" s="6">
        <v>44006</v>
      </c>
      <c r="B4289" s="7">
        <v>167.90310000000002</v>
      </c>
      <c r="C4289" s="8">
        <f t="shared" si="33"/>
        <v>170.03650243705644</v>
      </c>
      <c r="D4289" s="9">
        <f t="shared" si="32"/>
        <v>73.47795661301609</v>
      </c>
      <c r="E4289" s="9"/>
      <c r="F4289" s="9">
        <f ca="1">IFERROR(__xludf.DUMMYFUNCTION("""COMPUTED_VALUE"""),41018)</f>
        <v>41018</v>
      </c>
      <c r="G4289" s="9" t="str">
        <f ca="1">IFERROR(__xludf.DUMMYFUNCTION("""COMPUTED_VALUE"""),"1 USD = 90.7843 PKR")</f>
        <v>1 USD = 90.7843 PKR</v>
      </c>
      <c r="H4289" s="9" t="str">
        <f ca="1">IFERROR(__xludf.DUMMYFUNCTION("""COMPUTED_VALUE"""),"USD PKR rate for 19/04/2012")</f>
        <v>USD PKR rate for 19/04/2012</v>
      </c>
      <c r="I4289" s="9"/>
    </row>
    <row r="4290" spans="1:9" ht="14.25" customHeight="1" x14ac:dyDescent="0.3">
      <c r="A4290" s="6">
        <v>44007</v>
      </c>
      <c r="B4290" s="7">
        <v>167.92230000000001</v>
      </c>
      <c r="C4290" s="8">
        <f t="shared" si="33"/>
        <v>170.06691342612973</v>
      </c>
      <c r="D4290" s="9">
        <f t="shared" si="32"/>
        <v>73.480694445813356</v>
      </c>
      <c r="E4290" s="9"/>
      <c r="F4290" s="9">
        <f ca="1">IFERROR(__xludf.DUMMYFUNCTION("""COMPUTED_VALUE"""),41017)</f>
        <v>41017</v>
      </c>
      <c r="G4290" s="9" t="str">
        <f ca="1">IFERROR(__xludf.DUMMYFUNCTION("""COMPUTED_VALUE"""),"1 USD = 90.7286 PKR")</f>
        <v>1 USD = 90.7286 PKR</v>
      </c>
      <c r="H4290" s="9" t="str">
        <f ca="1">IFERROR(__xludf.DUMMYFUNCTION("""COMPUTED_VALUE"""),"USD PKR rate for 18/04/2012")</f>
        <v>USD PKR rate for 18/04/2012</v>
      </c>
      <c r="I4290" s="9"/>
    </row>
    <row r="4291" spans="1:9" ht="14.25" customHeight="1" x14ac:dyDescent="0.3">
      <c r="A4291" s="6">
        <v>44008</v>
      </c>
      <c r="B4291" s="7">
        <v>167.54320000000001</v>
      </c>
      <c r="C4291" s="8">
        <f t="shared" si="33"/>
        <v>170.09732985420138</v>
      </c>
      <c r="D4291" s="9">
        <f t="shared" si="32"/>
        <v>73.483432278610621</v>
      </c>
      <c r="E4291" s="9"/>
      <c r="F4291" s="9">
        <f ca="1">IFERROR(__xludf.DUMMYFUNCTION("""COMPUTED_VALUE"""),41016)</f>
        <v>41016</v>
      </c>
      <c r="G4291" s="9" t="str">
        <f ca="1">IFERROR(__xludf.DUMMYFUNCTION("""COMPUTED_VALUE"""),"1 USD = 90.6944 PKR")</f>
        <v>1 USD = 90.6944 PKR</v>
      </c>
      <c r="H4291" s="9" t="str">
        <f ca="1">IFERROR(__xludf.DUMMYFUNCTION("""COMPUTED_VALUE"""),"USD PKR rate for 17/04/2012")</f>
        <v>USD PKR rate for 17/04/2012</v>
      </c>
      <c r="I4291" s="9"/>
    </row>
    <row r="4292" spans="1:9" ht="14.25" customHeight="1" x14ac:dyDescent="0.3">
      <c r="A4292" s="6">
        <v>44009</v>
      </c>
      <c r="B4292" s="7">
        <v>167.54320000000001</v>
      </c>
      <c r="C4292" s="8">
        <f t="shared" si="33"/>
        <v>170.12775172224414</v>
      </c>
      <c r="D4292" s="9">
        <f t="shared" si="32"/>
        <v>73.486170111407887</v>
      </c>
      <c r="E4292" s="9"/>
      <c r="F4292" s="9">
        <f ca="1">IFERROR(__xludf.DUMMYFUNCTION("""COMPUTED_VALUE"""),41015)</f>
        <v>41015</v>
      </c>
      <c r="G4292" s="9" t="str">
        <f ca="1">IFERROR(__xludf.DUMMYFUNCTION("""COMPUTED_VALUE"""),"1 USD = 90.7361 PKR")</f>
        <v>1 USD = 90.7361 PKR</v>
      </c>
      <c r="H4292" s="9" t="str">
        <f ca="1">IFERROR(__xludf.DUMMYFUNCTION("""COMPUTED_VALUE"""),"USD PKR rate for 16/04/2012")</f>
        <v>USD PKR rate for 16/04/2012</v>
      </c>
      <c r="I4292" s="9"/>
    </row>
    <row r="4293" spans="1:9" ht="14.25" customHeight="1" x14ac:dyDescent="0.3">
      <c r="A4293" s="6">
        <v>44010</v>
      </c>
      <c r="B4293" s="7">
        <v>167.5171</v>
      </c>
      <c r="C4293" s="8">
        <f t="shared" si="33"/>
        <v>170.15817903123082</v>
      </c>
      <c r="D4293" s="9">
        <f t="shared" si="32"/>
        <v>73.488907944205152</v>
      </c>
      <c r="E4293" s="9"/>
      <c r="F4293" s="9">
        <f ca="1">IFERROR(__xludf.DUMMYFUNCTION("""COMPUTED_VALUE"""),41014)</f>
        <v>41014</v>
      </c>
      <c r="G4293" s="9" t="str">
        <f ca="1">IFERROR(__xludf.DUMMYFUNCTION("""COMPUTED_VALUE"""),"1 USD = 90.67 PKR")</f>
        <v>1 USD = 90.67 PKR</v>
      </c>
      <c r="H4293" s="9" t="str">
        <f ca="1">IFERROR(__xludf.DUMMYFUNCTION("""COMPUTED_VALUE"""),"USD PKR rate for 15/04/2012")</f>
        <v>USD PKR rate for 15/04/2012</v>
      </c>
      <c r="I4293" s="9"/>
    </row>
    <row r="4294" spans="1:9" ht="14.25" customHeight="1" x14ac:dyDescent="0.3">
      <c r="A4294" s="6">
        <v>44011</v>
      </c>
      <c r="B4294" s="7">
        <v>168.15</v>
      </c>
      <c r="C4294" s="8">
        <f t="shared" si="33"/>
        <v>170.18861178213481</v>
      </c>
      <c r="D4294" s="9">
        <f t="shared" si="32"/>
        <v>73.491645777002418</v>
      </c>
      <c r="E4294" s="9"/>
      <c r="F4294" s="9">
        <f ca="1">IFERROR(__xludf.DUMMYFUNCTION("""COMPUTED_VALUE"""),41013)</f>
        <v>41013</v>
      </c>
      <c r="G4294" s="9" t="str">
        <f ca="1">IFERROR(__xludf.DUMMYFUNCTION("""COMPUTED_VALUE"""),"1 USD = 90.71 PKR")</f>
        <v>1 USD = 90.71 PKR</v>
      </c>
      <c r="H4294" s="9" t="str">
        <f ca="1">IFERROR(__xludf.DUMMYFUNCTION("""COMPUTED_VALUE"""),"USD PKR rate for 14/04/2012")</f>
        <v>USD PKR rate for 14/04/2012</v>
      </c>
      <c r="I4294" s="9"/>
    </row>
    <row r="4295" spans="1:9" ht="14.25" customHeight="1" x14ac:dyDescent="0.3">
      <c r="A4295" s="6">
        <v>44012</v>
      </c>
      <c r="B4295" s="7">
        <v>167.86439999999999</v>
      </c>
      <c r="C4295" s="8">
        <f t="shared" si="33"/>
        <v>170.21904997592924</v>
      </c>
      <c r="D4295" s="9">
        <f t="shared" si="32"/>
        <v>73.494383609799684</v>
      </c>
      <c r="E4295" s="9"/>
      <c r="F4295" s="9">
        <f ca="1">IFERROR(__xludf.DUMMYFUNCTION("""COMPUTED_VALUE"""),41012)</f>
        <v>41012</v>
      </c>
      <c r="G4295" s="9" t="str">
        <f ca="1">IFERROR(__xludf.DUMMYFUNCTION("""COMPUTED_VALUE"""),"1 USD = 90.71 PKR")</f>
        <v>1 USD = 90.71 PKR</v>
      </c>
      <c r="H4295" s="9" t="str">
        <f ca="1">IFERROR(__xludf.DUMMYFUNCTION("""COMPUTED_VALUE"""),"USD PKR rate for 13/04/2012")</f>
        <v>USD PKR rate for 13/04/2012</v>
      </c>
      <c r="I4295" s="9"/>
    </row>
    <row r="4296" spans="1:9" ht="14.25" customHeight="1" x14ac:dyDescent="0.3">
      <c r="A4296" s="6">
        <v>44013</v>
      </c>
      <c r="B4296" s="7">
        <v>167.89160000000001</v>
      </c>
      <c r="C4296" s="8">
        <f t="shared" si="33"/>
        <v>170.24949361358759</v>
      </c>
      <c r="D4296" s="9">
        <f t="shared" si="32"/>
        <v>73.497121442596949</v>
      </c>
      <c r="E4296" s="9"/>
      <c r="F4296" s="9">
        <f ca="1">IFERROR(__xludf.DUMMYFUNCTION("""COMPUTED_VALUE"""),41011)</f>
        <v>41011</v>
      </c>
      <c r="G4296" s="9" t="str">
        <f ca="1">IFERROR(__xludf.DUMMYFUNCTION("""COMPUTED_VALUE"""),"1 USD = 90.7355 PKR")</f>
        <v>1 USD = 90.7355 PKR</v>
      </c>
      <c r="H4296" s="9" t="str">
        <f ca="1">IFERROR(__xludf.DUMMYFUNCTION("""COMPUTED_VALUE"""),"USD PKR rate for 12/04/2012")</f>
        <v>USD PKR rate for 12/04/2012</v>
      </c>
      <c r="I4296" s="9"/>
    </row>
    <row r="4297" spans="1:9" ht="14.25" customHeight="1" x14ac:dyDescent="0.3">
      <c r="A4297" s="6">
        <v>44014</v>
      </c>
      <c r="B4297" s="7">
        <v>167.9288</v>
      </c>
      <c r="C4297" s="8">
        <f t="shared" si="33"/>
        <v>170.27994269608348</v>
      </c>
      <c r="D4297" s="9">
        <f t="shared" si="32"/>
        <v>73.499859275394215</v>
      </c>
      <c r="E4297" s="9"/>
      <c r="F4297" s="9">
        <f ca="1">IFERROR(__xludf.DUMMYFUNCTION("""COMPUTED_VALUE"""),41010)</f>
        <v>41010</v>
      </c>
      <c r="G4297" s="9" t="str">
        <f ca="1">IFERROR(__xludf.DUMMYFUNCTION("""COMPUTED_VALUE"""),"1 USD = 90.6851 PKR")</f>
        <v>1 USD = 90.6851 PKR</v>
      </c>
      <c r="H4297" s="9" t="str">
        <f ca="1">IFERROR(__xludf.DUMMYFUNCTION("""COMPUTED_VALUE"""),"USD PKR rate for 11/04/2012")</f>
        <v>USD PKR rate for 11/04/2012</v>
      </c>
      <c r="I4297" s="9"/>
    </row>
    <row r="4298" spans="1:9" ht="14.25" customHeight="1" x14ac:dyDescent="0.3">
      <c r="A4298" s="6">
        <v>44015</v>
      </c>
      <c r="B4298" s="7">
        <v>167.57429999999999</v>
      </c>
      <c r="C4298" s="8">
        <f t="shared" si="33"/>
        <v>170.31039722439073</v>
      </c>
      <c r="D4298" s="9">
        <f t="shared" si="32"/>
        <v>73.50259710819148</v>
      </c>
      <c r="E4298" s="9"/>
      <c r="F4298" s="9">
        <f ca="1">IFERROR(__xludf.DUMMYFUNCTION("""COMPUTED_VALUE"""),41009)</f>
        <v>41009</v>
      </c>
      <c r="G4298" s="9" t="str">
        <f ca="1">IFERROR(__xludf.DUMMYFUNCTION("""COMPUTED_VALUE"""),"1 USD = 90.765 PKR")</f>
        <v>1 USD = 90.765 PKR</v>
      </c>
      <c r="H4298" s="9" t="str">
        <f ca="1">IFERROR(__xludf.DUMMYFUNCTION("""COMPUTED_VALUE"""),"USD PKR rate for 10/04/2012")</f>
        <v>USD PKR rate for 10/04/2012</v>
      </c>
      <c r="I4298" s="9"/>
    </row>
    <row r="4299" spans="1:9" ht="14.25" customHeight="1" x14ac:dyDescent="0.3">
      <c r="A4299" s="6">
        <v>44016</v>
      </c>
      <c r="B4299" s="7">
        <v>167.5744</v>
      </c>
      <c r="C4299" s="8">
        <f t="shared" si="33"/>
        <v>170.34085719948328</v>
      </c>
      <c r="D4299" s="9">
        <f t="shared" si="32"/>
        <v>73.505334940988746</v>
      </c>
      <c r="E4299" s="9"/>
      <c r="F4299" s="9">
        <f ca="1">IFERROR(__xludf.DUMMYFUNCTION("""COMPUTED_VALUE"""),41008)</f>
        <v>41008</v>
      </c>
      <c r="G4299" s="9" t="str">
        <f ca="1">IFERROR(__xludf.DUMMYFUNCTION("""COMPUTED_VALUE"""),"1 USD = 90.6276 PKR")</f>
        <v>1 USD = 90.6276 PKR</v>
      </c>
      <c r="H4299" s="9" t="str">
        <f ca="1">IFERROR(__xludf.DUMMYFUNCTION("""COMPUTED_VALUE"""),"USD PKR rate for 09/04/2012")</f>
        <v>USD PKR rate for 09/04/2012</v>
      </c>
      <c r="I4299" s="9"/>
    </row>
    <row r="4300" spans="1:9" ht="14.25" customHeight="1" x14ac:dyDescent="0.3">
      <c r="A4300" s="6">
        <v>44017</v>
      </c>
      <c r="B4300" s="7">
        <v>167.15800000000002</v>
      </c>
      <c r="C4300" s="8">
        <f t="shared" si="33"/>
        <v>170.37132262233533</v>
      </c>
      <c r="D4300" s="9">
        <f t="shared" si="32"/>
        <v>73.508072773786012</v>
      </c>
      <c r="E4300" s="9"/>
      <c r="F4300" s="9">
        <f ca="1">IFERROR(__xludf.DUMMYFUNCTION("""COMPUTED_VALUE"""),41007)</f>
        <v>41007</v>
      </c>
      <c r="G4300" s="9" t="str">
        <f ca="1">IFERROR(__xludf.DUMMYFUNCTION("""COMPUTED_VALUE"""),"1 USD = 90.6763 PKR")</f>
        <v>1 USD = 90.6763 PKR</v>
      </c>
      <c r="H4300" s="9" t="str">
        <f ca="1">IFERROR(__xludf.DUMMYFUNCTION("""COMPUTED_VALUE"""),"USD PKR rate for 08/04/2012")</f>
        <v>USD PKR rate for 08/04/2012</v>
      </c>
      <c r="I4300" s="9"/>
    </row>
    <row r="4301" spans="1:9" ht="14.25" customHeight="1" x14ac:dyDescent="0.3">
      <c r="A4301" s="6">
        <v>44018</v>
      </c>
      <c r="B4301" s="7">
        <v>166.31020000000001</v>
      </c>
      <c r="C4301" s="8">
        <f t="shared" si="33"/>
        <v>170.40179349392125</v>
      </c>
      <c r="D4301" s="9">
        <f t="shared" si="32"/>
        <v>73.510810606583277</v>
      </c>
      <c r="E4301" s="9"/>
      <c r="F4301" s="9">
        <f ca="1">IFERROR(__xludf.DUMMYFUNCTION("""COMPUTED_VALUE"""),41006)</f>
        <v>41006</v>
      </c>
      <c r="G4301" s="9" t="str">
        <f ca="1">IFERROR(__xludf.DUMMYFUNCTION("""COMPUTED_VALUE"""),"1 USD = 90.5906 PKR")</f>
        <v>1 USD = 90.5906 PKR</v>
      </c>
      <c r="H4301" s="9" t="str">
        <f ca="1">IFERROR(__xludf.DUMMYFUNCTION("""COMPUTED_VALUE"""),"USD PKR rate for 07/04/2012")</f>
        <v>USD PKR rate for 07/04/2012</v>
      </c>
      <c r="I4301" s="9"/>
    </row>
    <row r="4302" spans="1:9" ht="14.25" customHeight="1" x14ac:dyDescent="0.3">
      <c r="A4302" s="6">
        <v>44019</v>
      </c>
      <c r="B4302" s="7">
        <v>167.06550000000001</v>
      </c>
      <c r="C4302" s="8">
        <f t="shared" si="33"/>
        <v>170.43226981521542</v>
      </c>
      <c r="D4302" s="9">
        <f t="shared" si="32"/>
        <v>73.513548439380543</v>
      </c>
      <c r="E4302" s="9"/>
      <c r="F4302" s="9">
        <f ca="1">IFERROR(__xludf.DUMMYFUNCTION("""COMPUTED_VALUE"""),41005)</f>
        <v>41005</v>
      </c>
      <c r="G4302" s="9" t="str">
        <f ca="1">IFERROR(__xludf.DUMMYFUNCTION("""COMPUTED_VALUE"""),"1 USD = 90.5914 PKR")</f>
        <v>1 USD = 90.5914 PKR</v>
      </c>
      <c r="H4302" s="9" t="str">
        <f ca="1">IFERROR(__xludf.DUMMYFUNCTION("""COMPUTED_VALUE"""),"USD PKR rate for 06/04/2012")</f>
        <v>USD PKR rate for 06/04/2012</v>
      </c>
      <c r="I4302" s="9"/>
    </row>
    <row r="4303" spans="1:9" ht="14.25" customHeight="1" x14ac:dyDescent="0.3">
      <c r="A4303" s="6">
        <v>44020</v>
      </c>
      <c r="B4303" s="7">
        <v>167.08869999999999</v>
      </c>
      <c r="C4303" s="8">
        <f t="shared" si="33"/>
        <v>170.46275158719249</v>
      </c>
      <c r="D4303" s="9">
        <f t="shared" si="32"/>
        <v>73.516286272177808</v>
      </c>
      <c r="E4303" s="9"/>
      <c r="F4303" s="9">
        <f ca="1">IFERROR(__xludf.DUMMYFUNCTION("""COMPUTED_VALUE"""),41004)</f>
        <v>41004</v>
      </c>
      <c r="G4303" s="9" t="str">
        <f ca="1">IFERROR(__xludf.DUMMYFUNCTION("""COMPUTED_VALUE"""),"1 USD = 90.5869 PKR")</f>
        <v>1 USD = 90.5869 PKR</v>
      </c>
      <c r="H4303" s="9" t="str">
        <f ca="1">IFERROR(__xludf.DUMMYFUNCTION("""COMPUTED_VALUE"""),"USD PKR rate for 05/04/2012")</f>
        <v>USD PKR rate for 05/04/2012</v>
      </c>
      <c r="I4303" s="9"/>
    </row>
    <row r="4304" spans="1:9" ht="14.25" customHeight="1" x14ac:dyDescent="0.3">
      <c r="A4304" s="6">
        <v>44021</v>
      </c>
      <c r="B4304" s="7">
        <v>167.11830000000003</v>
      </c>
      <c r="C4304" s="8">
        <f t="shared" si="33"/>
        <v>170.49323881082756</v>
      </c>
      <c r="D4304" s="9">
        <f t="shared" si="32"/>
        <v>73.519024104975074</v>
      </c>
      <c r="E4304" s="9"/>
      <c r="F4304" s="9">
        <f ca="1">IFERROR(__xludf.DUMMYFUNCTION("""COMPUTED_VALUE"""),41003)</f>
        <v>41003</v>
      </c>
      <c r="G4304" s="9" t="str">
        <f ca="1">IFERROR(__xludf.DUMMYFUNCTION("""COMPUTED_VALUE"""),"1 USD = 90.3763 PKR")</f>
        <v>1 USD = 90.3763 PKR</v>
      </c>
      <c r="H4304" s="9" t="str">
        <f ca="1">IFERROR(__xludf.DUMMYFUNCTION("""COMPUTED_VALUE"""),"USD PKR rate for 04/04/2012")</f>
        <v>USD PKR rate for 04/04/2012</v>
      </c>
      <c r="I4304" s="9"/>
    </row>
    <row r="4305" spans="1:9" ht="14.25" customHeight="1" x14ac:dyDescent="0.3">
      <c r="A4305" s="6">
        <v>44022</v>
      </c>
      <c r="B4305" s="7">
        <v>166.44589999999999</v>
      </c>
      <c r="C4305" s="8">
        <f t="shared" si="33"/>
        <v>170.52373148709552</v>
      </c>
      <c r="D4305" s="9">
        <f t="shared" si="32"/>
        <v>73.521761937772339</v>
      </c>
      <c r="E4305" s="9"/>
      <c r="F4305" s="9">
        <f ca="1">IFERROR(__xludf.DUMMYFUNCTION("""COMPUTED_VALUE"""),41002)</f>
        <v>41002</v>
      </c>
      <c r="G4305" s="9" t="str">
        <f ca="1">IFERROR(__xludf.DUMMYFUNCTION("""COMPUTED_VALUE"""),"1 USD = 90.5424 PKR")</f>
        <v>1 USD = 90.5424 PKR</v>
      </c>
      <c r="H4305" s="9" t="str">
        <f ca="1">IFERROR(__xludf.DUMMYFUNCTION("""COMPUTED_VALUE"""),"USD PKR rate for 03/04/2012")</f>
        <v>USD PKR rate for 03/04/2012</v>
      </c>
      <c r="I4305" s="9"/>
    </row>
    <row r="4306" spans="1:9" ht="14.25" customHeight="1" x14ac:dyDescent="0.3">
      <c r="A4306" s="10">
        <v>44023</v>
      </c>
      <c r="B4306" s="7">
        <v>166.12729999999999</v>
      </c>
      <c r="C4306" s="8">
        <f t="shared" si="33"/>
        <v>170.55422961697155</v>
      </c>
      <c r="D4306" s="9">
        <f t="shared" si="32"/>
        <v>73.524499770569605</v>
      </c>
      <c r="E4306" s="9"/>
      <c r="F4306" s="9">
        <f ca="1">IFERROR(__xludf.DUMMYFUNCTION("""COMPUTED_VALUE"""),41001)</f>
        <v>41001</v>
      </c>
      <c r="G4306" s="9" t="str">
        <f ca="1">IFERROR(__xludf.DUMMYFUNCTION("""COMPUTED_VALUE"""),"1 USD = 90.6789 PKR")</f>
        <v>1 USD = 90.6789 PKR</v>
      </c>
      <c r="H4306" s="9" t="str">
        <f ca="1">IFERROR(__xludf.DUMMYFUNCTION("""COMPUTED_VALUE"""),"USD PKR rate for 02/04/2012")</f>
        <v>USD PKR rate for 02/04/2012</v>
      </c>
      <c r="I4306" s="9"/>
    </row>
    <row r="4307" spans="1:9" ht="14.25" customHeight="1" x14ac:dyDescent="0.3">
      <c r="A4307" s="10">
        <v>44024</v>
      </c>
      <c r="B4307" s="7">
        <v>166.21109999999999</v>
      </c>
      <c r="C4307" s="8">
        <f t="shared" si="33"/>
        <v>170.58473320143105</v>
      </c>
      <c r="D4307" s="9">
        <f t="shared" si="32"/>
        <v>73.527237603366871</v>
      </c>
      <c r="E4307" s="9"/>
      <c r="F4307" s="9">
        <f ca="1">IFERROR(__xludf.DUMMYFUNCTION("""COMPUTED_VALUE"""),41000)</f>
        <v>41000</v>
      </c>
      <c r="G4307" s="9" t="str">
        <f ca="1">IFERROR(__xludf.DUMMYFUNCTION("""COMPUTED_VALUE"""),"1 USD = 90.6861 PKR")</f>
        <v>1 USD = 90.6861 PKR</v>
      </c>
      <c r="H4307" s="9" t="str">
        <f ca="1">IFERROR(__xludf.DUMMYFUNCTION("""COMPUTED_VALUE"""),"USD PKR rate for 01/04/2012")</f>
        <v>USD PKR rate for 01/04/2012</v>
      </c>
      <c r="I4307" s="9"/>
    </row>
    <row r="4308" spans="1:9" ht="14.25" customHeight="1" x14ac:dyDescent="0.3">
      <c r="A4308" s="10">
        <v>44025</v>
      </c>
      <c r="B4308" s="7">
        <v>167.01589999999999</v>
      </c>
      <c r="C4308" s="8">
        <f t="shared" si="33"/>
        <v>170.61524224144958</v>
      </c>
      <c r="D4308" s="9">
        <f t="shared" si="32"/>
        <v>73.529975436164136</v>
      </c>
      <c r="E4308" s="9"/>
      <c r="F4308" s="9">
        <f ca="1">IFERROR(__xludf.DUMMYFUNCTION("""COMPUTED_VALUE"""),40999)</f>
        <v>40999</v>
      </c>
      <c r="G4308" s="9" t="str">
        <f ca="1">IFERROR(__xludf.DUMMYFUNCTION("""COMPUTED_VALUE"""),"1 USD = 90.6861 PKR")</f>
        <v>1 USD = 90.6861 PKR</v>
      </c>
      <c r="H4308" s="9" t="str">
        <f ca="1">IFERROR(__xludf.DUMMYFUNCTION("""COMPUTED_VALUE"""),"USD PKR rate for 31/03/2012")</f>
        <v>USD PKR rate for 31/03/2012</v>
      </c>
      <c r="I4308" s="9"/>
    </row>
    <row r="4309" spans="1:9" ht="14.25" customHeight="1" x14ac:dyDescent="0.3">
      <c r="A4309" s="10">
        <v>44026</v>
      </c>
      <c r="B4309" s="7">
        <v>166.97280000000003</v>
      </c>
      <c r="C4309" s="8">
        <f t="shared" si="33"/>
        <v>170.64575673800283</v>
      </c>
      <c r="D4309" s="9">
        <f t="shared" si="32"/>
        <v>73.532713268961402</v>
      </c>
      <c r="E4309" s="9"/>
      <c r="F4309" s="9">
        <f ca="1">IFERROR(__xludf.DUMMYFUNCTION("""COMPUTED_VALUE"""),40998)</f>
        <v>40998</v>
      </c>
      <c r="G4309" s="9" t="str">
        <f ca="1">IFERROR(__xludf.DUMMYFUNCTION("""COMPUTED_VALUE"""),"1 USD = 90.6861 PKR")</f>
        <v>1 USD = 90.6861 PKR</v>
      </c>
      <c r="H4309" s="9" t="str">
        <f ca="1">IFERROR(__xludf.DUMMYFUNCTION("""COMPUTED_VALUE"""),"USD PKR rate for 30/03/2012")</f>
        <v>USD PKR rate for 30/03/2012</v>
      </c>
      <c r="I4309" s="9"/>
    </row>
    <row r="4310" spans="1:9" ht="14.25" customHeight="1" x14ac:dyDescent="0.3">
      <c r="A4310" s="10">
        <v>44027</v>
      </c>
      <c r="B4310" s="7">
        <v>166.87719999999999</v>
      </c>
      <c r="C4310" s="8">
        <f t="shared" si="33"/>
        <v>170.67627669206672</v>
      </c>
      <c r="D4310" s="9">
        <f t="shared" si="32"/>
        <v>73.535451101758667</v>
      </c>
      <c r="E4310" s="9"/>
      <c r="F4310" s="9">
        <f ca="1">IFERROR(__xludf.DUMMYFUNCTION("""COMPUTED_VALUE"""),40997)</f>
        <v>40997</v>
      </c>
      <c r="G4310" s="9" t="str">
        <f ca="1">IFERROR(__xludf.DUMMYFUNCTION("""COMPUTED_VALUE"""),"1 USD = 90.6712 PKR")</f>
        <v>1 USD = 90.6712 PKR</v>
      </c>
      <c r="H4310" s="9" t="str">
        <f ca="1">IFERROR(__xludf.DUMMYFUNCTION("""COMPUTED_VALUE"""),"USD PKR rate for 29/03/2012")</f>
        <v>USD PKR rate for 29/03/2012</v>
      </c>
      <c r="I4310" s="9"/>
    </row>
    <row r="4311" spans="1:9" ht="14.25" customHeight="1" x14ac:dyDescent="0.3">
      <c r="A4311" s="10">
        <v>44028</v>
      </c>
      <c r="B4311" s="7">
        <v>167.0377</v>
      </c>
      <c r="C4311" s="8">
        <f t="shared" si="33"/>
        <v>170.70680210461734</v>
      </c>
      <c r="D4311" s="9">
        <f t="shared" si="32"/>
        <v>73.538188934555933</v>
      </c>
      <c r="E4311" s="9"/>
      <c r="F4311" s="9">
        <f ca="1">IFERROR(__xludf.DUMMYFUNCTION("""COMPUTED_VALUE"""),40996)</f>
        <v>40996</v>
      </c>
      <c r="G4311" s="9" t="str">
        <f ca="1">IFERROR(__xludf.DUMMYFUNCTION("""COMPUTED_VALUE"""),"1 USD = 90.653 PKR")</f>
        <v>1 USD = 90.653 PKR</v>
      </c>
      <c r="H4311" s="9" t="str">
        <f ca="1">IFERROR(__xludf.DUMMYFUNCTION("""COMPUTED_VALUE"""),"USD PKR rate for 28/03/2012")</f>
        <v>USD PKR rate for 28/03/2012</v>
      </c>
      <c r="I4311" s="9"/>
    </row>
    <row r="4312" spans="1:9" ht="14.25" customHeight="1" x14ac:dyDescent="0.3">
      <c r="A4312" s="10">
        <v>44029</v>
      </c>
      <c r="B4312" s="7">
        <v>167.3775</v>
      </c>
      <c r="C4312" s="8">
        <f t="shared" si="33"/>
        <v>170.73733297663077</v>
      </c>
      <c r="D4312" s="9">
        <f t="shared" si="32"/>
        <v>73.540926767353199</v>
      </c>
      <c r="E4312" s="9"/>
      <c r="F4312" s="9">
        <f ca="1">IFERROR(__xludf.DUMMYFUNCTION("""COMPUTED_VALUE"""),40995)</f>
        <v>40995</v>
      </c>
      <c r="G4312" s="9" t="str">
        <f ca="1">IFERROR(__xludf.DUMMYFUNCTION("""COMPUTED_VALUE"""),"1 USD = 90.8134 PKR")</f>
        <v>1 USD = 90.8134 PKR</v>
      </c>
      <c r="H4312" s="9" t="str">
        <f ca="1">IFERROR(__xludf.DUMMYFUNCTION("""COMPUTED_VALUE"""),"USD PKR rate for 27/03/2012")</f>
        <v>USD PKR rate for 27/03/2012</v>
      </c>
      <c r="I4312" s="9"/>
    </row>
    <row r="4313" spans="1:9" ht="14.25" customHeight="1" x14ac:dyDescent="0.3">
      <c r="A4313" s="10">
        <v>44030</v>
      </c>
      <c r="B4313" s="7">
        <v>167.3775</v>
      </c>
      <c r="C4313" s="8">
        <f t="shared" si="33"/>
        <v>170.76786930908372</v>
      </c>
      <c r="D4313" s="9">
        <f t="shared" si="32"/>
        <v>73.543664600150464</v>
      </c>
      <c r="E4313" s="9"/>
      <c r="F4313" s="9">
        <f ca="1">IFERROR(__xludf.DUMMYFUNCTION("""COMPUTED_VALUE"""),40994)</f>
        <v>40994</v>
      </c>
      <c r="G4313" s="9" t="str">
        <f ca="1">IFERROR(__xludf.DUMMYFUNCTION("""COMPUTED_VALUE"""),"1 USD = 90.9012 PKR")</f>
        <v>1 USD = 90.9012 PKR</v>
      </c>
      <c r="H4313" s="9" t="str">
        <f ca="1">IFERROR(__xludf.DUMMYFUNCTION("""COMPUTED_VALUE"""),"USD PKR rate for 26/03/2012")</f>
        <v>USD PKR rate for 26/03/2012</v>
      </c>
      <c r="I4313" s="9"/>
    </row>
    <row r="4314" spans="1:9" ht="14.25" customHeight="1" x14ac:dyDescent="0.3">
      <c r="A4314" s="10">
        <v>44031</v>
      </c>
      <c r="B4314" s="7">
        <v>167.47810000000001</v>
      </c>
      <c r="C4314" s="8">
        <f t="shared" si="33"/>
        <v>170.79841110295268</v>
      </c>
      <c r="D4314" s="9">
        <f t="shared" si="32"/>
        <v>73.54640243294773</v>
      </c>
      <c r="E4314" s="9"/>
      <c r="F4314" s="9">
        <f ca="1">IFERROR(__xludf.DUMMYFUNCTION("""COMPUTED_VALUE"""),40993)</f>
        <v>40993</v>
      </c>
      <c r="G4314" s="9" t="str">
        <f ca="1">IFERROR(__xludf.DUMMYFUNCTION("""COMPUTED_VALUE"""),"1 USD = 91.8722 PKR")</f>
        <v>1 USD = 91.8722 PKR</v>
      </c>
      <c r="H4314" s="9" t="str">
        <f ca="1">IFERROR(__xludf.DUMMYFUNCTION("""COMPUTED_VALUE"""),"USD PKR rate for 25/03/2012")</f>
        <v>USD PKR rate for 25/03/2012</v>
      </c>
      <c r="I4314" s="9"/>
    </row>
    <row r="4315" spans="1:9" ht="14.25" customHeight="1" x14ac:dyDescent="0.3">
      <c r="A4315" s="10">
        <v>44032</v>
      </c>
      <c r="B4315" s="7">
        <v>167.6053</v>
      </c>
      <c r="C4315" s="8">
        <f t="shared" si="33"/>
        <v>170.8289583592144</v>
      </c>
      <c r="D4315" s="9">
        <f t="shared" si="32"/>
        <v>73.549140265744995</v>
      </c>
      <c r="E4315" s="9"/>
      <c r="F4315" s="9">
        <f ca="1">IFERROR(__xludf.DUMMYFUNCTION("""COMPUTED_VALUE"""),40992)</f>
        <v>40992</v>
      </c>
      <c r="G4315" s="9" t="str">
        <f ca="1">IFERROR(__xludf.DUMMYFUNCTION("""COMPUTED_VALUE"""),"1 USD = 91.9127 PKR")</f>
        <v>1 USD = 91.9127 PKR</v>
      </c>
      <c r="H4315" s="9" t="str">
        <f ca="1">IFERROR(__xludf.DUMMYFUNCTION("""COMPUTED_VALUE"""),"USD PKR rate for 24/03/2012")</f>
        <v>USD PKR rate for 24/03/2012</v>
      </c>
      <c r="I4315" s="9"/>
    </row>
    <row r="4316" spans="1:9" ht="14.25" customHeight="1" x14ac:dyDescent="0.3">
      <c r="A4316" s="10">
        <v>44033</v>
      </c>
      <c r="B4316" s="7">
        <v>167.58700000000002</v>
      </c>
      <c r="C4316" s="8">
        <f t="shared" si="33"/>
        <v>170.8595110788458</v>
      </c>
      <c r="D4316" s="9">
        <f t="shared" si="32"/>
        <v>73.551878098542261</v>
      </c>
      <c r="E4316" s="9"/>
      <c r="F4316" s="9">
        <f ca="1">IFERROR(__xludf.DUMMYFUNCTION("""COMPUTED_VALUE"""),40991)</f>
        <v>40991</v>
      </c>
      <c r="G4316" s="9" t="str">
        <f ca="1">IFERROR(__xludf.DUMMYFUNCTION("""COMPUTED_VALUE"""),"1 USD = 91.9127 PKR")</f>
        <v>1 USD = 91.9127 PKR</v>
      </c>
      <c r="H4316" s="9" t="str">
        <f ca="1">IFERROR(__xludf.DUMMYFUNCTION("""COMPUTED_VALUE"""),"USD PKR rate for 23/03/2012")</f>
        <v>USD PKR rate for 23/03/2012</v>
      </c>
      <c r="I4316" s="9"/>
    </row>
    <row r="4317" spans="1:9" ht="14.25" customHeight="1" x14ac:dyDescent="0.3">
      <c r="A4317" s="10">
        <v>44034</v>
      </c>
      <c r="B4317" s="7">
        <v>167.94659999999999</v>
      </c>
      <c r="C4317" s="8">
        <f t="shared" si="33"/>
        <v>170.89006926282403</v>
      </c>
      <c r="D4317" s="9">
        <f t="shared" si="32"/>
        <v>73.554615931339526</v>
      </c>
      <c r="E4317" s="9"/>
      <c r="F4317" s="9">
        <f ca="1">IFERROR(__xludf.DUMMYFUNCTION("""COMPUTED_VALUE"""),40990)</f>
        <v>40990</v>
      </c>
      <c r="G4317" s="9" t="str">
        <f ca="1">IFERROR(__xludf.DUMMYFUNCTION("""COMPUTED_VALUE"""),"1 USD = 90.7922 PKR")</f>
        <v>1 USD = 90.7922 PKR</v>
      </c>
      <c r="H4317" s="9" t="str">
        <f ca="1">IFERROR(__xludf.DUMMYFUNCTION("""COMPUTED_VALUE"""),"USD PKR rate for 22/03/2012")</f>
        <v>USD PKR rate for 22/03/2012</v>
      </c>
      <c r="I4317" s="9"/>
    </row>
    <row r="4318" spans="1:9" ht="14.25" customHeight="1" x14ac:dyDescent="0.3">
      <c r="A4318" s="10">
        <v>44035</v>
      </c>
      <c r="B4318" s="7">
        <v>167.95730000000003</v>
      </c>
      <c r="C4318" s="8">
        <f t="shared" si="33"/>
        <v>170.92063291212642</v>
      </c>
      <c r="D4318" s="9">
        <f t="shared" si="32"/>
        <v>73.557353764136792</v>
      </c>
      <c r="E4318" s="9"/>
      <c r="F4318" s="9">
        <f ca="1">IFERROR(__xludf.DUMMYFUNCTION("""COMPUTED_VALUE"""),40989)</f>
        <v>40989</v>
      </c>
      <c r="G4318" s="9" t="str">
        <f ca="1">IFERROR(__xludf.DUMMYFUNCTION("""COMPUTED_VALUE"""),"1 USD = 90.7363 PKR")</f>
        <v>1 USD = 90.7363 PKR</v>
      </c>
      <c r="H4318" s="9" t="str">
        <f ca="1">IFERROR(__xludf.DUMMYFUNCTION("""COMPUTED_VALUE"""),"USD PKR rate for 21/03/2012")</f>
        <v>USD PKR rate for 21/03/2012</v>
      </c>
      <c r="I4318" s="9"/>
    </row>
    <row r="4319" spans="1:9" ht="14.25" customHeight="1" x14ac:dyDescent="0.3">
      <c r="A4319" s="10">
        <v>44036</v>
      </c>
      <c r="B4319" s="7">
        <v>167.44390000000001</v>
      </c>
      <c r="C4319" s="8">
        <f t="shared" si="33"/>
        <v>170.95120202773037</v>
      </c>
      <c r="D4319" s="9">
        <f t="shared" si="32"/>
        <v>73.560091596934058</v>
      </c>
      <c r="E4319" s="9"/>
      <c r="F4319" s="9">
        <f ca="1">IFERROR(__xludf.DUMMYFUNCTION("""COMPUTED_VALUE"""),40988)</f>
        <v>40988</v>
      </c>
      <c r="G4319" s="9" t="str">
        <f ca="1">IFERROR(__xludf.DUMMYFUNCTION("""COMPUTED_VALUE"""),"1 USD = 90.6936 PKR")</f>
        <v>1 USD = 90.6936 PKR</v>
      </c>
      <c r="H4319" s="9" t="str">
        <f ca="1">IFERROR(__xludf.DUMMYFUNCTION("""COMPUTED_VALUE"""),"USD PKR rate for 20/03/2012")</f>
        <v>USD PKR rate for 20/03/2012</v>
      </c>
      <c r="I4319" s="9"/>
    </row>
    <row r="4320" spans="1:9" ht="14.25" customHeight="1" x14ac:dyDescent="0.3">
      <c r="A4320" s="10">
        <v>44037</v>
      </c>
      <c r="B4320" s="7">
        <v>167.4435</v>
      </c>
      <c r="C4320" s="8">
        <f t="shared" si="33"/>
        <v>170.98177661061357</v>
      </c>
      <c r="D4320" s="9">
        <f t="shared" si="32"/>
        <v>73.562829429731323</v>
      </c>
      <c r="E4320" s="9"/>
      <c r="F4320" s="9">
        <f ca="1">IFERROR(__xludf.DUMMYFUNCTION("""COMPUTED_VALUE"""),40987)</f>
        <v>40987</v>
      </c>
      <c r="G4320" s="9" t="str">
        <f ca="1">IFERROR(__xludf.DUMMYFUNCTION("""COMPUTED_VALUE"""),"1 USD = 90.7403 PKR")</f>
        <v>1 USD = 90.7403 PKR</v>
      </c>
      <c r="H4320" s="9" t="str">
        <f ca="1">IFERROR(__xludf.DUMMYFUNCTION("""COMPUTED_VALUE"""),"USD PKR rate for 19/03/2012")</f>
        <v>USD PKR rate for 19/03/2012</v>
      </c>
      <c r="I4320" s="9"/>
    </row>
    <row r="4321" spans="1:9" ht="14.25" customHeight="1" x14ac:dyDescent="0.3">
      <c r="A4321" s="10">
        <v>44038</v>
      </c>
      <c r="B4321" s="7">
        <v>167.83760000000001</v>
      </c>
      <c r="C4321" s="8">
        <f t="shared" si="33"/>
        <v>171.0123566617537</v>
      </c>
      <c r="D4321" s="9">
        <f t="shared" si="32"/>
        <v>73.565567262528589</v>
      </c>
      <c r="E4321" s="9"/>
      <c r="F4321" s="9">
        <f ca="1">IFERROR(__xludf.DUMMYFUNCTION("""COMPUTED_VALUE"""),40986)</f>
        <v>40986</v>
      </c>
      <c r="G4321" s="9" t="str">
        <f ca="1">IFERROR(__xludf.DUMMYFUNCTION("""COMPUTED_VALUE"""),"1 USD = 90.8166 PKR")</f>
        <v>1 USD = 90.8166 PKR</v>
      </c>
      <c r="H4321" s="9" t="str">
        <f ca="1">IFERROR(__xludf.DUMMYFUNCTION("""COMPUTED_VALUE"""),"USD PKR rate for 18/03/2012")</f>
        <v>USD PKR rate for 18/03/2012</v>
      </c>
      <c r="I4321" s="9"/>
    </row>
    <row r="4322" spans="1:9" ht="14.25" customHeight="1" x14ac:dyDescent="0.3">
      <c r="A4322" s="10">
        <v>44039</v>
      </c>
      <c r="B4322" s="7">
        <v>166.8186</v>
      </c>
      <c r="C4322" s="8">
        <f t="shared" si="33"/>
        <v>171.04294218212905</v>
      </c>
      <c r="D4322" s="9">
        <f t="shared" si="32"/>
        <v>73.568305095325854</v>
      </c>
      <c r="E4322" s="9"/>
      <c r="F4322" s="9">
        <f ca="1">IFERROR(__xludf.DUMMYFUNCTION("""COMPUTED_VALUE"""),40985)</f>
        <v>40985</v>
      </c>
      <c r="G4322" s="9" t="str">
        <f ca="1">IFERROR(__xludf.DUMMYFUNCTION("""COMPUTED_VALUE"""),"1 USD = 90.7707 PKR")</f>
        <v>1 USD = 90.7707 PKR</v>
      </c>
      <c r="H4322" s="9" t="str">
        <f ca="1">IFERROR(__xludf.DUMMYFUNCTION("""COMPUTED_VALUE"""),"USD PKR rate for 17/03/2012")</f>
        <v>USD PKR rate for 17/03/2012</v>
      </c>
      <c r="I4322" s="9"/>
    </row>
    <row r="4323" spans="1:9" ht="14.25" customHeight="1" x14ac:dyDescent="0.3">
      <c r="A4323" s="10">
        <v>44040</v>
      </c>
      <c r="B4323" s="7">
        <v>166.44069999999999</v>
      </c>
      <c r="C4323" s="8">
        <f t="shared" si="33"/>
        <v>171.07353317271762</v>
      </c>
      <c r="D4323" s="9">
        <f t="shared" si="32"/>
        <v>73.57104292812312</v>
      </c>
      <c r="E4323" s="9"/>
      <c r="F4323" s="9">
        <f ca="1">IFERROR(__xludf.DUMMYFUNCTION("""COMPUTED_VALUE"""),40984)</f>
        <v>40984</v>
      </c>
      <c r="G4323" s="9" t="str">
        <f ca="1">IFERROR(__xludf.DUMMYFUNCTION("""COMPUTED_VALUE"""),"1 USD = 90.7707 PKR")</f>
        <v>1 USD = 90.7707 PKR</v>
      </c>
      <c r="H4323" s="9" t="str">
        <f ca="1">IFERROR(__xludf.DUMMYFUNCTION("""COMPUTED_VALUE"""),"USD PKR rate for 16/03/2012")</f>
        <v>USD PKR rate for 16/03/2012</v>
      </c>
      <c r="I4323" s="9"/>
    </row>
    <row r="4324" spans="1:9" ht="14.25" customHeight="1" x14ac:dyDescent="0.3">
      <c r="A4324" s="10">
        <v>44041</v>
      </c>
      <c r="B4324" s="7">
        <v>166.91849999999999</v>
      </c>
      <c r="C4324" s="8">
        <f t="shared" si="33"/>
        <v>171.10412963449778</v>
      </c>
      <c r="D4324" s="9">
        <f t="shared" si="32"/>
        <v>73.573780760920386</v>
      </c>
      <c r="E4324" s="9"/>
      <c r="F4324" s="9">
        <f ca="1">IFERROR(__xludf.DUMMYFUNCTION("""COMPUTED_VALUE"""),40983)</f>
        <v>40983</v>
      </c>
      <c r="G4324" s="9" t="str">
        <f ca="1">IFERROR(__xludf.DUMMYFUNCTION("""COMPUTED_VALUE"""),"1 USD = 90.8144 PKR")</f>
        <v>1 USD = 90.8144 PKR</v>
      </c>
      <c r="H4324" s="9" t="str">
        <f ca="1">IFERROR(__xludf.DUMMYFUNCTION("""COMPUTED_VALUE"""),"USD PKR rate for 15/03/2012")</f>
        <v>USD PKR rate for 15/03/2012</v>
      </c>
      <c r="I4324" s="9"/>
    </row>
    <row r="4325" spans="1:9" ht="14.25" customHeight="1" x14ac:dyDescent="0.3">
      <c r="A4325" s="10">
        <v>44042</v>
      </c>
      <c r="B4325" s="7">
        <v>167.07069999999999</v>
      </c>
      <c r="C4325" s="8">
        <f t="shared" si="33"/>
        <v>171.13473156844802</v>
      </c>
      <c r="D4325" s="9">
        <f t="shared" si="32"/>
        <v>73.576518593717651</v>
      </c>
      <c r="E4325" s="9"/>
      <c r="F4325" s="9">
        <f ca="1">IFERROR(__xludf.DUMMYFUNCTION("""COMPUTED_VALUE"""),40982)</f>
        <v>40982</v>
      </c>
      <c r="G4325" s="9" t="str">
        <f ca="1">IFERROR(__xludf.DUMMYFUNCTION("""COMPUTED_VALUE"""),"1 USD = 90.8025 PKR")</f>
        <v>1 USD = 90.8025 PKR</v>
      </c>
      <c r="H4325" s="9" t="str">
        <f ca="1">IFERROR(__xludf.DUMMYFUNCTION("""COMPUTED_VALUE"""),"USD PKR rate for 14/03/2012")</f>
        <v>USD PKR rate for 14/03/2012</v>
      </c>
      <c r="I4325" s="9"/>
    </row>
    <row r="4326" spans="1:9" ht="14.25" customHeight="1" x14ac:dyDescent="0.3">
      <c r="A4326" s="10">
        <v>44043</v>
      </c>
      <c r="B4326" s="7">
        <v>167.6336</v>
      </c>
      <c r="C4326" s="8">
        <f t="shared" si="33"/>
        <v>171.16533897554709</v>
      </c>
      <c r="D4326" s="9">
        <f t="shared" si="32"/>
        <v>73.579256426514917</v>
      </c>
      <c r="E4326" s="9"/>
      <c r="F4326" s="9">
        <f ca="1">IFERROR(__xludf.DUMMYFUNCTION("""COMPUTED_VALUE"""),40981)</f>
        <v>40981</v>
      </c>
      <c r="G4326" s="9" t="str">
        <f ca="1">IFERROR(__xludf.DUMMYFUNCTION("""COMPUTED_VALUE"""),"1 USD = 90.8502 PKR")</f>
        <v>1 USD = 90.8502 PKR</v>
      </c>
      <c r="H4326" s="9" t="str">
        <f ca="1">IFERROR(__xludf.DUMMYFUNCTION("""COMPUTED_VALUE"""),"USD PKR rate for 13/03/2012")</f>
        <v>USD PKR rate for 13/03/2012</v>
      </c>
      <c r="I4326" s="9"/>
    </row>
    <row r="4327" spans="1:9" ht="14.25" customHeight="1" x14ac:dyDescent="0.3">
      <c r="A4327" s="10">
        <v>44044</v>
      </c>
      <c r="B4327" s="7">
        <v>167.6345</v>
      </c>
      <c r="C4327" s="8">
        <f t="shared" si="33"/>
        <v>171.19595185677383</v>
      </c>
      <c r="D4327" s="9">
        <f t="shared" si="32"/>
        <v>73.581994259312182</v>
      </c>
      <c r="E4327" s="9"/>
      <c r="F4327" s="9">
        <f ca="1">IFERROR(__xludf.DUMMYFUNCTION("""COMPUTED_VALUE"""),40980)</f>
        <v>40980</v>
      </c>
      <c r="G4327" s="9" t="str">
        <f ca="1">IFERROR(__xludf.DUMMYFUNCTION("""COMPUTED_VALUE"""),"1 USD = 90.6421 PKR")</f>
        <v>1 USD = 90.6421 PKR</v>
      </c>
      <c r="H4327" s="9" t="str">
        <f ca="1">IFERROR(__xludf.DUMMYFUNCTION("""COMPUTED_VALUE"""),"USD PKR rate for 12/03/2012")</f>
        <v>USD PKR rate for 12/03/2012</v>
      </c>
      <c r="I4327" s="9"/>
    </row>
    <row r="4328" spans="1:9" ht="14.25" customHeight="1" x14ac:dyDescent="0.3">
      <c r="A4328" s="10">
        <v>44045</v>
      </c>
      <c r="B4328" s="7">
        <v>167.50060000000002</v>
      </c>
      <c r="C4328" s="8">
        <f t="shared" si="33"/>
        <v>171.22657021310727</v>
      </c>
      <c r="D4328" s="9">
        <f t="shared" si="32"/>
        <v>73.584732092109448</v>
      </c>
      <c r="E4328" s="9"/>
      <c r="F4328" s="9">
        <f ca="1">IFERROR(__xludf.DUMMYFUNCTION("""COMPUTED_VALUE"""),40979)</f>
        <v>40979</v>
      </c>
      <c r="G4328" s="9" t="str">
        <f ca="1">IFERROR(__xludf.DUMMYFUNCTION("""COMPUTED_VALUE"""),"1 USD = 90.8014 PKR")</f>
        <v>1 USD = 90.8014 PKR</v>
      </c>
      <c r="H4328" s="9" t="str">
        <f ca="1">IFERROR(__xludf.DUMMYFUNCTION("""COMPUTED_VALUE"""),"USD PKR rate for 11/03/2012")</f>
        <v>USD PKR rate for 11/03/2012</v>
      </c>
      <c r="I4328" s="9"/>
    </row>
    <row r="4329" spans="1:9" ht="14.25" customHeight="1" x14ac:dyDescent="0.3">
      <c r="A4329" s="10">
        <v>44046</v>
      </c>
      <c r="B4329" s="7">
        <v>167.0128</v>
      </c>
      <c r="C4329" s="8">
        <f t="shared" si="33"/>
        <v>171.25719404552666</v>
      </c>
      <c r="D4329" s="9">
        <f t="shared" si="32"/>
        <v>73.587469924906713</v>
      </c>
      <c r="E4329" s="9"/>
      <c r="F4329" s="9">
        <f ca="1">IFERROR(__xludf.DUMMYFUNCTION("""COMPUTED_VALUE"""),40978)</f>
        <v>40978</v>
      </c>
      <c r="G4329" s="9" t="str">
        <f ca="1">IFERROR(__xludf.DUMMYFUNCTION("""COMPUTED_VALUE"""),"1 USD = 90.7666 PKR")</f>
        <v>1 USD = 90.7666 PKR</v>
      </c>
      <c r="H4329" s="9" t="str">
        <f ca="1">IFERROR(__xludf.DUMMYFUNCTION("""COMPUTED_VALUE"""),"USD PKR rate for 10/03/2012")</f>
        <v>USD PKR rate for 10/03/2012</v>
      </c>
      <c r="I4329" s="9"/>
    </row>
    <row r="4330" spans="1:9" ht="14.25" customHeight="1" x14ac:dyDescent="0.3">
      <c r="A4330" s="10">
        <v>44047</v>
      </c>
      <c r="B4330" s="7">
        <v>167.59649999999999</v>
      </c>
      <c r="C4330" s="8">
        <f t="shared" si="33"/>
        <v>171.2878233550112</v>
      </c>
      <c r="D4330" s="9">
        <f t="shared" si="32"/>
        <v>73.590207757703979</v>
      </c>
      <c r="E4330" s="9"/>
      <c r="F4330" s="9">
        <f ca="1">IFERROR(__xludf.DUMMYFUNCTION("""COMPUTED_VALUE"""),40977)</f>
        <v>40977</v>
      </c>
      <c r="G4330" s="9" t="str">
        <f ca="1">IFERROR(__xludf.DUMMYFUNCTION("""COMPUTED_VALUE"""),"1 USD = 90.7666 PKR")</f>
        <v>1 USD = 90.7666 PKR</v>
      </c>
      <c r="H4330" s="9" t="str">
        <f ca="1">IFERROR(__xludf.DUMMYFUNCTION("""COMPUTED_VALUE"""),"USD PKR rate for 09/03/2012")</f>
        <v>USD PKR rate for 09/03/2012</v>
      </c>
      <c r="I4330" s="9"/>
    </row>
    <row r="4331" spans="1:9" ht="14.25" customHeight="1" x14ac:dyDescent="0.3">
      <c r="A4331" s="10">
        <v>44048</v>
      </c>
      <c r="B4331" s="7">
        <v>168.18570000000003</v>
      </c>
      <c r="C4331" s="8">
        <f t="shared" si="33"/>
        <v>171.31845814254083</v>
      </c>
      <c r="D4331" s="9">
        <f t="shared" si="32"/>
        <v>73.592945590501245</v>
      </c>
      <c r="E4331" s="9"/>
      <c r="F4331" s="9">
        <f ca="1">IFERROR(__xludf.DUMMYFUNCTION("""COMPUTED_VALUE"""),40976)</f>
        <v>40976</v>
      </c>
      <c r="G4331" s="9" t="str">
        <f ca="1">IFERROR(__xludf.DUMMYFUNCTION("""COMPUTED_VALUE"""),"1 USD = 90.9341 PKR")</f>
        <v>1 USD = 90.9341 PKR</v>
      </c>
      <c r="H4331" s="9" t="str">
        <f ca="1">IFERROR(__xludf.DUMMYFUNCTION("""COMPUTED_VALUE"""),"USD PKR rate for 08/03/2012")</f>
        <v>USD PKR rate for 08/03/2012</v>
      </c>
      <c r="I4331" s="9"/>
    </row>
    <row r="4332" spans="1:9" ht="14.25" customHeight="1" x14ac:dyDescent="0.3">
      <c r="A4332" s="10">
        <v>44049</v>
      </c>
      <c r="B4332" s="7">
        <v>168.66890000000001</v>
      </c>
      <c r="C4332" s="8">
        <f t="shared" si="33"/>
        <v>171.34909840909509</v>
      </c>
      <c r="D4332" s="9">
        <f t="shared" si="32"/>
        <v>73.59568342329851</v>
      </c>
      <c r="E4332" s="9"/>
      <c r="F4332" s="9">
        <f ca="1">IFERROR(__xludf.DUMMYFUNCTION("""COMPUTED_VALUE"""),40975)</f>
        <v>40975</v>
      </c>
      <c r="G4332" s="9" t="str">
        <f ca="1">IFERROR(__xludf.DUMMYFUNCTION("""COMPUTED_VALUE"""),"1 USD = 90.9556 PKR")</f>
        <v>1 USD = 90.9556 PKR</v>
      </c>
      <c r="H4332" s="9" t="str">
        <f ca="1">IFERROR(__xludf.DUMMYFUNCTION("""COMPUTED_VALUE"""),"USD PKR rate for 07/03/2012")</f>
        <v>USD PKR rate for 07/03/2012</v>
      </c>
      <c r="I4332" s="9"/>
    </row>
    <row r="4333" spans="1:9" ht="14.25" customHeight="1" x14ac:dyDescent="0.3">
      <c r="A4333" s="10">
        <v>44050</v>
      </c>
      <c r="B4333" s="7">
        <v>167.8973</v>
      </c>
      <c r="C4333" s="8">
        <f t="shared" si="33"/>
        <v>171.37974415565395</v>
      </c>
      <c r="D4333" s="9">
        <f t="shared" si="32"/>
        <v>73.598421256095776</v>
      </c>
      <c r="E4333" s="9"/>
      <c r="F4333" s="9">
        <f ca="1">IFERROR(__xludf.DUMMYFUNCTION("""COMPUTED_VALUE"""),40974)</f>
        <v>40974</v>
      </c>
      <c r="G4333" s="9" t="str">
        <f ca="1">IFERROR(__xludf.DUMMYFUNCTION("""COMPUTED_VALUE"""),"1 USD = 90.9345 PKR")</f>
        <v>1 USD = 90.9345 PKR</v>
      </c>
      <c r="H4333" s="9" t="str">
        <f ca="1">IFERROR(__xludf.DUMMYFUNCTION("""COMPUTED_VALUE"""),"USD PKR rate for 06/03/2012")</f>
        <v>USD PKR rate for 06/03/2012</v>
      </c>
      <c r="I4333" s="9"/>
    </row>
    <row r="4334" spans="1:9" ht="14.25" customHeight="1" x14ac:dyDescent="0.3">
      <c r="A4334" s="10">
        <v>44051</v>
      </c>
      <c r="B4334" s="7">
        <v>168.8777</v>
      </c>
      <c r="C4334" s="8">
        <f t="shared" si="33"/>
        <v>171.41039538319748</v>
      </c>
      <c r="D4334" s="9">
        <f t="shared" si="32"/>
        <v>73.601159088893041</v>
      </c>
      <c r="E4334" s="9"/>
      <c r="F4334" s="9">
        <f ca="1">IFERROR(__xludf.DUMMYFUNCTION("""COMPUTED_VALUE"""),40973)</f>
        <v>40973</v>
      </c>
      <c r="G4334" s="9" t="str">
        <f ca="1">IFERROR(__xludf.DUMMYFUNCTION("""COMPUTED_VALUE"""),"1 USD = 90.8604 PKR")</f>
        <v>1 USD = 90.8604 PKR</v>
      </c>
      <c r="H4334" s="9" t="str">
        <f ca="1">IFERROR(__xludf.DUMMYFUNCTION("""COMPUTED_VALUE"""),"USD PKR rate for 05/03/2012")</f>
        <v>USD PKR rate for 05/03/2012</v>
      </c>
      <c r="I4334" s="9"/>
    </row>
    <row r="4335" spans="1:9" ht="14.25" customHeight="1" x14ac:dyDescent="0.3">
      <c r="A4335" s="10">
        <v>44052</v>
      </c>
      <c r="B4335" s="7">
        <v>168.70429999999999</v>
      </c>
      <c r="C4335" s="8">
        <f t="shared" si="33"/>
        <v>171.44105209270595</v>
      </c>
      <c r="D4335" s="9">
        <f t="shared" si="32"/>
        <v>73.603896921690307</v>
      </c>
      <c r="E4335" s="9"/>
      <c r="F4335" s="9">
        <f ca="1">IFERROR(__xludf.DUMMYFUNCTION("""COMPUTED_VALUE"""),40972)</f>
        <v>40972</v>
      </c>
      <c r="G4335" s="9" t="str">
        <f ca="1">IFERROR(__xludf.DUMMYFUNCTION("""COMPUTED_VALUE"""),"1 USD = 91.0596 PKR")</f>
        <v>1 USD = 91.0596 PKR</v>
      </c>
      <c r="H4335" s="9" t="str">
        <f ca="1">IFERROR(__xludf.DUMMYFUNCTION("""COMPUTED_VALUE"""),"USD PKR rate for 04/03/2012")</f>
        <v>USD PKR rate for 04/03/2012</v>
      </c>
      <c r="I4335" s="9"/>
    </row>
    <row r="4336" spans="1:9" ht="14.25" customHeight="1" x14ac:dyDescent="0.3">
      <c r="A4336" s="10">
        <v>44053</v>
      </c>
      <c r="B4336" s="7">
        <v>168.41400000000002</v>
      </c>
      <c r="C4336" s="8">
        <f t="shared" si="33"/>
        <v>171.47171428515981</v>
      </c>
      <c r="D4336" s="9">
        <f t="shared" si="32"/>
        <v>73.606634754487573</v>
      </c>
      <c r="E4336" s="9"/>
      <c r="F4336" s="9">
        <f ca="1">IFERROR(__xludf.DUMMYFUNCTION("""COMPUTED_VALUE"""),40971)</f>
        <v>40971</v>
      </c>
      <c r="G4336" s="9" t="str">
        <f ca="1">IFERROR(__xludf.DUMMYFUNCTION("""COMPUTED_VALUE"""),"1 USD = 91.0423 PKR")</f>
        <v>1 USD = 91.0423 PKR</v>
      </c>
      <c r="H4336" s="9" t="str">
        <f ca="1">IFERROR(__xludf.DUMMYFUNCTION("""COMPUTED_VALUE"""),"USD PKR rate for 03/03/2012")</f>
        <v>USD PKR rate for 03/03/2012</v>
      </c>
      <c r="I4336" s="9"/>
    </row>
    <row r="4337" spans="1:9" ht="14.25" customHeight="1" x14ac:dyDescent="0.3">
      <c r="A4337" s="10">
        <v>44054</v>
      </c>
      <c r="B4337" s="7">
        <v>168.5479</v>
      </c>
      <c r="C4337" s="8">
        <f t="shared" si="33"/>
        <v>171.50238196153967</v>
      </c>
      <c r="D4337" s="9">
        <f t="shared" si="32"/>
        <v>73.609372587284838</v>
      </c>
      <c r="E4337" s="9"/>
      <c r="F4337" s="9">
        <f ca="1">IFERROR(__xludf.DUMMYFUNCTION("""COMPUTED_VALUE"""),40970)</f>
        <v>40970</v>
      </c>
      <c r="G4337" s="9" t="str">
        <f ca="1">IFERROR(__xludf.DUMMYFUNCTION("""COMPUTED_VALUE"""),"1 USD = 91.0423 PKR")</f>
        <v>1 USD = 91.0423 PKR</v>
      </c>
      <c r="H4337" s="9" t="str">
        <f ca="1">IFERROR(__xludf.DUMMYFUNCTION("""COMPUTED_VALUE"""),"USD PKR rate for 02/03/2012")</f>
        <v>USD PKR rate for 02/03/2012</v>
      </c>
      <c r="I4337" s="9"/>
    </row>
    <row r="4338" spans="1:9" ht="14.25" customHeight="1" x14ac:dyDescent="0.3">
      <c r="A4338" s="10">
        <v>44055</v>
      </c>
      <c r="B4338" s="7">
        <v>168.4204</v>
      </c>
      <c r="C4338" s="8">
        <f t="shared" si="33"/>
        <v>171.53305512282637</v>
      </c>
      <c r="D4338" s="9">
        <f t="shared" ref="D4338:D4592" si="34">(A4338-$A$3)/365.2524</f>
        <v>73.612110420082104</v>
      </c>
      <c r="E4338" s="9"/>
      <c r="F4338" s="9">
        <f ca="1">IFERROR(__xludf.DUMMYFUNCTION("""COMPUTED_VALUE"""),40969)</f>
        <v>40969</v>
      </c>
      <c r="G4338" s="9" t="str">
        <f ca="1">IFERROR(__xludf.DUMMYFUNCTION("""COMPUTED_VALUE"""),"1 USD = 91.0059 PKR")</f>
        <v>1 USD = 91.0059 PKR</v>
      </c>
      <c r="H4338" s="9" t="str">
        <f ca="1">IFERROR(__xludf.DUMMYFUNCTION("""COMPUTED_VALUE"""),"USD PKR rate for 01/03/2012")</f>
        <v>USD PKR rate for 01/03/2012</v>
      </c>
      <c r="I4338" s="9"/>
    </row>
    <row r="4339" spans="1:9" ht="14.25" customHeight="1" x14ac:dyDescent="0.3">
      <c r="A4339" s="10">
        <v>44056</v>
      </c>
      <c r="B4339" s="7">
        <v>168.17439999999999</v>
      </c>
      <c r="C4339" s="8">
        <f t="shared" ref="C4339:C4593" si="35">(1+$C$1)^D4339*$C$3</f>
        <v>171.56373377000071</v>
      </c>
      <c r="D4339" s="9">
        <f t="shared" si="34"/>
        <v>73.614848252879369</v>
      </c>
      <c r="E4339" s="9"/>
      <c r="F4339" s="9">
        <f ca="1">IFERROR(__xludf.DUMMYFUNCTION("""COMPUTED_VALUE"""),40968)</f>
        <v>40968</v>
      </c>
      <c r="G4339" s="9" t="str">
        <f ca="1">IFERROR(__xludf.DUMMYFUNCTION("""COMPUTED_VALUE"""),"1 USD = 91.012 PKR")</f>
        <v>1 USD = 91.012 PKR</v>
      </c>
      <c r="H4339" s="9" t="str">
        <f ca="1">IFERROR(__xludf.DUMMYFUNCTION("""COMPUTED_VALUE"""),"USD PKR rate for 29/02/2012")</f>
        <v>USD PKR rate for 29/02/2012</v>
      </c>
      <c r="I4339" s="9"/>
    </row>
    <row r="4340" spans="1:9" ht="14.25" customHeight="1" x14ac:dyDescent="0.3">
      <c r="A4340" s="10">
        <v>44057</v>
      </c>
      <c r="B4340" s="7">
        <v>168.0772</v>
      </c>
      <c r="C4340" s="8">
        <f t="shared" si="35"/>
        <v>171.59441790404415</v>
      </c>
      <c r="D4340" s="9">
        <f t="shared" si="34"/>
        <v>73.617586085676635</v>
      </c>
      <c r="E4340" s="9"/>
      <c r="F4340" s="9">
        <f ca="1">IFERROR(__xludf.DUMMYFUNCTION("""COMPUTED_VALUE"""),40967)</f>
        <v>40967</v>
      </c>
      <c r="G4340" s="9" t="str">
        <f ca="1">IFERROR(__xludf.DUMMYFUNCTION("""COMPUTED_VALUE"""),"1 USD = 90.6944 PKR")</f>
        <v>1 USD = 90.6944 PKR</v>
      </c>
      <c r="H4340" s="9" t="str">
        <f ca="1">IFERROR(__xludf.DUMMYFUNCTION("""COMPUTED_VALUE"""),"USD PKR rate for 28/02/2012")</f>
        <v>USD PKR rate for 28/02/2012</v>
      </c>
      <c r="I4340" s="9"/>
    </row>
    <row r="4341" spans="1:9" ht="14.25" customHeight="1" x14ac:dyDescent="0.3">
      <c r="A4341" s="10">
        <v>44058</v>
      </c>
      <c r="B4341" s="7">
        <v>168.83250000000001</v>
      </c>
      <c r="C4341" s="8">
        <f t="shared" si="35"/>
        <v>171.62510752593784</v>
      </c>
      <c r="D4341" s="9">
        <f t="shared" si="34"/>
        <v>73.6203239184739</v>
      </c>
      <c r="E4341" s="9"/>
      <c r="F4341" s="9">
        <f ca="1">IFERROR(__xludf.DUMMYFUNCTION("""COMPUTED_VALUE"""),40966)</f>
        <v>40966</v>
      </c>
      <c r="G4341" s="9" t="str">
        <f ca="1">IFERROR(__xludf.DUMMYFUNCTION("""COMPUTED_VALUE"""),"1 USD = 90.8664 PKR")</f>
        <v>1 USD = 90.8664 PKR</v>
      </c>
      <c r="H4341" s="9" t="str">
        <f ca="1">IFERROR(__xludf.DUMMYFUNCTION("""COMPUTED_VALUE"""),"USD PKR rate for 27/02/2012")</f>
        <v>USD PKR rate for 27/02/2012</v>
      </c>
      <c r="I4341" s="9"/>
    </row>
    <row r="4342" spans="1:9" ht="14.25" customHeight="1" x14ac:dyDescent="0.3">
      <c r="A4342" s="10">
        <v>44059</v>
      </c>
      <c r="B4342" s="7">
        <v>168.072</v>
      </c>
      <c r="C4342" s="8">
        <f t="shared" si="35"/>
        <v>171.65580263666331</v>
      </c>
      <c r="D4342" s="9">
        <f t="shared" si="34"/>
        <v>73.623061751271166</v>
      </c>
      <c r="E4342" s="9"/>
      <c r="F4342" s="9">
        <f ca="1">IFERROR(__xludf.DUMMYFUNCTION("""COMPUTED_VALUE"""),40965)</f>
        <v>40965</v>
      </c>
      <c r="G4342" s="9" t="str">
        <f ca="1">IFERROR(__xludf.DUMMYFUNCTION("""COMPUTED_VALUE"""),"1 USD = 90.8562 PKR")</f>
        <v>1 USD = 90.8562 PKR</v>
      </c>
      <c r="H4342" s="9" t="str">
        <f ca="1">IFERROR(__xludf.DUMMYFUNCTION("""COMPUTED_VALUE"""),"USD PKR rate for 26/02/2012")</f>
        <v>USD PKR rate for 26/02/2012</v>
      </c>
      <c r="I4342" s="9"/>
    </row>
    <row r="4343" spans="1:9" ht="14.25" customHeight="1" x14ac:dyDescent="0.3">
      <c r="A4343" s="10">
        <v>44060</v>
      </c>
      <c r="B4343" s="7">
        <v>167.91970000000001</v>
      </c>
      <c r="C4343" s="8">
        <f t="shared" si="35"/>
        <v>171.6865032372022</v>
      </c>
      <c r="D4343" s="9">
        <f t="shared" si="34"/>
        <v>73.625799584068432</v>
      </c>
      <c r="E4343" s="9"/>
      <c r="F4343" s="9">
        <f ca="1">IFERROR(__xludf.DUMMYFUNCTION("""COMPUTED_VALUE"""),40964)</f>
        <v>40964</v>
      </c>
      <c r="G4343" s="9" t="str">
        <f ca="1">IFERROR(__xludf.DUMMYFUNCTION("""COMPUTED_VALUE"""),"1 USD = 90.9134 PKR")</f>
        <v>1 USD = 90.9134 PKR</v>
      </c>
      <c r="H4343" s="9" t="str">
        <f ca="1">IFERROR(__xludf.DUMMYFUNCTION("""COMPUTED_VALUE"""),"USD PKR rate for 25/02/2012")</f>
        <v>USD PKR rate for 25/02/2012</v>
      </c>
      <c r="I4343" s="9"/>
    </row>
    <row r="4344" spans="1:9" ht="14.25" customHeight="1" x14ac:dyDescent="0.3">
      <c r="A4344" s="10">
        <v>44061</v>
      </c>
      <c r="B4344" s="7">
        <v>168.04620000000003</v>
      </c>
      <c r="C4344" s="8">
        <f t="shared" si="35"/>
        <v>171.7172093285364</v>
      </c>
      <c r="D4344" s="9">
        <f t="shared" si="34"/>
        <v>73.628537416865697</v>
      </c>
      <c r="E4344" s="9"/>
      <c r="F4344" s="9">
        <f ca="1">IFERROR(__xludf.DUMMYFUNCTION("""COMPUTED_VALUE"""),40963)</f>
        <v>40963</v>
      </c>
      <c r="G4344" s="9" t="str">
        <f ca="1">IFERROR(__xludf.DUMMYFUNCTION("""COMPUTED_VALUE"""),"1 USD = 90.9134 PKR")</f>
        <v>1 USD = 90.9134 PKR</v>
      </c>
      <c r="H4344" s="9" t="str">
        <f ca="1">IFERROR(__xludf.DUMMYFUNCTION("""COMPUTED_VALUE"""),"USD PKR rate for 24/02/2012")</f>
        <v>USD PKR rate for 24/02/2012</v>
      </c>
      <c r="I4344" s="9"/>
    </row>
    <row r="4345" spans="1:9" ht="14.25" customHeight="1" x14ac:dyDescent="0.3">
      <c r="A4345" s="10">
        <v>44062</v>
      </c>
      <c r="B4345" s="7">
        <v>168.44800000000001</v>
      </c>
      <c r="C4345" s="8">
        <f t="shared" si="35"/>
        <v>171.74792091164792</v>
      </c>
      <c r="D4345" s="9">
        <f t="shared" si="34"/>
        <v>73.631275249662963</v>
      </c>
      <c r="E4345" s="9"/>
      <c r="F4345" s="9">
        <f ca="1">IFERROR(__xludf.DUMMYFUNCTION("""COMPUTED_VALUE"""),40962)</f>
        <v>40962</v>
      </c>
      <c r="G4345" s="9" t="str">
        <f ca="1">IFERROR(__xludf.DUMMYFUNCTION("""COMPUTED_VALUE"""),"1 USD = 90.8495 PKR")</f>
        <v>1 USD = 90.8495 PKR</v>
      </c>
      <c r="H4345" s="9" t="str">
        <f ca="1">IFERROR(__xludf.DUMMYFUNCTION("""COMPUTED_VALUE"""),"USD PKR rate for 23/02/2012")</f>
        <v>USD PKR rate for 23/02/2012</v>
      </c>
      <c r="I4345" s="9"/>
    </row>
    <row r="4346" spans="1:9" ht="14.25" customHeight="1" x14ac:dyDescent="0.3">
      <c r="A4346" s="10">
        <v>44063</v>
      </c>
      <c r="B4346" s="7">
        <v>168.70160000000001</v>
      </c>
      <c r="C4346" s="8">
        <f t="shared" si="35"/>
        <v>171.77863798751898</v>
      </c>
      <c r="D4346" s="9">
        <f t="shared" si="34"/>
        <v>73.634013082460228</v>
      </c>
      <c r="E4346" s="9"/>
      <c r="F4346" s="9">
        <f ca="1">IFERROR(__xludf.DUMMYFUNCTION("""COMPUTED_VALUE"""),40961)</f>
        <v>40961</v>
      </c>
      <c r="G4346" s="9" t="str">
        <f ca="1">IFERROR(__xludf.DUMMYFUNCTION("""COMPUTED_VALUE"""),"1 USD = 90.795 PKR")</f>
        <v>1 USD = 90.795 PKR</v>
      </c>
      <c r="H4346" s="9" t="str">
        <f ca="1">IFERROR(__xludf.DUMMYFUNCTION("""COMPUTED_VALUE"""),"USD PKR rate for 22/02/2012")</f>
        <v>USD PKR rate for 22/02/2012</v>
      </c>
      <c r="I4346" s="9"/>
    </row>
    <row r="4347" spans="1:9" ht="14.25" customHeight="1" x14ac:dyDescent="0.3">
      <c r="A4347" s="10">
        <v>44064</v>
      </c>
      <c r="B4347" s="7">
        <v>168.57570000000001</v>
      </c>
      <c r="C4347" s="8">
        <f t="shared" si="35"/>
        <v>171.80936055713192</v>
      </c>
      <c r="D4347" s="9">
        <f t="shared" si="34"/>
        <v>73.636750915257494</v>
      </c>
      <c r="E4347" s="9"/>
      <c r="F4347" s="9">
        <f ca="1">IFERROR(__xludf.DUMMYFUNCTION("""COMPUTED_VALUE"""),40960)</f>
        <v>40960</v>
      </c>
      <c r="G4347" s="9" t="str">
        <f ca="1">IFERROR(__xludf.DUMMYFUNCTION("""COMPUTED_VALUE"""),"1 USD = 90.7925 PKR")</f>
        <v>1 USD = 90.7925 PKR</v>
      </c>
      <c r="H4347" s="9" t="str">
        <f ca="1">IFERROR(__xludf.DUMMYFUNCTION("""COMPUTED_VALUE"""),"USD PKR rate for 21/02/2012")</f>
        <v>USD PKR rate for 21/02/2012</v>
      </c>
      <c r="I4347" s="9"/>
    </row>
    <row r="4348" spans="1:9" ht="14.25" customHeight="1" x14ac:dyDescent="0.3">
      <c r="A4348" s="10">
        <v>44065</v>
      </c>
      <c r="B4348" s="7">
        <v>168.57570000000001</v>
      </c>
      <c r="C4348" s="8">
        <f t="shared" si="35"/>
        <v>171.84008862146916</v>
      </c>
      <c r="D4348" s="9">
        <f t="shared" si="34"/>
        <v>73.63948874805476</v>
      </c>
      <c r="E4348" s="9"/>
      <c r="F4348" s="9">
        <f ca="1">IFERROR(__xludf.DUMMYFUNCTION("""COMPUTED_VALUE"""),40959)</f>
        <v>40959</v>
      </c>
      <c r="G4348" s="9" t="str">
        <f ca="1">IFERROR(__xludf.DUMMYFUNCTION("""COMPUTED_VALUE"""),"1 USD = 91.0845 PKR")</f>
        <v>1 USD = 91.0845 PKR</v>
      </c>
      <c r="H4348" s="9" t="str">
        <f ca="1">IFERROR(__xludf.DUMMYFUNCTION("""COMPUTED_VALUE"""),"USD PKR rate for 20/02/2012")</f>
        <v>USD PKR rate for 20/02/2012</v>
      </c>
      <c r="I4348" s="9"/>
    </row>
    <row r="4349" spans="1:9" ht="14.25" customHeight="1" x14ac:dyDescent="0.3">
      <c r="A4349" s="10">
        <v>44066</v>
      </c>
      <c r="B4349" s="7">
        <v>168.53380000000001</v>
      </c>
      <c r="C4349" s="8">
        <f t="shared" si="35"/>
        <v>171.87082218151377</v>
      </c>
      <c r="D4349" s="9">
        <f t="shared" si="34"/>
        <v>73.642226580852025</v>
      </c>
      <c r="E4349" s="9"/>
      <c r="F4349" s="9">
        <f ca="1">IFERROR(__xludf.DUMMYFUNCTION("""COMPUTED_VALUE"""),40958)</f>
        <v>40958</v>
      </c>
      <c r="G4349" s="9" t="str">
        <f ca="1">IFERROR(__xludf.DUMMYFUNCTION("""COMPUTED_VALUE"""),"1 USD = 90.6135 PKR")</f>
        <v>1 USD = 90.6135 PKR</v>
      </c>
      <c r="H4349" s="9" t="str">
        <f ca="1">IFERROR(__xludf.DUMMYFUNCTION("""COMPUTED_VALUE"""),"USD PKR rate for 19/02/2012")</f>
        <v>USD PKR rate for 19/02/2012</v>
      </c>
      <c r="I4349" s="9"/>
    </row>
    <row r="4350" spans="1:9" ht="14.25" customHeight="1" x14ac:dyDescent="0.3">
      <c r="A4350" s="10">
        <v>44067</v>
      </c>
      <c r="B4350" s="7">
        <v>168.5617</v>
      </c>
      <c r="C4350" s="8">
        <f t="shared" si="35"/>
        <v>171.90156123824849</v>
      </c>
      <c r="D4350" s="9">
        <f t="shared" si="34"/>
        <v>73.644964413649291</v>
      </c>
      <c r="E4350" s="9"/>
      <c r="F4350" s="9">
        <f ca="1">IFERROR(__xludf.DUMMYFUNCTION("""COMPUTED_VALUE"""),40957)</f>
        <v>40957</v>
      </c>
      <c r="G4350" s="9" t="str">
        <f ca="1">IFERROR(__xludf.DUMMYFUNCTION("""COMPUTED_VALUE"""),"1 USD = 90.8425 PKR")</f>
        <v>1 USD = 90.8425 PKR</v>
      </c>
      <c r="H4350" s="9" t="str">
        <f ca="1">IFERROR(__xludf.DUMMYFUNCTION("""COMPUTED_VALUE"""),"USD PKR rate for 18/02/2012")</f>
        <v>USD PKR rate for 18/02/2012</v>
      </c>
      <c r="I4350" s="9"/>
    </row>
    <row r="4351" spans="1:9" ht="14.25" customHeight="1" x14ac:dyDescent="0.3">
      <c r="A4351" s="10">
        <v>44068</v>
      </c>
      <c r="B4351" s="7">
        <v>168.48939999999999</v>
      </c>
      <c r="C4351" s="8">
        <f t="shared" si="35"/>
        <v>171.93230579265634</v>
      </c>
      <c r="D4351" s="9">
        <f t="shared" si="34"/>
        <v>73.647702246446556</v>
      </c>
      <c r="E4351" s="9"/>
      <c r="F4351" s="9">
        <f ca="1">IFERROR(__xludf.DUMMYFUNCTION("""COMPUTED_VALUE"""),40956)</f>
        <v>40956</v>
      </c>
      <c r="G4351" s="9" t="str">
        <f ca="1">IFERROR(__xludf.DUMMYFUNCTION("""COMPUTED_VALUE"""),"1 USD = 90.8425 PKR")</f>
        <v>1 USD = 90.8425 PKR</v>
      </c>
      <c r="H4351" s="9" t="str">
        <f ca="1">IFERROR(__xludf.DUMMYFUNCTION("""COMPUTED_VALUE"""),"USD PKR rate for 17/02/2012")</f>
        <v>USD PKR rate for 17/02/2012</v>
      </c>
      <c r="I4351" s="9"/>
    </row>
    <row r="4352" spans="1:9" ht="14.25" customHeight="1" x14ac:dyDescent="0.3">
      <c r="A4352" s="10">
        <v>44069</v>
      </c>
      <c r="B4352" s="7">
        <v>168.5556</v>
      </c>
      <c r="C4352" s="8">
        <f t="shared" si="35"/>
        <v>171.96305584572065</v>
      </c>
      <c r="D4352" s="9">
        <f t="shared" si="34"/>
        <v>73.650440079243822</v>
      </c>
      <c r="E4352" s="9"/>
      <c r="F4352" s="9">
        <f ca="1">IFERROR(__xludf.DUMMYFUNCTION("""COMPUTED_VALUE"""),40955)</f>
        <v>40955</v>
      </c>
      <c r="G4352" s="9" t="str">
        <f ca="1">IFERROR(__xludf.DUMMYFUNCTION("""COMPUTED_VALUE"""),"1 USD = 90.7394 PKR")</f>
        <v>1 USD = 90.7394 PKR</v>
      </c>
      <c r="H4352" s="9" t="str">
        <f ca="1">IFERROR(__xludf.DUMMYFUNCTION("""COMPUTED_VALUE"""),"USD PKR rate for 16/02/2012")</f>
        <v>USD PKR rate for 16/02/2012</v>
      </c>
      <c r="I4352" s="9"/>
    </row>
    <row r="4353" spans="1:9" ht="14.25" customHeight="1" x14ac:dyDescent="0.3">
      <c r="A4353" s="10">
        <v>44070</v>
      </c>
      <c r="B4353" s="7">
        <v>167.44919999999999</v>
      </c>
      <c r="C4353" s="8">
        <f t="shared" si="35"/>
        <v>171.99381139842481</v>
      </c>
      <c r="D4353" s="9">
        <f t="shared" si="34"/>
        <v>73.653177912041087</v>
      </c>
      <c r="E4353" s="9"/>
      <c r="F4353" s="9">
        <f ca="1">IFERROR(__xludf.DUMMYFUNCTION("""COMPUTED_VALUE"""),40954)</f>
        <v>40954</v>
      </c>
      <c r="G4353" s="9" t="str">
        <f ca="1">IFERROR(__xludf.DUMMYFUNCTION("""COMPUTED_VALUE"""),"1 USD = 90.7602 PKR")</f>
        <v>1 USD = 90.7602 PKR</v>
      </c>
      <c r="H4353" s="9" t="str">
        <f ca="1">IFERROR(__xludf.DUMMYFUNCTION("""COMPUTED_VALUE"""),"USD PKR rate for 15/02/2012")</f>
        <v>USD PKR rate for 15/02/2012</v>
      </c>
      <c r="I4353" s="9"/>
    </row>
    <row r="4354" spans="1:9" ht="14.25" customHeight="1" x14ac:dyDescent="0.3">
      <c r="A4354" s="10">
        <v>44071</v>
      </c>
      <c r="B4354" s="7">
        <v>167.29159999999999</v>
      </c>
      <c r="C4354" s="8">
        <f t="shared" si="35"/>
        <v>172.02457245175245</v>
      </c>
      <c r="D4354" s="9">
        <f t="shared" si="34"/>
        <v>73.655915744838353</v>
      </c>
      <c r="E4354" s="9"/>
      <c r="F4354" s="9">
        <f ca="1">IFERROR(__xludf.DUMMYFUNCTION("""COMPUTED_VALUE"""),40953)</f>
        <v>40953</v>
      </c>
      <c r="G4354" s="9" t="str">
        <f ca="1">IFERROR(__xludf.DUMMYFUNCTION("""COMPUTED_VALUE"""),"1 USD = 90.6651 PKR")</f>
        <v>1 USD = 90.6651 PKR</v>
      </c>
      <c r="H4354" s="9" t="str">
        <f ca="1">IFERROR(__xludf.DUMMYFUNCTION("""COMPUTED_VALUE"""),"USD PKR rate for 14/02/2012")</f>
        <v>USD PKR rate for 14/02/2012</v>
      </c>
      <c r="I4354" s="9"/>
    </row>
    <row r="4355" spans="1:9" ht="14.25" customHeight="1" x14ac:dyDescent="0.3">
      <c r="A4355" s="10">
        <v>44072</v>
      </c>
      <c r="B4355" s="7">
        <v>167.29159999999999</v>
      </c>
      <c r="C4355" s="8">
        <f t="shared" si="35"/>
        <v>172.05533900668738</v>
      </c>
      <c r="D4355" s="9">
        <f t="shared" si="34"/>
        <v>73.658653577635619</v>
      </c>
      <c r="E4355" s="9"/>
      <c r="F4355" s="9">
        <f ca="1">IFERROR(__xludf.DUMMYFUNCTION("""COMPUTED_VALUE"""),40952)</f>
        <v>40952</v>
      </c>
      <c r="G4355" s="9" t="str">
        <f ca="1">IFERROR(__xludf.DUMMYFUNCTION("""COMPUTED_VALUE"""),"1 USD = 90.9826 PKR")</f>
        <v>1 USD = 90.9826 PKR</v>
      </c>
      <c r="H4355" s="9" t="str">
        <f ca="1">IFERROR(__xludf.DUMMYFUNCTION("""COMPUTED_VALUE"""),"USD PKR rate for 13/02/2012")</f>
        <v>USD PKR rate for 13/02/2012</v>
      </c>
      <c r="I4355" s="9"/>
    </row>
    <row r="4356" spans="1:9" ht="14.25" customHeight="1" x14ac:dyDescent="0.3">
      <c r="A4356" s="10">
        <v>44073</v>
      </c>
      <c r="B4356" s="7">
        <v>167.42720000000003</v>
      </c>
      <c r="C4356" s="8">
        <f t="shared" si="35"/>
        <v>172.08611106421353</v>
      </c>
      <c r="D4356" s="9">
        <f t="shared" si="34"/>
        <v>73.661391410432884</v>
      </c>
      <c r="E4356" s="9"/>
      <c r="F4356" s="9">
        <f ca="1">IFERROR(__xludf.DUMMYFUNCTION("""COMPUTED_VALUE"""),40951)</f>
        <v>40951</v>
      </c>
      <c r="G4356" s="9" t="str">
        <f ca="1">IFERROR(__xludf.DUMMYFUNCTION("""COMPUTED_VALUE"""),"1 USD = 90.6311 PKR")</f>
        <v>1 USD = 90.6311 PKR</v>
      </c>
      <c r="H4356" s="9" t="str">
        <f ca="1">IFERROR(__xludf.DUMMYFUNCTION("""COMPUTED_VALUE"""),"USD PKR rate for 12/02/2012")</f>
        <v>USD PKR rate for 12/02/2012</v>
      </c>
      <c r="I4356" s="9"/>
    </row>
    <row r="4357" spans="1:9" ht="14.25" customHeight="1" x14ac:dyDescent="0.3">
      <c r="A4357" s="10">
        <v>44074</v>
      </c>
      <c r="B4357" s="7">
        <v>165.48480000000001</v>
      </c>
      <c r="C4357" s="8">
        <f t="shared" si="35"/>
        <v>172.11688862531486</v>
      </c>
      <c r="D4357" s="9">
        <f t="shared" si="34"/>
        <v>73.66412924323015</v>
      </c>
      <c r="E4357" s="9"/>
      <c r="F4357" s="9">
        <f ca="1">IFERROR(__xludf.DUMMYFUNCTION("""COMPUTED_VALUE"""),40950)</f>
        <v>40950</v>
      </c>
      <c r="G4357" s="9" t="str">
        <f ca="1">IFERROR(__xludf.DUMMYFUNCTION("""COMPUTED_VALUE"""),"1 USD = 90.7806 PKR")</f>
        <v>1 USD = 90.7806 PKR</v>
      </c>
      <c r="H4357" s="9" t="str">
        <f ca="1">IFERROR(__xludf.DUMMYFUNCTION("""COMPUTED_VALUE"""),"USD PKR rate for 11/02/2012")</f>
        <v>USD PKR rate for 11/02/2012</v>
      </c>
      <c r="I4357" s="9"/>
    </row>
    <row r="4358" spans="1:9" ht="14.25" customHeight="1" x14ac:dyDescent="0.3">
      <c r="A4358" s="10">
        <v>44075</v>
      </c>
      <c r="B4358" s="7">
        <v>165.37560000000002</v>
      </c>
      <c r="C4358" s="8">
        <f t="shared" si="35"/>
        <v>172.14767169097601</v>
      </c>
      <c r="D4358" s="9">
        <f t="shared" si="34"/>
        <v>73.666867076027415</v>
      </c>
      <c r="E4358" s="9"/>
      <c r="F4358" s="9">
        <f ca="1">IFERROR(__xludf.DUMMYFUNCTION("""COMPUTED_VALUE"""),40949)</f>
        <v>40949</v>
      </c>
      <c r="G4358" s="9" t="str">
        <f ca="1">IFERROR(__xludf.DUMMYFUNCTION("""COMPUTED_VALUE"""),"1 USD = 90.5834 PKR")</f>
        <v>1 USD = 90.5834 PKR</v>
      </c>
      <c r="H4358" s="9" t="str">
        <f ca="1">IFERROR(__xludf.DUMMYFUNCTION("""COMPUTED_VALUE"""),"USD PKR rate for 10/02/2012")</f>
        <v>USD PKR rate for 10/02/2012</v>
      </c>
      <c r="I4358" s="9"/>
    </row>
    <row r="4359" spans="1:9" ht="14.25" customHeight="1" x14ac:dyDescent="0.3">
      <c r="A4359" s="10">
        <v>44076</v>
      </c>
      <c r="B4359" s="7">
        <v>165.43510000000001</v>
      </c>
      <c r="C4359" s="8">
        <f t="shared" si="35"/>
        <v>172.17846026218135</v>
      </c>
      <c r="D4359" s="9">
        <f t="shared" si="34"/>
        <v>73.669604908824681</v>
      </c>
      <c r="E4359" s="9"/>
      <c r="F4359" s="9">
        <f ca="1">IFERROR(__xludf.DUMMYFUNCTION("""COMPUTED_VALUE"""),40948)</f>
        <v>40948</v>
      </c>
      <c r="G4359" s="9" t="str">
        <f ca="1">IFERROR(__xludf.DUMMYFUNCTION("""COMPUTED_VALUE"""),"1 USD = 90.7619 PKR")</f>
        <v>1 USD = 90.7619 PKR</v>
      </c>
      <c r="H4359" s="9" t="str">
        <f ca="1">IFERROR(__xludf.DUMMYFUNCTION("""COMPUTED_VALUE"""),"USD PKR rate for 09/02/2012")</f>
        <v>USD PKR rate for 09/02/2012</v>
      </c>
      <c r="I4359" s="9"/>
    </row>
    <row r="4360" spans="1:9" ht="14.25" customHeight="1" x14ac:dyDescent="0.3">
      <c r="A4360" s="10">
        <v>44077</v>
      </c>
      <c r="B4360" s="7">
        <v>166.0461</v>
      </c>
      <c r="C4360" s="8">
        <f t="shared" si="35"/>
        <v>172.2092543399155</v>
      </c>
      <c r="D4360" s="9">
        <f t="shared" si="34"/>
        <v>73.672342741621947</v>
      </c>
      <c r="E4360" s="9"/>
      <c r="F4360" s="9">
        <f ca="1">IFERROR(__xludf.DUMMYFUNCTION("""COMPUTED_VALUE"""),40947)</f>
        <v>40947</v>
      </c>
      <c r="G4360" s="9" t="str">
        <f ca="1">IFERROR(__xludf.DUMMYFUNCTION("""COMPUTED_VALUE"""),"1 USD = 90.753 PKR")</f>
        <v>1 USD = 90.753 PKR</v>
      </c>
      <c r="H4360" s="9" t="str">
        <f ca="1">IFERROR(__xludf.DUMMYFUNCTION("""COMPUTED_VALUE"""),"USD PKR rate for 08/02/2012")</f>
        <v>USD PKR rate for 08/02/2012</v>
      </c>
      <c r="I4360" s="9"/>
    </row>
    <row r="4361" spans="1:9" ht="14.25" customHeight="1" x14ac:dyDescent="0.3">
      <c r="A4361" s="10">
        <v>44078</v>
      </c>
      <c r="B4361" s="7">
        <v>165.9503</v>
      </c>
      <c r="C4361" s="8">
        <f t="shared" si="35"/>
        <v>172.24005392516332</v>
      </c>
      <c r="D4361" s="9">
        <f t="shared" si="34"/>
        <v>73.675080574419212</v>
      </c>
      <c r="E4361" s="9"/>
      <c r="F4361" s="9">
        <f ca="1">IFERROR(__xludf.DUMMYFUNCTION("""COMPUTED_VALUE"""),40946)</f>
        <v>40946</v>
      </c>
      <c r="G4361" s="9" t="str">
        <f ca="1">IFERROR(__xludf.DUMMYFUNCTION("""COMPUTED_VALUE"""),"1 USD = 90.6425 PKR")</f>
        <v>1 USD = 90.6425 PKR</v>
      </c>
      <c r="H4361" s="9" t="str">
        <f ca="1">IFERROR(__xludf.DUMMYFUNCTION("""COMPUTED_VALUE"""),"USD PKR rate for 07/02/2012")</f>
        <v>USD PKR rate for 07/02/2012</v>
      </c>
      <c r="I4361" s="9"/>
    </row>
    <row r="4362" spans="1:9" ht="14.25" customHeight="1" x14ac:dyDescent="0.3">
      <c r="A4362" s="10">
        <v>44079</v>
      </c>
      <c r="B4362" s="7">
        <v>165.94990000000001</v>
      </c>
      <c r="C4362" s="8">
        <f t="shared" si="35"/>
        <v>172.27085901890985</v>
      </c>
      <c r="D4362" s="9">
        <f t="shared" si="34"/>
        <v>73.677818407216478</v>
      </c>
      <c r="E4362" s="9"/>
      <c r="F4362" s="9">
        <f ca="1">IFERROR(__xludf.DUMMYFUNCTION("""COMPUTED_VALUE"""),40945)</f>
        <v>40945</v>
      </c>
      <c r="G4362" s="9" t="str">
        <f ca="1">IFERROR(__xludf.DUMMYFUNCTION("""COMPUTED_VALUE"""),"1 USD = 90.6929 PKR")</f>
        <v>1 USD = 90.6929 PKR</v>
      </c>
      <c r="H4362" s="9" t="str">
        <f ca="1">IFERROR(__xludf.DUMMYFUNCTION("""COMPUTED_VALUE"""),"USD PKR rate for 06/02/2012")</f>
        <v>USD PKR rate for 06/02/2012</v>
      </c>
      <c r="I4362" s="9"/>
    </row>
    <row r="4363" spans="1:9" ht="14.25" customHeight="1" x14ac:dyDescent="0.3">
      <c r="A4363" s="10">
        <v>44080</v>
      </c>
      <c r="B4363" s="7">
        <v>165.74100000000001</v>
      </c>
      <c r="C4363" s="8">
        <f t="shared" si="35"/>
        <v>172.30166962214025</v>
      </c>
      <c r="D4363" s="9">
        <f t="shared" si="34"/>
        <v>73.680556240013743</v>
      </c>
      <c r="E4363" s="9"/>
      <c r="F4363" s="9">
        <f ca="1">IFERROR(__xludf.DUMMYFUNCTION("""COMPUTED_VALUE"""),40944)</f>
        <v>40944</v>
      </c>
      <c r="G4363" s="9" t="str">
        <f ca="1">IFERROR(__xludf.DUMMYFUNCTION("""COMPUTED_VALUE"""),"1 USD = 90.5507 PKR")</f>
        <v>1 USD = 90.5507 PKR</v>
      </c>
      <c r="H4363" s="9" t="str">
        <f ca="1">IFERROR(__xludf.DUMMYFUNCTION("""COMPUTED_VALUE"""),"USD PKR rate for 05/02/2012")</f>
        <v>USD PKR rate for 05/02/2012</v>
      </c>
      <c r="I4363" s="9"/>
    </row>
    <row r="4364" spans="1:9" ht="14.25" customHeight="1" x14ac:dyDescent="0.3">
      <c r="A4364" s="10">
        <v>44081</v>
      </c>
      <c r="B4364" s="7">
        <v>165.65270000000001</v>
      </c>
      <c r="C4364" s="8">
        <f t="shared" si="35"/>
        <v>172.3324857358399</v>
      </c>
      <c r="D4364" s="9">
        <f t="shared" si="34"/>
        <v>73.683294072811009</v>
      </c>
      <c r="E4364" s="9"/>
      <c r="F4364" s="9">
        <f ca="1">IFERROR(__xludf.DUMMYFUNCTION("""COMPUTED_VALUE"""),40943)</f>
        <v>40943</v>
      </c>
      <c r="G4364" s="9" t="str">
        <f ca="1">IFERROR(__xludf.DUMMYFUNCTION("""COMPUTED_VALUE"""),"1 USD = 90.4476 PKR")</f>
        <v>1 USD = 90.4476 PKR</v>
      </c>
      <c r="H4364" s="9" t="str">
        <f ca="1">IFERROR(__xludf.DUMMYFUNCTION("""COMPUTED_VALUE"""),"USD PKR rate for 04/02/2012")</f>
        <v>USD PKR rate for 04/02/2012</v>
      </c>
      <c r="I4364" s="9"/>
    </row>
    <row r="4365" spans="1:9" ht="14.25" customHeight="1" x14ac:dyDescent="0.3">
      <c r="A4365" s="10">
        <v>44082</v>
      </c>
      <c r="B4365" s="7">
        <v>166.3244</v>
      </c>
      <c r="C4365" s="8">
        <f t="shared" si="35"/>
        <v>172.3633073609945</v>
      </c>
      <c r="D4365" s="9">
        <f t="shared" si="34"/>
        <v>73.686031905608289</v>
      </c>
      <c r="E4365" s="9"/>
      <c r="F4365" s="9">
        <f ca="1">IFERROR(__xludf.DUMMYFUNCTION("""COMPUTED_VALUE"""),40942)</f>
        <v>40942</v>
      </c>
      <c r="G4365" s="9" t="str">
        <f ca="1">IFERROR(__xludf.DUMMYFUNCTION("""COMPUTED_VALUE"""),"1 USD = 90.4613 PKR")</f>
        <v>1 USD = 90.4613 PKR</v>
      </c>
      <c r="H4365" s="9" t="str">
        <f ca="1">IFERROR(__xludf.DUMMYFUNCTION("""COMPUTED_VALUE"""),"USD PKR rate for 03/02/2012")</f>
        <v>USD PKR rate for 03/02/2012</v>
      </c>
      <c r="I4365" s="9"/>
    </row>
    <row r="4366" spans="1:9" ht="14.25" customHeight="1" x14ac:dyDescent="0.3">
      <c r="A4366" s="10">
        <v>44083</v>
      </c>
      <c r="B4366" s="7">
        <v>166.29130000000001</v>
      </c>
      <c r="C4366" s="8">
        <f t="shared" si="35"/>
        <v>172.3941344985893</v>
      </c>
      <c r="D4366" s="9">
        <f t="shared" si="34"/>
        <v>73.688769738405554</v>
      </c>
      <c r="E4366" s="9"/>
      <c r="F4366" s="9">
        <f ca="1">IFERROR(__xludf.DUMMYFUNCTION("""COMPUTED_VALUE"""),40941)</f>
        <v>40941</v>
      </c>
      <c r="G4366" s="9" t="str">
        <f ca="1">IFERROR(__xludf.DUMMYFUNCTION("""COMPUTED_VALUE"""),"1 USD = 90.4695 PKR")</f>
        <v>1 USD = 90.4695 PKR</v>
      </c>
      <c r="H4366" s="9" t="str">
        <f ca="1">IFERROR(__xludf.DUMMYFUNCTION("""COMPUTED_VALUE"""),"USD PKR rate for 02/02/2012")</f>
        <v>USD PKR rate for 02/02/2012</v>
      </c>
      <c r="I4366" s="9"/>
    </row>
    <row r="4367" spans="1:9" ht="14.25" customHeight="1" x14ac:dyDescent="0.3">
      <c r="A4367" s="10">
        <v>44084</v>
      </c>
      <c r="B4367" s="7">
        <v>166.39070000000001</v>
      </c>
      <c r="C4367" s="8">
        <f t="shared" si="35"/>
        <v>172.42496714961069</v>
      </c>
      <c r="D4367" s="9">
        <f t="shared" si="34"/>
        <v>73.69150757120282</v>
      </c>
      <c r="E4367" s="9"/>
      <c r="F4367" s="9">
        <f ca="1">IFERROR(__xludf.DUMMYFUNCTION("""COMPUTED_VALUE"""),40940)</f>
        <v>40940</v>
      </c>
      <c r="G4367" s="9" t="str">
        <f ca="1">IFERROR(__xludf.DUMMYFUNCTION("""COMPUTED_VALUE"""),"1 USD = 90.4851 PKR")</f>
        <v>1 USD = 90.4851 PKR</v>
      </c>
      <c r="H4367" s="9" t="str">
        <f ca="1">IFERROR(__xludf.DUMMYFUNCTION("""COMPUTED_VALUE"""),"USD PKR rate for 01/02/2012")</f>
        <v>USD PKR rate for 01/02/2012</v>
      </c>
      <c r="I4367" s="9"/>
    </row>
    <row r="4368" spans="1:9" ht="14.25" customHeight="1" x14ac:dyDescent="0.3">
      <c r="A4368" s="10">
        <v>44085</v>
      </c>
      <c r="B4368" s="7">
        <v>166.0001</v>
      </c>
      <c r="C4368" s="8">
        <f t="shared" si="35"/>
        <v>172.45580531504456</v>
      </c>
      <c r="D4368" s="9">
        <f t="shared" si="34"/>
        <v>73.694245404000085</v>
      </c>
      <c r="E4368" s="9"/>
      <c r="F4368" s="9">
        <f ca="1">IFERROR(__xludf.DUMMYFUNCTION("""COMPUTED_VALUE"""),40939)</f>
        <v>40939</v>
      </c>
      <c r="G4368" s="9" t="str">
        <f ca="1">IFERROR(__xludf.DUMMYFUNCTION("""COMPUTED_VALUE"""),"1 USD = 90.5276 PKR")</f>
        <v>1 USD = 90.5276 PKR</v>
      </c>
      <c r="H4368" s="9" t="str">
        <f ca="1">IFERROR(__xludf.DUMMYFUNCTION("""COMPUTED_VALUE"""),"USD PKR rate for 31/01/2012")</f>
        <v>USD PKR rate for 31/01/2012</v>
      </c>
      <c r="I4368" s="9"/>
    </row>
    <row r="4369" spans="1:9" ht="14.25" customHeight="1" x14ac:dyDescent="0.3">
      <c r="A4369" s="10">
        <v>44086</v>
      </c>
      <c r="B4369" s="7">
        <v>166.0001</v>
      </c>
      <c r="C4369" s="8">
        <f t="shared" si="35"/>
        <v>172.48664899587718</v>
      </c>
      <c r="D4369" s="9">
        <f t="shared" si="34"/>
        <v>73.696983236797351</v>
      </c>
      <c r="E4369" s="9"/>
      <c r="F4369" s="9">
        <f ca="1">IFERROR(__xludf.DUMMYFUNCTION("""COMPUTED_VALUE"""),40938)</f>
        <v>40938</v>
      </c>
      <c r="G4369" s="9" t="str">
        <f ca="1">IFERROR(__xludf.DUMMYFUNCTION("""COMPUTED_VALUE"""),"1 USD = 90.3016 PKR")</f>
        <v>1 USD = 90.3016 PKR</v>
      </c>
      <c r="H4369" s="9" t="str">
        <f ca="1">IFERROR(__xludf.DUMMYFUNCTION("""COMPUTED_VALUE"""),"USD PKR rate for 30/01/2012")</f>
        <v>USD PKR rate for 30/01/2012</v>
      </c>
      <c r="I4369" s="9"/>
    </row>
    <row r="4370" spans="1:9" ht="14.25" customHeight="1" x14ac:dyDescent="0.3">
      <c r="A4370" s="10">
        <v>44087</v>
      </c>
      <c r="B4370" s="7">
        <v>166.114</v>
      </c>
      <c r="C4370" s="8">
        <f t="shared" si="35"/>
        <v>172.51749819309498</v>
      </c>
      <c r="D4370" s="9">
        <f t="shared" si="34"/>
        <v>73.699721069594617</v>
      </c>
      <c r="E4370" s="9"/>
      <c r="F4370" s="9">
        <f ca="1">IFERROR(__xludf.DUMMYFUNCTION("""COMPUTED_VALUE"""),40937)</f>
        <v>40937</v>
      </c>
      <c r="G4370" s="9" t="str">
        <f ca="1">IFERROR(__xludf.DUMMYFUNCTION("""COMPUTED_VALUE"""),"1 USD = 90.2097 PKR")</f>
        <v>1 USD = 90.2097 PKR</v>
      </c>
      <c r="H4370" s="9" t="str">
        <f ca="1">IFERROR(__xludf.DUMMYFUNCTION("""COMPUTED_VALUE"""),"USD PKR rate for 29/01/2012")</f>
        <v>USD PKR rate for 29/01/2012</v>
      </c>
      <c r="I4370" s="9"/>
    </row>
    <row r="4371" spans="1:9" ht="14.25" customHeight="1" x14ac:dyDescent="0.3">
      <c r="A4371" s="10">
        <v>44088</v>
      </c>
      <c r="B4371" s="7">
        <v>166.12710000000001</v>
      </c>
      <c r="C4371" s="8">
        <f t="shared" si="35"/>
        <v>172.54835290768452</v>
      </c>
      <c r="D4371" s="9">
        <f t="shared" si="34"/>
        <v>73.702458902391882</v>
      </c>
      <c r="E4371" s="9"/>
      <c r="F4371" s="9">
        <f ca="1">IFERROR(__xludf.DUMMYFUNCTION("""COMPUTED_VALUE"""),40936)</f>
        <v>40936</v>
      </c>
      <c r="G4371" s="9" t="str">
        <f ca="1">IFERROR(__xludf.DUMMYFUNCTION("""COMPUTED_VALUE"""),"1 USD = 89.3671 PKR")</f>
        <v>1 USD = 89.3671 PKR</v>
      </c>
      <c r="H4371" s="9" t="str">
        <f ca="1">IFERROR(__xludf.DUMMYFUNCTION("""COMPUTED_VALUE"""),"USD PKR rate for 28/01/2012")</f>
        <v>USD PKR rate for 28/01/2012</v>
      </c>
      <c r="I4371" s="9"/>
    </row>
    <row r="4372" spans="1:9" ht="14.25" customHeight="1" x14ac:dyDescent="0.3">
      <c r="A4372" s="10">
        <v>44089</v>
      </c>
      <c r="B4372" s="7">
        <v>166.37670000000003</v>
      </c>
      <c r="C4372" s="8">
        <f t="shared" si="35"/>
        <v>172.57921314063267</v>
      </c>
      <c r="D4372" s="9">
        <f t="shared" si="34"/>
        <v>73.705196735189148</v>
      </c>
      <c r="E4372" s="9"/>
      <c r="F4372" s="9">
        <f ca="1">IFERROR(__xludf.DUMMYFUNCTION("""COMPUTED_VALUE"""),40935)</f>
        <v>40935</v>
      </c>
      <c r="G4372" s="9" t="str">
        <f ca="1">IFERROR(__xludf.DUMMYFUNCTION("""COMPUTED_VALUE"""),"1 USD = 89.3671 PKR")</f>
        <v>1 USD = 89.3671 PKR</v>
      </c>
      <c r="H4372" s="9" t="str">
        <f ca="1">IFERROR(__xludf.DUMMYFUNCTION("""COMPUTED_VALUE"""),"USD PKR rate for 27/01/2012")</f>
        <v>USD PKR rate for 27/01/2012</v>
      </c>
      <c r="I4372" s="9"/>
    </row>
    <row r="4373" spans="1:9" ht="14.25" customHeight="1" x14ac:dyDescent="0.3">
      <c r="A4373" s="10">
        <v>44090</v>
      </c>
      <c r="B4373" s="7">
        <v>166.20930000000001</v>
      </c>
      <c r="C4373" s="8">
        <f t="shared" si="35"/>
        <v>172.61007889292628</v>
      </c>
      <c r="D4373" s="9">
        <f t="shared" si="34"/>
        <v>73.707934567986413</v>
      </c>
      <c r="E4373" s="9"/>
      <c r="F4373" s="9">
        <f ca="1">IFERROR(__xludf.DUMMYFUNCTION("""COMPUTED_VALUE"""),40934)</f>
        <v>40934</v>
      </c>
      <c r="G4373" s="9" t="str">
        <f ca="1">IFERROR(__xludf.DUMMYFUNCTION("""COMPUTED_VALUE"""),"1 USD = 89.6236 PKR")</f>
        <v>1 USD = 89.6236 PKR</v>
      </c>
      <c r="H4373" s="9" t="str">
        <f ca="1">IFERROR(__xludf.DUMMYFUNCTION("""COMPUTED_VALUE"""),"USD PKR rate for 26/01/2012")</f>
        <v>USD PKR rate for 26/01/2012</v>
      </c>
      <c r="I4373" s="9"/>
    </row>
    <row r="4374" spans="1:9" ht="14.25" customHeight="1" x14ac:dyDescent="0.3">
      <c r="A4374" s="10">
        <v>44091</v>
      </c>
      <c r="B4374" s="7">
        <v>166.26509999999999</v>
      </c>
      <c r="C4374" s="8">
        <f t="shared" si="35"/>
        <v>172.64095016555257</v>
      </c>
      <c r="D4374" s="9">
        <f t="shared" si="34"/>
        <v>73.710672400783679</v>
      </c>
      <c r="E4374" s="9"/>
      <c r="F4374" s="9">
        <f ca="1">IFERROR(__xludf.DUMMYFUNCTION("""COMPUTED_VALUE"""),40933)</f>
        <v>40933</v>
      </c>
      <c r="G4374" s="9" t="str">
        <f ca="1">IFERROR(__xludf.DUMMYFUNCTION("""COMPUTED_VALUE"""),"1 USD = 89.761 PKR")</f>
        <v>1 USD = 89.761 PKR</v>
      </c>
      <c r="H4374" s="9" t="str">
        <f ca="1">IFERROR(__xludf.DUMMYFUNCTION("""COMPUTED_VALUE"""),"USD PKR rate for 25/01/2012")</f>
        <v>USD PKR rate for 25/01/2012</v>
      </c>
      <c r="I4374" s="9"/>
    </row>
    <row r="4375" spans="1:9" ht="14.25" customHeight="1" x14ac:dyDescent="0.3">
      <c r="A4375" s="10">
        <v>44092</v>
      </c>
      <c r="B4375" s="7">
        <v>166.50630000000001</v>
      </c>
      <c r="C4375" s="8">
        <f t="shared" si="35"/>
        <v>172.67182695949867</v>
      </c>
      <c r="D4375" s="9">
        <f t="shared" si="34"/>
        <v>73.713410233580944</v>
      </c>
      <c r="E4375" s="9"/>
      <c r="F4375" s="9">
        <f ca="1">IFERROR(__xludf.DUMMYFUNCTION("""COMPUTED_VALUE"""),40932)</f>
        <v>40932</v>
      </c>
      <c r="G4375" s="9" t="str">
        <f ca="1">IFERROR(__xludf.DUMMYFUNCTION("""COMPUTED_VALUE"""),"1 USD = 89.9448 PKR")</f>
        <v>1 USD = 89.9448 PKR</v>
      </c>
      <c r="H4375" s="9" t="str">
        <f ca="1">IFERROR(__xludf.DUMMYFUNCTION("""COMPUTED_VALUE"""),"USD PKR rate for 24/01/2012")</f>
        <v>USD PKR rate for 24/01/2012</v>
      </c>
      <c r="I4375" s="9"/>
    </row>
    <row r="4376" spans="1:9" ht="14.25" customHeight="1" x14ac:dyDescent="0.3">
      <c r="A4376" s="10">
        <v>44093</v>
      </c>
      <c r="B4376" s="7">
        <v>166.50630000000001</v>
      </c>
      <c r="C4376" s="8">
        <f t="shared" si="35"/>
        <v>172.70270927575237</v>
      </c>
      <c r="D4376" s="9">
        <f t="shared" si="34"/>
        <v>73.71614806637821</v>
      </c>
      <c r="E4376" s="9"/>
      <c r="F4376" s="9">
        <f ca="1">IFERROR(__xludf.DUMMYFUNCTION("""COMPUTED_VALUE"""),40931)</f>
        <v>40931</v>
      </c>
      <c r="G4376" s="9" t="str">
        <f ca="1">IFERROR(__xludf.DUMMYFUNCTION("""COMPUTED_VALUE"""),"1 USD = 90.2451 PKR")</f>
        <v>1 USD = 90.2451 PKR</v>
      </c>
      <c r="H4376" s="9" t="str">
        <f ca="1">IFERROR(__xludf.DUMMYFUNCTION("""COMPUTED_VALUE"""),"USD PKR rate for 23/01/2012")</f>
        <v>USD PKR rate for 23/01/2012</v>
      </c>
      <c r="I4376" s="9"/>
    </row>
    <row r="4377" spans="1:9" ht="14.25" customHeight="1" x14ac:dyDescent="0.3">
      <c r="A4377" s="10">
        <v>44094</v>
      </c>
      <c r="B4377" s="7">
        <v>166.05590000000001</v>
      </c>
      <c r="C4377" s="8">
        <f t="shared" si="35"/>
        <v>172.73359711530117</v>
      </c>
      <c r="D4377" s="9">
        <f t="shared" si="34"/>
        <v>73.718885899175476</v>
      </c>
      <c r="E4377" s="9"/>
      <c r="F4377" s="9">
        <f ca="1">IFERROR(__xludf.DUMMYFUNCTION("""COMPUTED_VALUE"""),40930)</f>
        <v>40930</v>
      </c>
      <c r="G4377" s="9" t="str">
        <f ca="1">IFERROR(__xludf.DUMMYFUNCTION("""COMPUTED_VALUE"""),"1 USD = 90.4477 PKR")</f>
        <v>1 USD = 90.4477 PKR</v>
      </c>
      <c r="H4377" s="9" t="str">
        <f ca="1">IFERROR(__xludf.DUMMYFUNCTION("""COMPUTED_VALUE"""),"USD PKR rate for 22/01/2012")</f>
        <v>USD PKR rate for 22/01/2012</v>
      </c>
      <c r="I4377" s="9"/>
    </row>
    <row r="4378" spans="1:9" ht="14.25" customHeight="1" x14ac:dyDescent="0.3">
      <c r="A4378" s="10">
        <v>44095</v>
      </c>
      <c r="B4378" s="7">
        <v>166.09209999999999</v>
      </c>
      <c r="C4378" s="8">
        <f t="shared" si="35"/>
        <v>172.76449047913292</v>
      </c>
      <c r="D4378" s="9">
        <f t="shared" si="34"/>
        <v>73.721623731972741</v>
      </c>
      <c r="E4378" s="9"/>
      <c r="F4378" s="9">
        <f ca="1">IFERROR(__xludf.DUMMYFUNCTION("""COMPUTED_VALUE"""),40929)</f>
        <v>40929</v>
      </c>
      <c r="G4378" s="9" t="str">
        <f ca="1">IFERROR(__xludf.DUMMYFUNCTION("""COMPUTED_VALUE"""),"1 USD = 90.256 PKR")</f>
        <v>1 USD = 90.256 PKR</v>
      </c>
      <c r="H4378" s="9" t="str">
        <f ca="1">IFERROR(__xludf.DUMMYFUNCTION("""COMPUTED_VALUE"""),"USD PKR rate for 21/01/2012")</f>
        <v>USD PKR rate for 21/01/2012</v>
      </c>
      <c r="I4378" s="9"/>
    </row>
    <row r="4379" spans="1:9" ht="14.25" customHeight="1" x14ac:dyDescent="0.3">
      <c r="A4379" s="10">
        <v>44096</v>
      </c>
      <c r="B4379" s="7">
        <v>166.19520000000003</v>
      </c>
      <c r="C4379" s="8">
        <f t="shared" si="35"/>
        <v>172.79538936823562</v>
      </c>
      <c r="D4379" s="9">
        <f t="shared" si="34"/>
        <v>73.724361564770007</v>
      </c>
      <c r="E4379" s="9"/>
      <c r="F4379" s="9">
        <f ca="1">IFERROR(__xludf.DUMMYFUNCTION("""COMPUTED_VALUE"""),40928)</f>
        <v>40928</v>
      </c>
      <c r="G4379" s="9" t="str">
        <f ca="1">IFERROR(__xludf.DUMMYFUNCTION("""COMPUTED_VALUE"""),"1 USD = 90.256 PKR")</f>
        <v>1 USD = 90.256 PKR</v>
      </c>
      <c r="H4379" s="9" t="str">
        <f ca="1">IFERROR(__xludf.DUMMYFUNCTION("""COMPUTED_VALUE"""),"USD PKR rate for 20/01/2012")</f>
        <v>USD PKR rate for 20/01/2012</v>
      </c>
      <c r="I4379" s="9"/>
    </row>
    <row r="4380" spans="1:9" ht="14.25" customHeight="1" x14ac:dyDescent="0.3">
      <c r="A4380" s="10">
        <v>44097</v>
      </c>
      <c r="B4380" s="7">
        <v>166.1944</v>
      </c>
      <c r="C4380" s="8">
        <f t="shared" si="35"/>
        <v>172.82629378359749</v>
      </c>
      <c r="D4380" s="9">
        <f t="shared" si="34"/>
        <v>73.727099397567272</v>
      </c>
      <c r="E4380" s="9"/>
      <c r="F4380" s="9">
        <f ca="1">IFERROR(__xludf.DUMMYFUNCTION("""COMPUTED_VALUE"""),40927)</f>
        <v>40927</v>
      </c>
      <c r="G4380" s="9" t="str">
        <f ca="1">IFERROR(__xludf.DUMMYFUNCTION("""COMPUTED_VALUE"""),"1 USD = 90.0839 PKR")</f>
        <v>1 USD = 90.0839 PKR</v>
      </c>
      <c r="H4380" s="9" t="str">
        <f ca="1">IFERROR(__xludf.DUMMYFUNCTION("""COMPUTED_VALUE"""),"USD PKR rate for 19/01/2012")</f>
        <v>USD PKR rate for 19/01/2012</v>
      </c>
      <c r="I4380" s="9"/>
    </row>
    <row r="4381" spans="1:9" ht="14.25" customHeight="1" x14ac:dyDescent="0.3">
      <c r="A4381" s="10">
        <v>44098</v>
      </c>
      <c r="B4381" s="7">
        <v>165.92160000000001</v>
      </c>
      <c r="C4381" s="8">
        <f t="shared" si="35"/>
        <v>172.85720372620688</v>
      </c>
      <c r="D4381" s="9">
        <f t="shared" si="34"/>
        <v>73.729837230364538</v>
      </c>
      <c r="E4381" s="9"/>
      <c r="F4381" s="9">
        <f ca="1">IFERROR(__xludf.DUMMYFUNCTION("""COMPUTED_VALUE"""),40926)</f>
        <v>40926</v>
      </c>
      <c r="G4381" s="9" t="str">
        <f ca="1">IFERROR(__xludf.DUMMYFUNCTION("""COMPUTED_VALUE"""),"1 USD = 90.2544 PKR")</f>
        <v>1 USD = 90.2544 PKR</v>
      </c>
      <c r="H4381" s="9" t="str">
        <f ca="1">IFERROR(__xludf.DUMMYFUNCTION("""COMPUTED_VALUE"""),"USD PKR rate for 18/01/2012")</f>
        <v>USD PKR rate for 18/01/2012</v>
      </c>
      <c r="I4381" s="9"/>
    </row>
    <row r="4382" spans="1:9" ht="14.25" customHeight="1" x14ac:dyDescent="0.3">
      <c r="A4382" s="10">
        <v>44099</v>
      </c>
      <c r="B4382" s="7">
        <v>165.6499</v>
      </c>
      <c r="C4382" s="8">
        <f t="shared" si="35"/>
        <v>172.88811919705236</v>
      </c>
      <c r="D4382" s="9">
        <f t="shared" si="34"/>
        <v>73.732575063161804</v>
      </c>
      <c r="E4382" s="9"/>
      <c r="F4382" s="9">
        <f ca="1">IFERROR(__xludf.DUMMYFUNCTION("""COMPUTED_VALUE"""),40925)</f>
        <v>40925</v>
      </c>
      <c r="G4382" s="9" t="str">
        <f ca="1">IFERROR(__xludf.DUMMYFUNCTION("""COMPUTED_VALUE"""),"1 USD = 90.3922 PKR")</f>
        <v>1 USD = 90.3922 PKR</v>
      </c>
      <c r="H4382" s="9" t="str">
        <f ca="1">IFERROR(__xludf.DUMMYFUNCTION("""COMPUTED_VALUE"""),"USD PKR rate for 17/01/2012")</f>
        <v>USD PKR rate for 17/01/2012</v>
      </c>
      <c r="I4382" s="9"/>
    </row>
    <row r="4383" spans="1:9" ht="14.25" customHeight="1" x14ac:dyDescent="0.3">
      <c r="A4383" s="10">
        <v>44100</v>
      </c>
      <c r="B4383" s="7">
        <v>165.6499</v>
      </c>
      <c r="C4383" s="8">
        <f t="shared" si="35"/>
        <v>172.91904019712263</v>
      </c>
      <c r="D4383" s="9">
        <f t="shared" si="34"/>
        <v>73.735312895959069</v>
      </c>
      <c r="E4383" s="9"/>
      <c r="F4383" s="9">
        <f ca="1">IFERROR(__xludf.DUMMYFUNCTION("""COMPUTED_VALUE"""),40924)</f>
        <v>40924</v>
      </c>
      <c r="G4383" s="9" t="str">
        <f ca="1">IFERROR(__xludf.DUMMYFUNCTION("""COMPUTED_VALUE"""),"1 USD = 90.2786 PKR")</f>
        <v>1 USD = 90.2786 PKR</v>
      </c>
      <c r="H4383" s="9" t="str">
        <f ca="1">IFERROR(__xludf.DUMMYFUNCTION("""COMPUTED_VALUE"""),"USD PKR rate for 16/01/2012")</f>
        <v>USD PKR rate for 16/01/2012</v>
      </c>
      <c r="I4383" s="9"/>
    </row>
    <row r="4384" spans="1:9" ht="14.25" customHeight="1" x14ac:dyDescent="0.3">
      <c r="A4384" s="10">
        <v>44101</v>
      </c>
      <c r="B4384" s="7">
        <v>165.70079999999999</v>
      </c>
      <c r="C4384" s="8">
        <f t="shared" si="35"/>
        <v>172.9499667274066</v>
      </c>
      <c r="D4384" s="9">
        <f t="shared" si="34"/>
        <v>73.738050728756335</v>
      </c>
      <c r="E4384" s="9"/>
      <c r="F4384" s="9">
        <f ca="1">IFERROR(__xludf.DUMMYFUNCTION("""COMPUTED_VALUE"""),40923)</f>
        <v>40923</v>
      </c>
      <c r="G4384" s="9" t="str">
        <f ca="1">IFERROR(__xludf.DUMMYFUNCTION("""COMPUTED_VALUE"""),"1 USD = 90.4552 PKR")</f>
        <v>1 USD = 90.4552 PKR</v>
      </c>
      <c r="H4384" s="9" t="str">
        <f ca="1">IFERROR(__xludf.DUMMYFUNCTION("""COMPUTED_VALUE"""),"USD PKR rate for 15/01/2012")</f>
        <v>USD PKR rate for 15/01/2012</v>
      </c>
      <c r="I4384" s="9"/>
    </row>
    <row r="4385" spans="1:9" ht="14.25" customHeight="1" x14ac:dyDescent="0.3">
      <c r="A4385" s="10">
        <v>44102</v>
      </c>
      <c r="B4385" s="7">
        <v>166.02799999999999</v>
      </c>
      <c r="C4385" s="8">
        <f t="shared" si="35"/>
        <v>172.9808987888932</v>
      </c>
      <c r="D4385" s="9">
        <f t="shared" si="34"/>
        <v>73.7407885615536</v>
      </c>
      <c r="E4385" s="9"/>
      <c r="F4385" s="9">
        <f ca="1">IFERROR(__xludf.DUMMYFUNCTION("""COMPUTED_VALUE"""),40922)</f>
        <v>40922</v>
      </c>
      <c r="G4385" s="9" t="str">
        <f ca="1">IFERROR(__xludf.DUMMYFUNCTION("""COMPUTED_VALUE"""),"1 USD = 90.3549 PKR")</f>
        <v>1 USD = 90.3549 PKR</v>
      </c>
      <c r="H4385" s="9" t="str">
        <f ca="1">IFERROR(__xludf.DUMMYFUNCTION("""COMPUTED_VALUE"""),"USD PKR rate for 14/01/2012")</f>
        <v>USD PKR rate for 14/01/2012</v>
      </c>
      <c r="I4385" s="9"/>
    </row>
    <row r="4386" spans="1:9" ht="14.25" customHeight="1" x14ac:dyDescent="0.3">
      <c r="A4386" s="10">
        <v>44103</v>
      </c>
      <c r="B4386" s="7">
        <v>165.9486</v>
      </c>
      <c r="C4386" s="8">
        <f t="shared" si="35"/>
        <v>173.011836382572</v>
      </c>
      <c r="D4386" s="9">
        <f t="shared" si="34"/>
        <v>73.743526394350866</v>
      </c>
      <c r="E4386" s="9"/>
      <c r="F4386" s="9">
        <f ca="1">IFERROR(__xludf.DUMMYFUNCTION("""COMPUTED_VALUE"""),40921)</f>
        <v>40921</v>
      </c>
      <c r="G4386" s="9" t="str">
        <f ca="1">IFERROR(__xludf.DUMMYFUNCTION("""COMPUTED_VALUE"""),"1 USD = 90.3549 PKR")</f>
        <v>1 USD = 90.3549 PKR</v>
      </c>
      <c r="H4386" s="9" t="str">
        <f ca="1">IFERROR(__xludf.DUMMYFUNCTION("""COMPUTED_VALUE"""),"USD PKR rate for 13/01/2012")</f>
        <v>USD PKR rate for 13/01/2012</v>
      </c>
      <c r="I4386" s="9"/>
    </row>
    <row r="4387" spans="1:9" ht="14.25" customHeight="1" x14ac:dyDescent="0.3">
      <c r="A4387" s="10">
        <v>44104</v>
      </c>
      <c r="B4387" s="7">
        <v>165.64859999999999</v>
      </c>
      <c r="C4387" s="8">
        <f t="shared" si="35"/>
        <v>173.04277950943222</v>
      </c>
      <c r="D4387" s="9">
        <f t="shared" si="34"/>
        <v>73.746264227148131</v>
      </c>
      <c r="E4387" s="9"/>
      <c r="F4387" s="9">
        <f ca="1">IFERROR(__xludf.DUMMYFUNCTION("""COMPUTED_VALUE"""),40920)</f>
        <v>40920</v>
      </c>
      <c r="G4387" s="9" t="str">
        <f ca="1">IFERROR(__xludf.DUMMYFUNCTION("""COMPUTED_VALUE"""),"1 USD = 90.0641 PKR")</f>
        <v>1 USD = 90.0641 PKR</v>
      </c>
      <c r="H4387" s="9" t="str">
        <f ca="1">IFERROR(__xludf.DUMMYFUNCTION("""COMPUTED_VALUE"""),"USD PKR rate for 12/01/2012")</f>
        <v>USD PKR rate for 12/01/2012</v>
      </c>
      <c r="I4387" s="9"/>
    </row>
    <row r="4388" spans="1:9" ht="14.25" customHeight="1" x14ac:dyDescent="0.3">
      <c r="A4388" s="10">
        <v>44105</v>
      </c>
      <c r="B4388" s="7">
        <v>165.06530000000001</v>
      </c>
      <c r="C4388" s="8">
        <f t="shared" si="35"/>
        <v>173.07372817046354</v>
      </c>
      <c r="D4388" s="9">
        <f t="shared" si="34"/>
        <v>73.749002059945397</v>
      </c>
      <c r="E4388" s="9"/>
      <c r="F4388" s="9">
        <f ca="1">IFERROR(__xludf.DUMMYFUNCTION("""COMPUTED_VALUE"""),40919)</f>
        <v>40919</v>
      </c>
      <c r="G4388" s="9" t="str">
        <f ca="1">IFERROR(__xludf.DUMMYFUNCTION("""COMPUTED_VALUE"""),"1 USD = 89.9675 PKR")</f>
        <v>1 USD = 89.9675 PKR</v>
      </c>
      <c r="H4388" s="9" t="str">
        <f ca="1">IFERROR(__xludf.DUMMYFUNCTION("""COMPUTED_VALUE"""),"USD PKR rate for 11/01/2012")</f>
        <v>USD PKR rate for 11/01/2012</v>
      </c>
      <c r="I4388" s="9"/>
    </row>
    <row r="4389" spans="1:9" ht="14.25" customHeight="1" x14ac:dyDescent="0.3">
      <c r="A4389" s="10">
        <v>44106</v>
      </c>
      <c r="B4389" s="7">
        <v>164.94370000000001</v>
      </c>
      <c r="C4389" s="8">
        <f t="shared" si="35"/>
        <v>173.10468236665574</v>
      </c>
      <c r="D4389" s="9">
        <f t="shared" si="34"/>
        <v>73.751739892742663</v>
      </c>
      <c r="E4389" s="9"/>
      <c r="F4389" s="9">
        <f ca="1">IFERROR(__xludf.DUMMYFUNCTION("""COMPUTED_VALUE"""),40918)</f>
        <v>40918</v>
      </c>
      <c r="G4389" s="9" t="str">
        <f ca="1">IFERROR(__xludf.DUMMYFUNCTION("""COMPUTED_VALUE"""),"1 USD = 90.4228 PKR")</f>
        <v>1 USD = 90.4228 PKR</v>
      </c>
      <c r="H4389" s="9" t="str">
        <f ca="1">IFERROR(__xludf.DUMMYFUNCTION("""COMPUTED_VALUE"""),"USD PKR rate for 10/01/2012")</f>
        <v>USD PKR rate for 10/01/2012</v>
      </c>
      <c r="I4389" s="9"/>
    </row>
    <row r="4390" spans="1:9" ht="14.25" customHeight="1" x14ac:dyDescent="0.3">
      <c r="A4390" s="10">
        <v>44107</v>
      </c>
      <c r="B4390" s="7">
        <v>164.9564</v>
      </c>
      <c r="C4390" s="8">
        <f t="shared" si="35"/>
        <v>173.13564209899872</v>
      </c>
      <c r="D4390" s="9">
        <f t="shared" si="34"/>
        <v>73.754477725539928</v>
      </c>
      <c r="E4390" s="9"/>
      <c r="F4390" s="9">
        <f ca="1">IFERROR(__xludf.DUMMYFUNCTION("""COMPUTED_VALUE"""),40917)</f>
        <v>40917</v>
      </c>
      <c r="G4390" s="9" t="str">
        <f ca="1">IFERROR(__xludf.DUMMYFUNCTION("""COMPUTED_VALUE"""),"1 USD = 90.5164 PKR")</f>
        <v>1 USD = 90.5164 PKR</v>
      </c>
      <c r="H4390" s="9" t="str">
        <f ca="1">IFERROR(__xludf.DUMMYFUNCTION("""COMPUTED_VALUE"""),"USD PKR rate for 09/01/2012")</f>
        <v>USD PKR rate for 09/01/2012</v>
      </c>
      <c r="I4390" s="9"/>
    </row>
    <row r="4391" spans="1:9" ht="14.25" customHeight="1" x14ac:dyDescent="0.3">
      <c r="A4391" s="10">
        <v>44108</v>
      </c>
      <c r="B4391" s="7">
        <v>164.5266</v>
      </c>
      <c r="C4391" s="8">
        <f t="shared" si="35"/>
        <v>173.16660736848266</v>
      </c>
      <c r="D4391" s="9">
        <f t="shared" si="34"/>
        <v>73.757215558337194</v>
      </c>
      <c r="E4391" s="9"/>
      <c r="F4391" s="9">
        <f ca="1">IFERROR(__xludf.DUMMYFUNCTION("""COMPUTED_VALUE"""),40916)</f>
        <v>40916</v>
      </c>
      <c r="G4391" s="9" t="str">
        <f ca="1">IFERROR(__xludf.DUMMYFUNCTION("""COMPUTED_VALUE"""),"1 USD = 90.7454 PKR")</f>
        <v>1 USD = 90.7454 PKR</v>
      </c>
      <c r="H4391" s="9" t="str">
        <f ca="1">IFERROR(__xludf.DUMMYFUNCTION("""COMPUTED_VALUE"""),"USD PKR rate for 08/01/2012")</f>
        <v>USD PKR rate for 08/01/2012</v>
      </c>
      <c r="I4391" s="9"/>
    </row>
    <row r="4392" spans="1:9" ht="14.25" customHeight="1" x14ac:dyDescent="0.3">
      <c r="A4392" s="10">
        <v>44109</v>
      </c>
      <c r="B4392" s="7">
        <v>164.66280000000003</v>
      </c>
      <c r="C4392" s="8">
        <f t="shared" si="35"/>
        <v>173.19757817609789</v>
      </c>
      <c r="D4392" s="9">
        <f t="shared" si="34"/>
        <v>73.759953391134459</v>
      </c>
      <c r="E4392" s="9"/>
      <c r="F4392" s="9">
        <f ca="1">IFERROR(__xludf.DUMMYFUNCTION("""COMPUTED_VALUE"""),40915)</f>
        <v>40915</v>
      </c>
      <c r="G4392" s="9" t="str">
        <f ca="1">IFERROR(__xludf.DUMMYFUNCTION("""COMPUTED_VALUE"""),"1 USD = 90.6925 PKR")</f>
        <v>1 USD = 90.6925 PKR</v>
      </c>
      <c r="H4392" s="9" t="str">
        <f ca="1">IFERROR(__xludf.DUMMYFUNCTION("""COMPUTED_VALUE"""),"USD PKR rate for 07/01/2012")</f>
        <v>USD PKR rate for 07/01/2012</v>
      </c>
      <c r="I4392" s="9"/>
    </row>
    <row r="4393" spans="1:9" ht="14.25" customHeight="1" x14ac:dyDescent="0.3">
      <c r="A4393" s="10">
        <v>44110</v>
      </c>
      <c r="B4393" s="7">
        <v>164.30220000000003</v>
      </c>
      <c r="C4393" s="8">
        <f t="shared" si="35"/>
        <v>173.22855452283488</v>
      </c>
      <c r="D4393" s="9">
        <f t="shared" si="34"/>
        <v>73.762691223931725</v>
      </c>
      <c r="E4393" s="9"/>
      <c r="F4393" s="9">
        <f ca="1">IFERROR(__xludf.DUMMYFUNCTION("""COMPUTED_VALUE"""),40914)</f>
        <v>40914</v>
      </c>
      <c r="G4393" s="9" t="str">
        <f ca="1">IFERROR(__xludf.DUMMYFUNCTION("""COMPUTED_VALUE"""),"1 USD = 90.6824 PKR")</f>
        <v>1 USD = 90.6824 PKR</v>
      </c>
      <c r="H4393" s="9" t="str">
        <f ca="1">IFERROR(__xludf.DUMMYFUNCTION("""COMPUTED_VALUE"""),"USD PKR rate for 06/01/2012")</f>
        <v>USD PKR rate for 06/01/2012</v>
      </c>
      <c r="I4393" s="9"/>
    </row>
    <row r="4394" spans="1:9" ht="14.25" customHeight="1" x14ac:dyDescent="0.3">
      <c r="A4394" s="10">
        <v>44111</v>
      </c>
      <c r="B4394" s="7">
        <v>164.21889999999999</v>
      </c>
      <c r="C4394" s="8">
        <f t="shared" si="35"/>
        <v>173.25953640968416</v>
      </c>
      <c r="D4394" s="9">
        <f t="shared" si="34"/>
        <v>73.765429056728991</v>
      </c>
      <c r="E4394" s="9"/>
      <c r="F4394" s="9">
        <f ca="1">IFERROR(__xludf.DUMMYFUNCTION("""COMPUTED_VALUE"""),40913)</f>
        <v>40913</v>
      </c>
      <c r="G4394" s="9" t="str">
        <f ca="1">IFERROR(__xludf.DUMMYFUNCTION("""COMPUTED_VALUE"""),"1 USD = 90.3806 PKR")</f>
        <v>1 USD = 90.3806 PKR</v>
      </c>
      <c r="H4394" s="9" t="str">
        <f ca="1">IFERROR(__xludf.DUMMYFUNCTION("""COMPUTED_VALUE"""),"USD PKR rate for 05/01/2012")</f>
        <v>USD PKR rate for 05/01/2012</v>
      </c>
      <c r="I4394" s="9"/>
    </row>
    <row r="4395" spans="1:9" ht="14.25" customHeight="1" x14ac:dyDescent="0.3">
      <c r="A4395" s="10">
        <v>44112</v>
      </c>
      <c r="B4395" s="7">
        <v>163.99379999999999</v>
      </c>
      <c r="C4395" s="8">
        <f t="shared" si="35"/>
        <v>173.29052383763687</v>
      </c>
      <c r="D4395" s="9">
        <f t="shared" si="34"/>
        <v>73.768166889526256</v>
      </c>
      <c r="E4395" s="9"/>
      <c r="F4395" s="9">
        <f ca="1">IFERROR(__xludf.DUMMYFUNCTION("""COMPUTED_VALUE"""),40912)</f>
        <v>40912</v>
      </c>
      <c r="G4395" s="9" t="str">
        <f ca="1">IFERROR(__xludf.DUMMYFUNCTION("""COMPUTED_VALUE"""),"1 USD = 90.3163 PKR")</f>
        <v>1 USD = 90.3163 PKR</v>
      </c>
      <c r="H4395" s="9" t="str">
        <f ca="1">IFERROR(__xludf.DUMMYFUNCTION("""COMPUTED_VALUE"""),"USD PKR rate for 04/01/2012")</f>
        <v>USD PKR rate for 04/01/2012</v>
      </c>
      <c r="I4395" s="9"/>
    </row>
    <row r="4396" spans="1:9" ht="14.25" customHeight="1" x14ac:dyDescent="0.3">
      <c r="A4396" s="10">
        <v>44113</v>
      </c>
      <c r="B4396" s="7">
        <v>163.75660000000002</v>
      </c>
      <c r="C4396" s="8">
        <f t="shared" si="35"/>
        <v>173.32151680768391</v>
      </c>
      <c r="D4396" s="9">
        <f t="shared" si="34"/>
        <v>73.770904722323522</v>
      </c>
      <c r="E4396" s="9"/>
      <c r="F4396" s="9">
        <f ca="1">IFERROR(__xludf.DUMMYFUNCTION("""COMPUTED_VALUE"""),40911)</f>
        <v>40911</v>
      </c>
      <c r="G4396" s="9" t="str">
        <f ca="1">IFERROR(__xludf.DUMMYFUNCTION("""COMPUTED_VALUE"""),"1 USD = 90.172 PKR")</f>
        <v>1 USD = 90.172 PKR</v>
      </c>
      <c r="H4396" s="9" t="str">
        <f ca="1">IFERROR(__xludf.DUMMYFUNCTION("""COMPUTED_VALUE"""),"USD PKR rate for 03/01/2012")</f>
        <v>USD PKR rate for 03/01/2012</v>
      </c>
      <c r="I4396" s="9"/>
    </row>
    <row r="4397" spans="1:9" ht="14.25" customHeight="1" x14ac:dyDescent="0.3">
      <c r="A4397" s="10">
        <v>44114</v>
      </c>
      <c r="B4397" s="7">
        <v>163.80619999999999</v>
      </c>
      <c r="C4397" s="8">
        <f t="shared" si="35"/>
        <v>173.35251532081645</v>
      </c>
      <c r="D4397" s="9">
        <f t="shared" si="34"/>
        <v>73.773642555120787</v>
      </c>
      <c r="E4397" s="9"/>
      <c r="F4397" s="9">
        <f ca="1">IFERROR(__xludf.DUMMYFUNCTION("""COMPUTED_VALUE"""),40910)</f>
        <v>40910</v>
      </c>
      <c r="G4397" s="9" t="str">
        <f ca="1">IFERROR(__xludf.DUMMYFUNCTION("""COMPUTED_VALUE"""),"1 USD = 90.0396 PKR")</f>
        <v>1 USD = 90.0396 PKR</v>
      </c>
      <c r="H4397" s="9" t="str">
        <f ca="1">IFERROR(__xludf.DUMMYFUNCTION("""COMPUTED_VALUE"""),"USD PKR rate for 02/01/2012")</f>
        <v>USD PKR rate for 02/01/2012</v>
      </c>
      <c r="I4397" s="9"/>
    </row>
    <row r="4398" spans="1:9" ht="14.25" customHeight="1" x14ac:dyDescent="0.3">
      <c r="A4398" s="10">
        <v>44115</v>
      </c>
      <c r="B4398" s="7">
        <v>163.80410000000001</v>
      </c>
      <c r="C4398" s="8">
        <f t="shared" si="35"/>
        <v>173.38351937802588</v>
      </c>
      <c r="D4398" s="9">
        <f t="shared" si="34"/>
        <v>73.776380387918053</v>
      </c>
      <c r="E4398" s="9"/>
      <c r="F4398" s="9">
        <f ca="1">IFERROR(__xludf.DUMMYFUNCTION("""COMPUTED_VALUE"""),40909)</f>
        <v>40909</v>
      </c>
      <c r="G4398" s="9" t="str">
        <f ca="1">IFERROR(__xludf.DUMMYFUNCTION("""COMPUTED_VALUE"""),"1 USD = 90.1919 PKR")</f>
        <v>1 USD = 90.1919 PKR</v>
      </c>
      <c r="H4398" s="9" t="str">
        <f ca="1">IFERROR(__xludf.DUMMYFUNCTION("""COMPUTED_VALUE"""),"USD PKR rate for 01/01/2012")</f>
        <v>USD PKR rate for 01/01/2012</v>
      </c>
      <c r="I4398" s="9"/>
    </row>
    <row r="4399" spans="1:9" ht="14.25" customHeight="1" x14ac:dyDescent="0.3">
      <c r="A4399" s="10">
        <v>44116</v>
      </c>
      <c r="B4399" s="7">
        <v>163.84360000000001</v>
      </c>
      <c r="C4399" s="8">
        <f t="shared" si="35"/>
        <v>173.41452898030377</v>
      </c>
      <c r="D4399" s="9">
        <f t="shared" si="34"/>
        <v>73.779118220715318</v>
      </c>
      <c r="E4399" s="9"/>
      <c r="F4399" s="9">
        <f ca="1">IFERROR(__xludf.DUMMYFUNCTION("""COMPUTED_VALUE"""),40908)</f>
        <v>40908</v>
      </c>
      <c r="G4399" s="9" t="str">
        <f ca="1">IFERROR(__xludf.DUMMYFUNCTION("""COMPUTED_VALUE"""),"1 USD = 89.9599 PKR")</f>
        <v>1 USD = 89.9599 PKR</v>
      </c>
      <c r="H4399" s="9" t="str">
        <f ca="1">IFERROR(__xludf.DUMMYFUNCTION("""COMPUTED_VALUE"""),"USD PKR rate for 31/12/2011")</f>
        <v>USD PKR rate for 31/12/2011</v>
      </c>
      <c r="I4399" s="9"/>
    </row>
    <row r="4400" spans="1:9" ht="14.25" customHeight="1" x14ac:dyDescent="0.3">
      <c r="A4400" s="10">
        <v>44117</v>
      </c>
      <c r="B4400" s="7">
        <v>163.88910000000001</v>
      </c>
      <c r="C4400" s="8">
        <f t="shared" si="35"/>
        <v>173.44554412864184</v>
      </c>
      <c r="D4400" s="9">
        <f t="shared" si="34"/>
        <v>73.781856053512584</v>
      </c>
      <c r="E4400" s="9"/>
      <c r="F4400" s="9">
        <f ca="1">IFERROR(__xludf.DUMMYFUNCTION("""COMPUTED_VALUE"""),40907)</f>
        <v>40907</v>
      </c>
      <c r="G4400" s="9" t="str">
        <f ca="1">IFERROR(__xludf.DUMMYFUNCTION("""COMPUTED_VALUE"""),"1 USD = 89.8832 PKR")</f>
        <v>1 USD = 89.8832 PKR</v>
      </c>
      <c r="H4400" s="9" t="str">
        <f ca="1">IFERROR(__xludf.DUMMYFUNCTION("""COMPUTED_VALUE"""),"USD PKR rate for 30/12/2011")</f>
        <v>USD PKR rate for 30/12/2011</v>
      </c>
      <c r="I4400" s="9"/>
    </row>
    <row r="4401" spans="1:9" ht="14.25" customHeight="1" x14ac:dyDescent="0.3">
      <c r="A4401" s="10">
        <v>44118</v>
      </c>
      <c r="B4401" s="7">
        <v>163.80520000000001</v>
      </c>
      <c r="C4401" s="8">
        <f t="shared" si="35"/>
        <v>173.47656482403201</v>
      </c>
      <c r="D4401" s="9">
        <f t="shared" si="34"/>
        <v>73.78459388630985</v>
      </c>
      <c r="E4401" s="9"/>
      <c r="F4401" s="9">
        <f ca="1">IFERROR(__xludf.DUMMYFUNCTION("""COMPUTED_VALUE"""),40906)</f>
        <v>40906</v>
      </c>
      <c r="G4401" s="9" t="str">
        <f ca="1">IFERROR(__xludf.DUMMYFUNCTION("""COMPUTED_VALUE"""),"1 USD = 89.9017 PKR")</f>
        <v>1 USD = 89.9017 PKR</v>
      </c>
      <c r="H4401" s="9" t="str">
        <f ca="1">IFERROR(__xludf.DUMMYFUNCTION("""COMPUTED_VALUE"""),"USD PKR rate for 29/12/2011")</f>
        <v>USD PKR rate for 29/12/2011</v>
      </c>
      <c r="I4401" s="9"/>
    </row>
    <row r="4402" spans="1:9" ht="14.25" customHeight="1" x14ac:dyDescent="0.3">
      <c r="A4402" s="10">
        <v>44119</v>
      </c>
      <c r="B4402" s="7">
        <v>162.94659999999999</v>
      </c>
      <c r="C4402" s="8">
        <f t="shared" si="35"/>
        <v>173.50759106746636</v>
      </c>
      <c r="D4402" s="9">
        <f t="shared" si="34"/>
        <v>73.787331719107115</v>
      </c>
      <c r="E4402" s="9"/>
      <c r="F4402" s="9">
        <f ca="1">IFERROR(__xludf.DUMMYFUNCTION("""COMPUTED_VALUE"""),40905)</f>
        <v>40905</v>
      </c>
      <c r="G4402" s="9" t="str">
        <f ca="1">IFERROR(__xludf.DUMMYFUNCTION("""COMPUTED_VALUE"""),"1 USD = 90.0644 PKR")</f>
        <v>1 USD = 90.0644 PKR</v>
      </c>
      <c r="H4402" s="9" t="str">
        <f ca="1">IFERROR(__xludf.DUMMYFUNCTION("""COMPUTED_VALUE"""),"USD PKR rate for 28/12/2011")</f>
        <v>USD PKR rate for 28/12/2011</v>
      </c>
      <c r="I4402" s="9"/>
    </row>
    <row r="4403" spans="1:9" ht="14.25" customHeight="1" x14ac:dyDescent="0.3">
      <c r="A4403" s="10">
        <v>44120</v>
      </c>
      <c r="B4403" s="7">
        <v>162.75030000000001</v>
      </c>
      <c r="C4403" s="8">
        <f t="shared" si="35"/>
        <v>173.53862285993699</v>
      </c>
      <c r="D4403" s="9">
        <f t="shared" si="34"/>
        <v>73.790069551904381</v>
      </c>
      <c r="E4403" s="9"/>
      <c r="F4403" s="9">
        <f ca="1">IFERROR(__xludf.DUMMYFUNCTION("""COMPUTED_VALUE"""),40904)</f>
        <v>40904</v>
      </c>
      <c r="G4403" s="9" t="str">
        <f ca="1">IFERROR(__xludf.DUMMYFUNCTION("""COMPUTED_VALUE"""),"1 USD = 89.9093 PKR")</f>
        <v>1 USD = 89.9093 PKR</v>
      </c>
      <c r="H4403" s="9" t="str">
        <f ca="1">IFERROR(__xludf.DUMMYFUNCTION("""COMPUTED_VALUE"""),"USD PKR rate for 27/12/2011")</f>
        <v>USD PKR rate for 27/12/2011</v>
      </c>
      <c r="I4403" s="9"/>
    </row>
    <row r="4404" spans="1:9" ht="14.25" customHeight="1" x14ac:dyDescent="0.3">
      <c r="A4404" s="10">
        <v>44121</v>
      </c>
      <c r="B4404" s="7">
        <v>162.7499</v>
      </c>
      <c r="C4404" s="8">
        <f t="shared" si="35"/>
        <v>173.56966020243669</v>
      </c>
      <c r="D4404" s="9">
        <f t="shared" si="34"/>
        <v>73.792807384701646</v>
      </c>
      <c r="E4404" s="9"/>
      <c r="F4404" s="9">
        <f ca="1">IFERROR(__xludf.DUMMYFUNCTION("""COMPUTED_VALUE"""),40903)</f>
        <v>40903</v>
      </c>
      <c r="G4404" s="9" t="str">
        <f ca="1">IFERROR(__xludf.DUMMYFUNCTION("""COMPUTED_VALUE"""),"1 USD = 89.1477 PKR")</f>
        <v>1 USD = 89.1477 PKR</v>
      </c>
      <c r="H4404" s="9" t="str">
        <f ca="1">IFERROR(__xludf.DUMMYFUNCTION("""COMPUTED_VALUE"""),"USD PKR rate for 26/12/2011")</f>
        <v>USD PKR rate for 26/12/2011</v>
      </c>
      <c r="I4404" s="9"/>
    </row>
    <row r="4405" spans="1:9" ht="14.25" customHeight="1" x14ac:dyDescent="0.3">
      <c r="A4405" s="10">
        <v>44122</v>
      </c>
      <c r="B4405" s="7">
        <v>162.58150000000001</v>
      </c>
      <c r="C4405" s="8">
        <f t="shared" si="35"/>
        <v>173.6007030959579</v>
      </c>
      <c r="D4405" s="9">
        <f t="shared" si="34"/>
        <v>73.795545217498912</v>
      </c>
      <c r="E4405" s="9"/>
      <c r="F4405" s="9">
        <f ca="1">IFERROR(__xludf.DUMMYFUNCTION("""COMPUTED_VALUE"""),40902)</f>
        <v>40902</v>
      </c>
      <c r="G4405" s="9" t="str">
        <f ca="1">IFERROR(__xludf.DUMMYFUNCTION("""COMPUTED_VALUE"""),"1 USD = 89.2849 PKR")</f>
        <v>1 USD = 89.2849 PKR</v>
      </c>
      <c r="H4405" s="9" t="str">
        <f ca="1">IFERROR(__xludf.DUMMYFUNCTION("""COMPUTED_VALUE"""),"USD PKR rate for 25/12/2011")</f>
        <v>USD PKR rate for 25/12/2011</v>
      </c>
      <c r="I4405" s="9"/>
    </row>
    <row r="4406" spans="1:9" ht="14.25" customHeight="1" x14ac:dyDescent="0.3">
      <c r="A4406" s="10">
        <v>44123</v>
      </c>
      <c r="B4406" s="7">
        <v>162.47170000000003</v>
      </c>
      <c r="C4406" s="8">
        <f t="shared" si="35"/>
        <v>173.63175154149346</v>
      </c>
      <c r="D4406" s="9">
        <f t="shared" si="34"/>
        <v>73.798283050296178</v>
      </c>
      <c r="E4406" s="9"/>
      <c r="F4406" s="9">
        <f ca="1">IFERROR(__xludf.DUMMYFUNCTION("""COMPUTED_VALUE"""),40901)</f>
        <v>40901</v>
      </c>
      <c r="G4406" s="9" t="str">
        <f ca="1">IFERROR(__xludf.DUMMYFUNCTION("""COMPUTED_VALUE"""),"1 USD = 89.3192 PKR")</f>
        <v>1 USD = 89.3192 PKR</v>
      </c>
      <c r="H4406" s="9" t="str">
        <f ca="1">IFERROR(__xludf.DUMMYFUNCTION("""COMPUTED_VALUE"""),"USD PKR rate for 24/12/2011")</f>
        <v>USD PKR rate for 24/12/2011</v>
      </c>
      <c r="I4406" s="9"/>
    </row>
    <row r="4407" spans="1:9" ht="14.25" customHeight="1" x14ac:dyDescent="0.3">
      <c r="A4407" s="10">
        <v>44124</v>
      </c>
      <c r="B4407" s="7">
        <v>162.31060000000002</v>
      </c>
      <c r="C4407" s="8">
        <f t="shared" si="35"/>
        <v>173.66280554003626</v>
      </c>
      <c r="D4407" s="9">
        <f t="shared" si="34"/>
        <v>73.801020883093443</v>
      </c>
      <c r="E4407" s="9"/>
      <c r="F4407" s="9">
        <f ca="1">IFERROR(__xludf.DUMMYFUNCTION("""COMPUTED_VALUE"""),40900)</f>
        <v>40900</v>
      </c>
      <c r="G4407" s="9" t="str">
        <f ca="1">IFERROR(__xludf.DUMMYFUNCTION("""COMPUTED_VALUE"""),"1 USD = 89.325 PKR")</f>
        <v>1 USD = 89.325 PKR</v>
      </c>
      <c r="H4407" s="9" t="str">
        <f ca="1">IFERROR(__xludf.DUMMYFUNCTION("""COMPUTED_VALUE"""),"USD PKR rate for 23/12/2011")</f>
        <v>USD PKR rate for 23/12/2011</v>
      </c>
      <c r="I4407" s="9"/>
    </row>
    <row r="4408" spans="1:9" ht="14.25" customHeight="1" x14ac:dyDescent="0.3">
      <c r="A4408" s="10">
        <v>44125</v>
      </c>
      <c r="B4408" s="7">
        <v>162.30179999999999</v>
      </c>
      <c r="C4408" s="8">
        <f t="shared" si="35"/>
        <v>173.69386509257953</v>
      </c>
      <c r="D4408" s="9">
        <f t="shared" si="34"/>
        <v>73.803758715890709</v>
      </c>
      <c r="E4408" s="9"/>
      <c r="F4408" s="9">
        <f ca="1">IFERROR(__xludf.DUMMYFUNCTION("""COMPUTED_VALUE"""),40899)</f>
        <v>40899</v>
      </c>
      <c r="G4408" s="9" t="str">
        <f ca="1">IFERROR(__xludf.DUMMYFUNCTION("""COMPUTED_VALUE"""),"1 USD = 89.6573 PKR")</f>
        <v>1 USD = 89.6573 PKR</v>
      </c>
      <c r="H4408" s="9" t="str">
        <f ca="1">IFERROR(__xludf.DUMMYFUNCTION("""COMPUTED_VALUE"""),"USD PKR rate for 22/12/2011")</f>
        <v>USD PKR rate for 22/12/2011</v>
      </c>
      <c r="I4408" s="9"/>
    </row>
    <row r="4409" spans="1:9" ht="14.25" customHeight="1" x14ac:dyDescent="0.3">
      <c r="A4409" s="10">
        <v>44126</v>
      </c>
      <c r="B4409" s="7">
        <v>161.80019999999999</v>
      </c>
      <c r="C4409" s="8">
        <f t="shared" si="35"/>
        <v>173.72493020011657</v>
      </c>
      <c r="D4409" s="9">
        <f t="shared" si="34"/>
        <v>73.806496548687974</v>
      </c>
      <c r="E4409" s="9"/>
      <c r="F4409" s="9">
        <f ca="1">IFERROR(__xludf.DUMMYFUNCTION("""COMPUTED_VALUE"""),40898)</f>
        <v>40898</v>
      </c>
      <c r="G4409" s="9" t="str">
        <f ca="1">IFERROR(__xludf.DUMMYFUNCTION("""COMPUTED_VALUE"""),"1 USD = 90.0513 PKR")</f>
        <v>1 USD = 90.0513 PKR</v>
      </c>
      <c r="H4409" s="9" t="str">
        <f ca="1">IFERROR(__xludf.DUMMYFUNCTION("""COMPUTED_VALUE"""),"USD PKR rate for 21/12/2011")</f>
        <v>USD PKR rate for 21/12/2011</v>
      </c>
      <c r="I4409" s="9"/>
    </row>
    <row r="4410" spans="1:9" ht="14.25" customHeight="1" x14ac:dyDescent="0.3">
      <c r="A4410" s="10">
        <v>44127</v>
      </c>
      <c r="B4410" s="7">
        <v>161.78110000000001</v>
      </c>
      <c r="C4410" s="8">
        <f t="shared" si="35"/>
        <v>173.75600086364091</v>
      </c>
      <c r="D4410" s="9">
        <f t="shared" si="34"/>
        <v>73.80923438148524</v>
      </c>
      <c r="E4410" s="9"/>
      <c r="F4410" s="9">
        <f ca="1">IFERROR(__xludf.DUMMYFUNCTION("""COMPUTED_VALUE"""),40897)</f>
        <v>40897</v>
      </c>
      <c r="G4410" s="9" t="str">
        <f ca="1">IFERROR(__xludf.DUMMYFUNCTION("""COMPUTED_VALUE"""),"1 USD = 89.9701 PKR")</f>
        <v>1 USD = 89.9701 PKR</v>
      </c>
      <c r="H4410" s="9" t="str">
        <f ca="1">IFERROR(__xludf.DUMMYFUNCTION("""COMPUTED_VALUE"""),"USD PKR rate for 20/12/2011")</f>
        <v>USD PKR rate for 20/12/2011</v>
      </c>
      <c r="I4410" s="9"/>
    </row>
    <row r="4411" spans="1:9" ht="14.25" customHeight="1" x14ac:dyDescent="0.3">
      <c r="A4411" s="10">
        <v>44128</v>
      </c>
      <c r="B4411" s="7">
        <v>161.78110000000001</v>
      </c>
      <c r="C4411" s="8">
        <f t="shared" si="35"/>
        <v>173.7870770841462</v>
      </c>
      <c r="D4411" s="9">
        <f t="shared" si="34"/>
        <v>73.811972214282505</v>
      </c>
      <c r="E4411" s="9"/>
      <c r="F4411" s="9">
        <f ca="1">IFERROR(__xludf.DUMMYFUNCTION("""COMPUTED_VALUE"""),40896)</f>
        <v>40896</v>
      </c>
      <c r="G4411" s="9" t="str">
        <f ca="1">IFERROR(__xludf.DUMMYFUNCTION("""COMPUTED_VALUE"""),"1 USD = 89.7609 PKR")</f>
        <v>1 USD = 89.7609 PKR</v>
      </c>
      <c r="H4411" s="9" t="str">
        <f ca="1">IFERROR(__xludf.DUMMYFUNCTION("""COMPUTED_VALUE"""),"USD PKR rate for 19/12/2011")</f>
        <v>USD PKR rate for 19/12/2011</v>
      </c>
      <c r="I4411" s="9"/>
    </row>
    <row r="4412" spans="1:9" ht="14.25" customHeight="1" x14ac:dyDescent="0.3">
      <c r="A4412" s="10">
        <v>44129</v>
      </c>
      <c r="B4412" s="7">
        <v>161.43190000000001</v>
      </c>
      <c r="C4412" s="8">
        <f t="shared" si="35"/>
        <v>173.81815886262621</v>
      </c>
      <c r="D4412" s="9">
        <f t="shared" si="34"/>
        <v>73.814710047079771</v>
      </c>
      <c r="E4412" s="9"/>
      <c r="F4412" s="9">
        <f ca="1">IFERROR(__xludf.DUMMYFUNCTION("""COMPUTED_VALUE"""),40895)</f>
        <v>40895</v>
      </c>
      <c r="G4412" s="9" t="str">
        <f ca="1">IFERROR(__xludf.DUMMYFUNCTION("""COMPUTED_VALUE"""),"1 USD = 89.8785 PKR")</f>
        <v>1 USD = 89.8785 PKR</v>
      </c>
      <c r="H4412" s="9" t="str">
        <f ca="1">IFERROR(__xludf.DUMMYFUNCTION("""COMPUTED_VALUE"""),"USD PKR rate for 18/12/2011")</f>
        <v>USD PKR rate for 18/12/2011</v>
      </c>
      <c r="I4412" s="9"/>
    </row>
    <row r="4413" spans="1:9" ht="14.25" customHeight="1" x14ac:dyDescent="0.3">
      <c r="A4413" s="10">
        <v>44130</v>
      </c>
      <c r="B4413" s="7">
        <v>161.1199</v>
      </c>
      <c r="C4413" s="8">
        <f t="shared" si="35"/>
        <v>173.84924620007524</v>
      </c>
      <c r="D4413" s="9">
        <f t="shared" si="34"/>
        <v>73.817447879877037</v>
      </c>
      <c r="E4413" s="9"/>
      <c r="F4413" s="9">
        <f ca="1">IFERROR(__xludf.DUMMYFUNCTION("""COMPUTED_VALUE"""),40894)</f>
        <v>40894</v>
      </c>
      <c r="G4413" s="9" t="str">
        <f ca="1">IFERROR(__xludf.DUMMYFUNCTION("""COMPUTED_VALUE"""),"1 USD = 89.7282 PKR")</f>
        <v>1 USD = 89.7282 PKR</v>
      </c>
      <c r="H4413" s="9" t="str">
        <f ca="1">IFERROR(__xludf.DUMMYFUNCTION("""COMPUTED_VALUE"""),"USD PKR rate for 17/12/2011")</f>
        <v>USD PKR rate for 17/12/2011</v>
      </c>
      <c r="I4413" s="9"/>
    </row>
    <row r="4414" spans="1:9" ht="14.25" customHeight="1" x14ac:dyDescent="0.3">
      <c r="A4414" s="10">
        <v>44131</v>
      </c>
      <c r="B4414" s="7">
        <v>160.75120000000001</v>
      </c>
      <c r="C4414" s="8">
        <f t="shared" si="35"/>
        <v>173.88033909748737</v>
      </c>
      <c r="D4414" s="9">
        <f t="shared" si="34"/>
        <v>73.820185712674302</v>
      </c>
      <c r="E4414" s="9"/>
      <c r="F4414" s="9">
        <f ca="1">IFERROR(__xludf.DUMMYFUNCTION("""COMPUTED_VALUE"""),40893)</f>
        <v>40893</v>
      </c>
      <c r="G4414" s="9" t="str">
        <f ca="1">IFERROR(__xludf.DUMMYFUNCTION("""COMPUTED_VALUE"""),"1 USD = 89.7282 PKR")</f>
        <v>1 USD = 89.7282 PKR</v>
      </c>
      <c r="H4414" s="9" t="str">
        <f ca="1">IFERROR(__xludf.DUMMYFUNCTION("""COMPUTED_VALUE"""),"USD PKR rate for 16/12/2011")</f>
        <v>USD PKR rate for 16/12/2011</v>
      </c>
      <c r="I4414" s="9"/>
    </row>
    <row r="4415" spans="1:9" ht="14.25" customHeight="1" x14ac:dyDescent="0.3">
      <c r="A4415" s="10">
        <v>44132</v>
      </c>
      <c r="B4415" s="7">
        <v>160.5711</v>
      </c>
      <c r="C4415" s="8">
        <f t="shared" si="35"/>
        <v>173.91143755585696</v>
      </c>
      <c r="D4415" s="9">
        <f t="shared" si="34"/>
        <v>73.822923545471568</v>
      </c>
      <c r="E4415" s="9"/>
      <c r="F4415" s="9">
        <f ca="1">IFERROR(__xludf.DUMMYFUNCTION("""COMPUTED_VALUE"""),40892)</f>
        <v>40892</v>
      </c>
      <c r="G4415" s="9" t="str">
        <f ca="1">IFERROR(__xludf.DUMMYFUNCTION("""COMPUTED_VALUE"""),"1 USD = 89.5649 PKR")</f>
        <v>1 USD = 89.5649 PKR</v>
      </c>
      <c r="H4415" s="9" t="str">
        <f ca="1">IFERROR(__xludf.DUMMYFUNCTION("""COMPUTED_VALUE"""),"USD PKR rate for 15/12/2011")</f>
        <v>USD PKR rate for 15/12/2011</v>
      </c>
      <c r="I4415" s="9"/>
    </row>
    <row r="4416" spans="1:9" ht="14.25" customHeight="1" x14ac:dyDescent="0.3">
      <c r="A4416" s="10">
        <v>44133</v>
      </c>
      <c r="B4416" s="7">
        <v>160.65049999999999</v>
      </c>
      <c r="C4416" s="8">
        <f t="shared" si="35"/>
        <v>173.94254157617868</v>
      </c>
      <c r="D4416" s="9">
        <f t="shared" si="34"/>
        <v>73.825661378268833</v>
      </c>
      <c r="E4416" s="9"/>
      <c r="F4416" s="9">
        <f ca="1">IFERROR(__xludf.DUMMYFUNCTION("""COMPUTED_VALUE"""),40891)</f>
        <v>40891</v>
      </c>
      <c r="G4416" s="9" t="str">
        <f ca="1">IFERROR(__xludf.DUMMYFUNCTION("""COMPUTED_VALUE"""),"1 USD = 89.5943 PKR")</f>
        <v>1 USD = 89.5943 PKR</v>
      </c>
      <c r="H4416" s="9" t="str">
        <f ca="1">IFERROR(__xludf.DUMMYFUNCTION("""COMPUTED_VALUE"""),"USD PKR rate for 14/12/2011")</f>
        <v>USD PKR rate for 14/12/2011</v>
      </c>
      <c r="I4416" s="9"/>
    </row>
    <row r="4417" spans="1:9" ht="14.25" customHeight="1" x14ac:dyDescent="0.3">
      <c r="A4417" s="10">
        <v>44134</v>
      </c>
      <c r="B4417" s="7">
        <v>160.4504</v>
      </c>
      <c r="C4417" s="8">
        <f t="shared" si="35"/>
        <v>173.9736511594472</v>
      </c>
      <c r="D4417" s="9">
        <f t="shared" si="34"/>
        <v>73.828399211066099</v>
      </c>
      <c r="E4417" s="9"/>
      <c r="F4417" s="9">
        <f ca="1">IFERROR(__xludf.DUMMYFUNCTION("""COMPUTED_VALUE"""),40890)</f>
        <v>40890</v>
      </c>
      <c r="G4417" s="9" t="str">
        <f ca="1">IFERROR(__xludf.DUMMYFUNCTION("""COMPUTED_VALUE"""),"1 USD = 89.2162 PKR")</f>
        <v>1 USD = 89.2162 PKR</v>
      </c>
      <c r="H4417" s="9" t="str">
        <f ca="1">IFERROR(__xludf.DUMMYFUNCTION("""COMPUTED_VALUE"""),"USD PKR rate for 13/12/2011")</f>
        <v>USD PKR rate for 13/12/2011</v>
      </c>
      <c r="I4417" s="9"/>
    </row>
    <row r="4418" spans="1:9" ht="14.25" customHeight="1" x14ac:dyDescent="0.3">
      <c r="A4418" s="10">
        <v>44135</v>
      </c>
      <c r="B4418" s="7">
        <v>160.45000000000002</v>
      </c>
      <c r="C4418" s="8">
        <f t="shared" si="35"/>
        <v>174.0047663066575</v>
      </c>
      <c r="D4418" s="9">
        <f t="shared" si="34"/>
        <v>73.831137043863365</v>
      </c>
      <c r="E4418" s="9"/>
      <c r="F4418" s="9">
        <f ca="1">IFERROR(__xludf.DUMMYFUNCTION("""COMPUTED_VALUE"""),40889)</f>
        <v>40889</v>
      </c>
      <c r="G4418" s="9" t="str">
        <f ca="1">IFERROR(__xludf.DUMMYFUNCTION("""COMPUTED_VALUE"""),"1 USD = 89.1975 PKR")</f>
        <v>1 USD = 89.1975 PKR</v>
      </c>
      <c r="H4418" s="9" t="str">
        <f ca="1">IFERROR(__xludf.DUMMYFUNCTION("""COMPUTED_VALUE"""),"USD PKR rate for 12/12/2011")</f>
        <v>USD PKR rate for 12/12/2011</v>
      </c>
      <c r="I4418" s="9"/>
    </row>
    <row r="4419" spans="1:9" ht="14.25" customHeight="1" x14ac:dyDescent="0.3">
      <c r="A4419" s="10">
        <v>44136</v>
      </c>
      <c r="B4419" s="7">
        <v>160.4736</v>
      </c>
      <c r="C4419" s="8">
        <f t="shared" si="35"/>
        <v>174.03588701880469</v>
      </c>
      <c r="D4419" s="9">
        <f t="shared" si="34"/>
        <v>73.83387487666063</v>
      </c>
      <c r="E4419" s="9"/>
      <c r="F4419" s="9">
        <f ca="1">IFERROR(__xludf.DUMMYFUNCTION("""COMPUTED_VALUE"""),40888)</f>
        <v>40888</v>
      </c>
      <c r="G4419" s="9" t="str">
        <f ca="1">IFERROR(__xludf.DUMMYFUNCTION("""COMPUTED_VALUE"""),"1 USD = 89.1238 PKR")</f>
        <v>1 USD = 89.1238 PKR</v>
      </c>
      <c r="H4419" s="9" t="str">
        <f ca="1">IFERROR(__xludf.DUMMYFUNCTION("""COMPUTED_VALUE"""),"USD PKR rate for 11/12/2011")</f>
        <v>USD PKR rate for 11/12/2011</v>
      </c>
      <c r="I4419" s="9"/>
    </row>
    <row r="4420" spans="1:9" ht="14.25" customHeight="1" x14ac:dyDescent="0.3">
      <c r="A4420" s="10">
        <v>44137</v>
      </c>
      <c r="B4420" s="7">
        <v>160.11429999999999</v>
      </c>
      <c r="C4420" s="8">
        <f t="shared" si="35"/>
        <v>174.067013296884</v>
      </c>
      <c r="D4420" s="9">
        <f t="shared" si="34"/>
        <v>73.836612709457896</v>
      </c>
      <c r="E4420" s="9"/>
      <c r="F4420" s="9">
        <f ca="1">IFERROR(__xludf.DUMMYFUNCTION("""COMPUTED_VALUE"""),40887)</f>
        <v>40887</v>
      </c>
      <c r="G4420" s="9" t="str">
        <f ca="1">IFERROR(__xludf.DUMMYFUNCTION("""COMPUTED_VALUE"""),"1 USD = 89.0157 PKR")</f>
        <v>1 USD = 89.0157 PKR</v>
      </c>
      <c r="H4420" s="9" t="str">
        <f ca="1">IFERROR(__xludf.DUMMYFUNCTION("""COMPUTED_VALUE"""),"USD PKR rate for 10/12/2011")</f>
        <v>USD PKR rate for 10/12/2011</v>
      </c>
      <c r="I4420" s="9"/>
    </row>
    <row r="4421" spans="1:9" ht="14.25" customHeight="1" x14ac:dyDescent="0.3">
      <c r="A4421" s="10">
        <v>44138</v>
      </c>
      <c r="B4421" s="7">
        <v>159.84800000000001</v>
      </c>
      <c r="C4421" s="8">
        <f t="shared" si="35"/>
        <v>174.0981451418908</v>
      </c>
      <c r="D4421" s="9">
        <f t="shared" si="34"/>
        <v>73.839350542255161</v>
      </c>
      <c r="E4421" s="9"/>
      <c r="F4421" s="9">
        <f ca="1">IFERROR(__xludf.DUMMYFUNCTION("""COMPUTED_VALUE"""),40886)</f>
        <v>40886</v>
      </c>
      <c r="G4421" s="9" t="str">
        <f ca="1">IFERROR(__xludf.DUMMYFUNCTION("""COMPUTED_VALUE"""),"1 USD = 89.0157 PKR")</f>
        <v>1 USD = 89.0157 PKR</v>
      </c>
      <c r="H4421" s="9" t="str">
        <f ca="1">IFERROR(__xludf.DUMMYFUNCTION("""COMPUTED_VALUE"""),"USD PKR rate for 09/12/2011")</f>
        <v>USD PKR rate for 09/12/2011</v>
      </c>
      <c r="I4421" s="9"/>
    </row>
    <row r="4422" spans="1:9" ht="14.25" customHeight="1" x14ac:dyDescent="0.3">
      <c r="A4422" s="10">
        <v>44139</v>
      </c>
      <c r="B4422" s="7">
        <v>159.5994</v>
      </c>
      <c r="C4422" s="8">
        <f t="shared" si="35"/>
        <v>174.129282554821</v>
      </c>
      <c r="D4422" s="9">
        <f t="shared" si="34"/>
        <v>73.842088375052427</v>
      </c>
      <c r="E4422" s="9"/>
      <c r="F4422" s="9">
        <f ca="1">IFERROR(__xludf.DUMMYFUNCTION("""COMPUTED_VALUE"""),40885)</f>
        <v>40885</v>
      </c>
      <c r="G4422" s="9" t="str">
        <f ca="1">IFERROR(__xludf.DUMMYFUNCTION("""COMPUTED_VALUE"""),"1 USD = 88.9412 PKR")</f>
        <v>1 USD = 88.9412 PKR</v>
      </c>
      <c r="H4422" s="9" t="str">
        <f ca="1">IFERROR(__xludf.DUMMYFUNCTION("""COMPUTED_VALUE"""),"USD PKR rate for 08/12/2011")</f>
        <v>USD PKR rate for 08/12/2011</v>
      </c>
      <c r="I4422" s="9"/>
    </row>
    <row r="4423" spans="1:9" ht="14.25" customHeight="1" x14ac:dyDescent="0.3">
      <c r="A4423" s="10">
        <v>44140</v>
      </c>
      <c r="B4423" s="7">
        <v>159.58750000000001</v>
      </c>
      <c r="C4423" s="8">
        <f t="shared" si="35"/>
        <v>174.16042553667032</v>
      </c>
      <c r="D4423" s="9">
        <f t="shared" si="34"/>
        <v>73.844826207849692</v>
      </c>
      <c r="E4423" s="9"/>
      <c r="F4423" s="9">
        <f ca="1">IFERROR(__xludf.DUMMYFUNCTION("""COMPUTED_VALUE"""),40884)</f>
        <v>40884</v>
      </c>
      <c r="G4423" s="9" t="str">
        <f ca="1">IFERROR(__xludf.DUMMYFUNCTION("""COMPUTED_VALUE"""),"1 USD = 89.418 PKR")</f>
        <v>1 USD = 89.418 PKR</v>
      </c>
      <c r="H4423" s="9" t="str">
        <f ca="1">IFERROR(__xludf.DUMMYFUNCTION("""COMPUTED_VALUE"""),"USD PKR rate for 07/12/2011")</f>
        <v>USD PKR rate for 07/12/2011</v>
      </c>
      <c r="I4423" s="9"/>
    </row>
    <row r="4424" spans="1:9" ht="14.25" customHeight="1" x14ac:dyDescent="0.3">
      <c r="A4424" s="10">
        <v>44141</v>
      </c>
      <c r="B4424" s="7">
        <v>159.15039999999999</v>
      </c>
      <c r="C4424" s="8">
        <f t="shared" si="35"/>
        <v>174.19157408843469</v>
      </c>
      <c r="D4424" s="9">
        <f t="shared" si="34"/>
        <v>73.847564040646958</v>
      </c>
      <c r="E4424" s="9"/>
      <c r="F4424" s="9">
        <f ca="1">IFERROR(__xludf.DUMMYFUNCTION("""COMPUTED_VALUE"""),40883)</f>
        <v>40883</v>
      </c>
      <c r="G4424" s="9" t="str">
        <f ca="1">IFERROR(__xludf.DUMMYFUNCTION("""COMPUTED_VALUE"""),"1 USD = 89.4857 PKR")</f>
        <v>1 USD = 89.4857 PKR</v>
      </c>
      <c r="H4424" s="9" t="str">
        <f ca="1">IFERROR(__xludf.DUMMYFUNCTION("""COMPUTED_VALUE"""),"USD PKR rate for 06/12/2011")</f>
        <v>USD PKR rate for 06/12/2011</v>
      </c>
      <c r="I4424" s="9"/>
    </row>
    <row r="4425" spans="1:9" ht="14.25" customHeight="1" x14ac:dyDescent="0.3">
      <c r="A4425" s="10">
        <v>44142</v>
      </c>
      <c r="B4425" s="7">
        <v>159.15600000000001</v>
      </c>
      <c r="C4425" s="8">
        <f t="shared" si="35"/>
        <v>174.22272821111036</v>
      </c>
      <c r="D4425" s="9">
        <f t="shared" si="34"/>
        <v>73.850301873444224</v>
      </c>
      <c r="E4425" s="9"/>
      <c r="F4425" s="9">
        <f ca="1">IFERROR(__xludf.DUMMYFUNCTION("""COMPUTED_VALUE"""),40882)</f>
        <v>40882</v>
      </c>
      <c r="G4425" s="9" t="str">
        <f ca="1">IFERROR(__xludf.DUMMYFUNCTION("""COMPUTED_VALUE"""),"1 USD = 89.4664 PKR")</f>
        <v>1 USD = 89.4664 PKR</v>
      </c>
      <c r="H4425" s="9" t="str">
        <f ca="1">IFERROR(__xludf.DUMMYFUNCTION("""COMPUTED_VALUE"""),"USD PKR rate for 05/12/2011")</f>
        <v>USD PKR rate for 05/12/2011</v>
      </c>
      <c r="I4425" s="9"/>
    </row>
    <row r="4426" spans="1:9" ht="14.25" customHeight="1" x14ac:dyDescent="0.3">
      <c r="A4426" s="10">
        <v>44143</v>
      </c>
      <c r="B4426" s="7">
        <v>159.10599999999999</v>
      </c>
      <c r="C4426" s="8">
        <f t="shared" si="35"/>
        <v>174.25388790569366</v>
      </c>
      <c r="D4426" s="9">
        <f t="shared" si="34"/>
        <v>73.853039706241489</v>
      </c>
      <c r="E4426" s="9"/>
      <c r="F4426" s="9">
        <f ca="1">IFERROR(__xludf.DUMMYFUNCTION("""COMPUTED_VALUE"""),40881)</f>
        <v>40881</v>
      </c>
      <c r="G4426" s="9" t="str">
        <f ca="1">IFERROR(__xludf.DUMMYFUNCTION("""COMPUTED_VALUE"""),"1 USD = 89.3991 PKR")</f>
        <v>1 USD = 89.3991 PKR</v>
      </c>
      <c r="H4426" s="9" t="str">
        <f ca="1">IFERROR(__xludf.DUMMYFUNCTION("""COMPUTED_VALUE"""),"USD PKR rate for 04/12/2011")</f>
        <v>USD PKR rate for 04/12/2011</v>
      </c>
      <c r="I4426" s="9"/>
    </row>
    <row r="4427" spans="1:9" ht="14.25" customHeight="1" x14ac:dyDescent="0.3">
      <c r="A4427" s="10">
        <v>44144</v>
      </c>
      <c r="B4427" s="7">
        <v>159.09299999999999</v>
      </c>
      <c r="C4427" s="8">
        <f t="shared" si="35"/>
        <v>174.2850531731811</v>
      </c>
      <c r="D4427" s="9">
        <f t="shared" si="34"/>
        <v>73.855777539038755</v>
      </c>
      <c r="E4427" s="9"/>
      <c r="F4427" s="9">
        <f ca="1">IFERROR(__xludf.DUMMYFUNCTION("""COMPUTED_VALUE"""),40880)</f>
        <v>40880</v>
      </c>
      <c r="G4427" s="9" t="str">
        <f ca="1">IFERROR(__xludf.DUMMYFUNCTION("""COMPUTED_VALUE"""),"1 USD = 89.4736 PKR")</f>
        <v>1 USD = 89.4736 PKR</v>
      </c>
      <c r="H4427" s="9" t="str">
        <f ca="1">IFERROR(__xludf.DUMMYFUNCTION("""COMPUTED_VALUE"""),"USD PKR rate for 03/12/2011")</f>
        <v>USD PKR rate for 03/12/2011</v>
      </c>
      <c r="I4427" s="9"/>
    </row>
    <row r="4428" spans="1:9" ht="14.25" customHeight="1" x14ac:dyDescent="0.3">
      <c r="A4428" s="10">
        <v>44145</v>
      </c>
      <c r="B4428" s="7">
        <v>158.9759</v>
      </c>
      <c r="C4428" s="8">
        <f t="shared" si="35"/>
        <v>174.31622401456943</v>
      </c>
      <c r="D4428" s="9">
        <f t="shared" si="34"/>
        <v>73.85851537183602</v>
      </c>
      <c r="E4428" s="9"/>
      <c r="F4428" s="9">
        <f ca="1">IFERROR(__xludf.DUMMYFUNCTION("""COMPUTED_VALUE"""),40879)</f>
        <v>40879</v>
      </c>
      <c r="G4428" s="9" t="str">
        <f ca="1">IFERROR(__xludf.DUMMYFUNCTION("""COMPUTED_VALUE"""),"1 USD = 89.4736 PKR")</f>
        <v>1 USD = 89.4736 PKR</v>
      </c>
      <c r="H4428" s="9" t="str">
        <f ca="1">IFERROR(__xludf.DUMMYFUNCTION("""COMPUTED_VALUE"""),"USD PKR rate for 02/12/2011")</f>
        <v>USD PKR rate for 02/12/2011</v>
      </c>
      <c r="I4428" s="9"/>
    </row>
    <row r="4429" spans="1:9" ht="14.25" customHeight="1" x14ac:dyDescent="0.3">
      <c r="A4429" s="10">
        <v>44146</v>
      </c>
      <c r="B4429" s="7">
        <v>158.52600000000001</v>
      </c>
      <c r="C4429" s="8">
        <f t="shared" si="35"/>
        <v>174.34740043085552</v>
      </c>
      <c r="D4429" s="9">
        <f t="shared" si="34"/>
        <v>73.861253204633286</v>
      </c>
      <c r="E4429" s="9"/>
      <c r="F4429" s="9">
        <f ca="1">IFERROR(__xludf.DUMMYFUNCTION("""COMPUTED_VALUE"""),40878)</f>
        <v>40878</v>
      </c>
      <c r="G4429" s="9" t="str">
        <f ca="1">IFERROR(__xludf.DUMMYFUNCTION("""COMPUTED_VALUE"""),"1 USD = 88.8596 PKR")</f>
        <v>1 USD = 88.8596 PKR</v>
      </c>
      <c r="H4429" s="9" t="str">
        <f ca="1">IFERROR(__xludf.DUMMYFUNCTION("""COMPUTED_VALUE"""),"USD PKR rate for 01/12/2011")</f>
        <v>USD PKR rate for 01/12/2011</v>
      </c>
      <c r="I4429" s="9"/>
    </row>
    <row r="4430" spans="1:9" ht="14.25" customHeight="1" x14ac:dyDescent="0.3">
      <c r="A4430" s="10">
        <v>44147</v>
      </c>
      <c r="B4430" s="7">
        <v>158.32919999999999</v>
      </c>
      <c r="C4430" s="8">
        <f t="shared" si="35"/>
        <v>174.37858242303625</v>
      </c>
      <c r="D4430" s="9">
        <f t="shared" si="34"/>
        <v>73.863991037430552</v>
      </c>
      <c r="E4430" s="9"/>
      <c r="F4430" s="9">
        <f ca="1">IFERROR(__xludf.DUMMYFUNCTION("""COMPUTED_VALUE"""),40877)</f>
        <v>40877</v>
      </c>
      <c r="G4430" s="9" t="str">
        <f ca="1">IFERROR(__xludf.DUMMYFUNCTION("""COMPUTED_VALUE"""),"1 USD = 88.6153 PKR")</f>
        <v>1 USD = 88.6153 PKR</v>
      </c>
      <c r="H4430" s="9" t="str">
        <f ca="1">IFERROR(__xludf.DUMMYFUNCTION("""COMPUTED_VALUE"""),"USD PKR rate for 30/11/2011")</f>
        <v>USD PKR rate for 30/11/2011</v>
      </c>
      <c r="I4430" s="9"/>
    </row>
    <row r="4431" spans="1:9" ht="14.25" customHeight="1" x14ac:dyDescent="0.3">
      <c r="A4431" s="10">
        <v>44148</v>
      </c>
      <c r="B4431" s="7">
        <v>158.375</v>
      </c>
      <c r="C4431" s="8">
        <f t="shared" si="35"/>
        <v>174.40976999210923</v>
      </c>
      <c r="D4431" s="9">
        <f t="shared" si="34"/>
        <v>73.866728870227817</v>
      </c>
      <c r="E4431" s="9"/>
      <c r="F4431" s="9">
        <f ca="1">IFERROR(__xludf.DUMMYFUNCTION("""COMPUTED_VALUE"""),40876)</f>
        <v>40876</v>
      </c>
      <c r="G4431" s="9" t="str">
        <f ca="1">IFERROR(__xludf.DUMMYFUNCTION("""COMPUTED_VALUE"""),"1 USD = 88.3241 PKR")</f>
        <v>1 USD = 88.3241 PKR</v>
      </c>
      <c r="H4431" s="9" t="str">
        <f ca="1">IFERROR(__xludf.DUMMYFUNCTION("""COMPUTED_VALUE"""),"USD PKR rate for 29/11/2011")</f>
        <v>USD PKR rate for 29/11/2011</v>
      </c>
      <c r="I4431" s="9"/>
    </row>
    <row r="4432" spans="1:9" ht="14.25" customHeight="1" x14ac:dyDescent="0.3">
      <c r="A4432" s="10">
        <v>44149</v>
      </c>
      <c r="B4432" s="7">
        <v>158.33750000000001</v>
      </c>
      <c r="C4432" s="8">
        <f t="shared" si="35"/>
        <v>174.44096313907173</v>
      </c>
      <c r="D4432" s="9">
        <f t="shared" si="34"/>
        <v>73.869466703025083</v>
      </c>
      <c r="E4432" s="9"/>
      <c r="F4432" s="9">
        <f ca="1">IFERROR(__xludf.DUMMYFUNCTION("""COMPUTED_VALUE"""),40875)</f>
        <v>40875</v>
      </c>
      <c r="G4432" s="9" t="str">
        <f ca="1">IFERROR(__xludf.DUMMYFUNCTION("""COMPUTED_VALUE"""),"1 USD = 88.045 PKR")</f>
        <v>1 USD = 88.045 PKR</v>
      </c>
      <c r="H4432" s="9" t="str">
        <f ca="1">IFERROR(__xludf.DUMMYFUNCTION("""COMPUTED_VALUE"""),"USD PKR rate for 28/11/2011")</f>
        <v>USD PKR rate for 28/11/2011</v>
      </c>
      <c r="I4432" s="9"/>
    </row>
    <row r="4433" spans="1:9" ht="14.25" customHeight="1" x14ac:dyDescent="0.3">
      <c r="A4433" s="10">
        <v>44150</v>
      </c>
      <c r="B4433" s="7">
        <v>158.29990000000001</v>
      </c>
      <c r="C4433" s="8">
        <f t="shared" si="35"/>
        <v>174.47216186492133</v>
      </c>
      <c r="D4433" s="9">
        <f t="shared" si="34"/>
        <v>73.872204535822348</v>
      </c>
      <c r="E4433" s="9"/>
      <c r="F4433" s="9">
        <f ca="1">IFERROR(__xludf.DUMMYFUNCTION("""COMPUTED_VALUE"""),40874)</f>
        <v>40874</v>
      </c>
      <c r="G4433" s="9" t="str">
        <f ca="1">IFERROR(__xludf.DUMMYFUNCTION("""COMPUTED_VALUE"""),"1 USD = 87.6646 PKR")</f>
        <v>1 USD = 87.6646 PKR</v>
      </c>
      <c r="H4433" s="9" t="str">
        <f ca="1">IFERROR(__xludf.DUMMYFUNCTION("""COMPUTED_VALUE"""),"USD PKR rate for 27/11/2011")</f>
        <v>USD PKR rate for 27/11/2011</v>
      </c>
      <c r="I4433" s="9"/>
    </row>
    <row r="4434" spans="1:9" ht="14.25" customHeight="1" x14ac:dyDescent="0.3">
      <c r="A4434" s="10">
        <v>44151</v>
      </c>
      <c r="B4434" s="7">
        <v>158.1465</v>
      </c>
      <c r="C4434" s="8">
        <f t="shared" si="35"/>
        <v>174.50336617065582</v>
      </c>
      <c r="D4434" s="9">
        <f t="shared" si="34"/>
        <v>73.874942368619614</v>
      </c>
      <c r="E4434" s="9"/>
      <c r="F4434" s="9">
        <f ca="1">IFERROR(__xludf.DUMMYFUNCTION("""COMPUTED_VALUE"""),40873)</f>
        <v>40873</v>
      </c>
      <c r="G4434" s="9" t="str">
        <f ca="1">IFERROR(__xludf.DUMMYFUNCTION("""COMPUTED_VALUE"""),"1 USD = 87.9201 PKR")</f>
        <v>1 USD = 87.9201 PKR</v>
      </c>
      <c r="H4434" s="9" t="str">
        <f ca="1">IFERROR(__xludf.DUMMYFUNCTION("""COMPUTED_VALUE"""),"USD PKR rate for 26/11/2011")</f>
        <v>USD PKR rate for 26/11/2011</v>
      </c>
      <c r="I4434" s="9"/>
    </row>
    <row r="4435" spans="1:9" ht="14.25" customHeight="1" x14ac:dyDescent="0.3">
      <c r="A4435" s="10">
        <v>44152</v>
      </c>
      <c r="B4435" s="7">
        <v>158.19640000000004</v>
      </c>
      <c r="C4435" s="8">
        <f t="shared" si="35"/>
        <v>174.53457605727317</v>
      </c>
      <c r="D4435" s="9">
        <f t="shared" si="34"/>
        <v>73.877680201416879</v>
      </c>
      <c r="E4435" s="9"/>
      <c r="F4435" s="9">
        <f ca="1">IFERROR(__xludf.DUMMYFUNCTION("""COMPUTED_VALUE"""),40872)</f>
        <v>40872</v>
      </c>
      <c r="G4435" s="9" t="str">
        <f ca="1">IFERROR(__xludf.DUMMYFUNCTION("""COMPUTED_VALUE"""),"1 USD = 87.9201 PKR")</f>
        <v>1 USD = 87.9201 PKR</v>
      </c>
      <c r="H4435" s="9" t="str">
        <f ca="1">IFERROR(__xludf.DUMMYFUNCTION("""COMPUTED_VALUE"""),"USD PKR rate for 25/11/2011")</f>
        <v>USD PKR rate for 25/11/2011</v>
      </c>
      <c r="I4435" s="9"/>
    </row>
    <row r="4436" spans="1:9" ht="14.25" customHeight="1" x14ac:dyDescent="0.3">
      <c r="A4436" s="10">
        <v>44153</v>
      </c>
      <c r="B4436" s="7">
        <v>158.88120000000001</v>
      </c>
      <c r="C4436" s="8">
        <f t="shared" si="35"/>
        <v>174.56579152577149</v>
      </c>
      <c r="D4436" s="9">
        <f t="shared" si="34"/>
        <v>73.880418034214145</v>
      </c>
      <c r="E4436" s="9"/>
      <c r="F4436" s="9">
        <f ca="1">IFERROR(__xludf.DUMMYFUNCTION("""COMPUTED_VALUE"""),40871)</f>
        <v>40871</v>
      </c>
      <c r="G4436" s="9" t="str">
        <f ca="1">IFERROR(__xludf.DUMMYFUNCTION("""COMPUTED_VALUE"""),"1 USD = 87.776 PKR")</f>
        <v>1 USD = 87.776 PKR</v>
      </c>
      <c r="H4436" s="9" t="str">
        <f ca="1">IFERROR(__xludf.DUMMYFUNCTION("""COMPUTED_VALUE"""),"USD PKR rate for 24/11/2011")</f>
        <v>USD PKR rate for 24/11/2011</v>
      </c>
      <c r="I4436" s="9"/>
    </row>
    <row r="4437" spans="1:9" ht="14.25" customHeight="1" x14ac:dyDescent="0.3">
      <c r="A4437" s="10">
        <v>44154</v>
      </c>
      <c r="B4437" s="7">
        <v>158.8639</v>
      </c>
      <c r="C4437" s="8">
        <f t="shared" si="35"/>
        <v>174.59701257714914</v>
      </c>
      <c r="D4437" s="9">
        <f t="shared" si="34"/>
        <v>73.883155867011411</v>
      </c>
      <c r="E4437" s="9"/>
      <c r="F4437" s="9">
        <f ca="1">IFERROR(__xludf.DUMMYFUNCTION("""COMPUTED_VALUE"""),40870)</f>
        <v>40870</v>
      </c>
      <c r="G4437" s="9" t="str">
        <f ca="1">IFERROR(__xludf.DUMMYFUNCTION("""COMPUTED_VALUE"""),"1 USD = 87.5299 PKR")</f>
        <v>1 USD = 87.5299 PKR</v>
      </c>
      <c r="H4437" s="9" t="str">
        <f ca="1">IFERROR(__xludf.DUMMYFUNCTION("""COMPUTED_VALUE"""),"USD PKR rate for 23/11/2011")</f>
        <v>USD PKR rate for 23/11/2011</v>
      </c>
      <c r="I4437" s="9"/>
    </row>
    <row r="4438" spans="1:9" ht="14.25" customHeight="1" x14ac:dyDescent="0.3">
      <c r="A4438" s="10">
        <v>44155</v>
      </c>
      <c r="B4438" s="7">
        <v>160.756</v>
      </c>
      <c r="C4438" s="8">
        <f t="shared" si="35"/>
        <v>174.62823921240459</v>
      </c>
      <c r="D4438" s="9">
        <f t="shared" si="34"/>
        <v>73.885893699808676</v>
      </c>
      <c r="E4438" s="9"/>
      <c r="F4438" s="9">
        <f ca="1">IFERROR(__xludf.DUMMYFUNCTION("""COMPUTED_VALUE"""),40869)</f>
        <v>40869</v>
      </c>
      <c r="G4438" s="9" t="str">
        <f ca="1">IFERROR(__xludf.DUMMYFUNCTION("""COMPUTED_VALUE"""),"1 USD = 87.4309 PKR")</f>
        <v>1 USD = 87.4309 PKR</v>
      </c>
      <c r="H4438" s="9" t="str">
        <f ca="1">IFERROR(__xludf.DUMMYFUNCTION("""COMPUTED_VALUE"""),"USD PKR rate for 22/11/2011")</f>
        <v>USD PKR rate for 22/11/2011</v>
      </c>
      <c r="I4438" s="9"/>
    </row>
    <row r="4439" spans="1:9" ht="14.25" customHeight="1" x14ac:dyDescent="0.3">
      <c r="A4439" s="10">
        <v>44156</v>
      </c>
      <c r="B4439" s="7">
        <v>160.74810000000002</v>
      </c>
      <c r="C4439" s="8">
        <f t="shared" si="35"/>
        <v>174.65947143253638</v>
      </c>
      <c r="D4439" s="9">
        <f t="shared" si="34"/>
        <v>73.888631532605942</v>
      </c>
      <c r="E4439" s="9"/>
      <c r="F4439" s="9">
        <f ca="1">IFERROR(__xludf.DUMMYFUNCTION("""COMPUTED_VALUE"""),40868)</f>
        <v>40868</v>
      </c>
      <c r="G4439" s="9" t="str">
        <f ca="1">IFERROR(__xludf.DUMMYFUNCTION("""COMPUTED_VALUE"""),"1 USD = 87.3336 PKR")</f>
        <v>1 USD = 87.3336 PKR</v>
      </c>
      <c r="H4439" s="9" t="str">
        <f ca="1">IFERROR(__xludf.DUMMYFUNCTION("""COMPUTED_VALUE"""),"USD PKR rate for 21/11/2011")</f>
        <v>USD PKR rate for 21/11/2011</v>
      </c>
      <c r="I4439" s="9"/>
    </row>
    <row r="4440" spans="1:9" ht="14.25" customHeight="1" x14ac:dyDescent="0.3">
      <c r="A4440" s="10">
        <v>44157</v>
      </c>
      <c r="B4440" s="7">
        <v>160.57730000000001</v>
      </c>
      <c r="C4440" s="8">
        <f t="shared" si="35"/>
        <v>174.69070923854366</v>
      </c>
      <c r="D4440" s="9">
        <f t="shared" si="34"/>
        <v>73.891369365403207</v>
      </c>
      <c r="E4440" s="9"/>
      <c r="F4440" s="9">
        <f ca="1">IFERROR(__xludf.DUMMYFUNCTION("""COMPUTED_VALUE"""),40867)</f>
        <v>40867</v>
      </c>
      <c r="G4440" s="9" t="str">
        <f ca="1">IFERROR(__xludf.DUMMYFUNCTION("""COMPUTED_VALUE"""),"1 USD = 87.4052 PKR")</f>
        <v>1 USD = 87.4052 PKR</v>
      </c>
      <c r="H4440" s="9" t="str">
        <f ca="1">IFERROR(__xludf.DUMMYFUNCTION("""COMPUTED_VALUE"""),"USD PKR rate for 20/11/2011")</f>
        <v>USD PKR rate for 20/11/2011</v>
      </c>
      <c r="I4440" s="9"/>
    </row>
    <row r="4441" spans="1:9" ht="14.25" customHeight="1" x14ac:dyDescent="0.3">
      <c r="A4441" s="10">
        <v>44158</v>
      </c>
      <c r="B4441" s="7">
        <v>160.9881</v>
      </c>
      <c r="C4441" s="8">
        <f t="shared" si="35"/>
        <v>174.7219526314253</v>
      </c>
      <c r="D4441" s="9">
        <f t="shared" si="34"/>
        <v>73.894107198200473</v>
      </c>
      <c r="E4441" s="9"/>
      <c r="F4441" s="9">
        <f ca="1">IFERROR(__xludf.DUMMYFUNCTION("""COMPUTED_VALUE"""),40866)</f>
        <v>40866</v>
      </c>
      <c r="G4441" s="9" t="str">
        <f ca="1">IFERROR(__xludf.DUMMYFUNCTION("""COMPUTED_VALUE"""),"1 USD = 87.2006 PKR")</f>
        <v>1 USD = 87.2006 PKR</v>
      </c>
      <c r="H4441" s="9" t="str">
        <f ca="1">IFERROR(__xludf.DUMMYFUNCTION("""COMPUTED_VALUE"""),"USD PKR rate for 19/11/2011")</f>
        <v>USD PKR rate for 19/11/2011</v>
      </c>
      <c r="I4441" s="9"/>
    </row>
    <row r="4442" spans="1:9" ht="14.25" customHeight="1" x14ac:dyDescent="0.3">
      <c r="A4442" s="10">
        <v>44159</v>
      </c>
      <c r="B4442" s="7">
        <v>160.03720000000001</v>
      </c>
      <c r="C4442" s="8">
        <f t="shared" si="35"/>
        <v>174.7532016121805</v>
      </c>
      <c r="D4442" s="9">
        <f t="shared" si="34"/>
        <v>73.896845030997738</v>
      </c>
      <c r="E4442" s="9"/>
      <c r="F4442" s="9">
        <f ca="1">IFERROR(__xludf.DUMMYFUNCTION("""COMPUTED_VALUE"""),40865)</f>
        <v>40865</v>
      </c>
      <c r="G4442" s="9" t="str">
        <f ca="1">IFERROR(__xludf.DUMMYFUNCTION("""COMPUTED_VALUE"""),"1 USD = 87.2199 PKR")</f>
        <v>1 USD = 87.2199 PKR</v>
      </c>
      <c r="H4442" s="9" t="str">
        <f ca="1">IFERROR(__xludf.DUMMYFUNCTION("""COMPUTED_VALUE"""),"USD PKR rate for 18/11/2011")</f>
        <v>USD PKR rate for 18/11/2011</v>
      </c>
      <c r="I4442" s="9"/>
    </row>
    <row r="4443" spans="1:9" ht="14.25" customHeight="1" x14ac:dyDescent="0.3">
      <c r="A4443" s="10">
        <v>44160</v>
      </c>
      <c r="B4443" s="7">
        <v>159.32089999999999</v>
      </c>
      <c r="C4443" s="8">
        <f t="shared" si="35"/>
        <v>174.78445618180871</v>
      </c>
      <c r="D4443" s="9">
        <f t="shared" si="34"/>
        <v>73.899582863795004</v>
      </c>
      <c r="E4443" s="9"/>
      <c r="F4443" s="9">
        <f ca="1">IFERROR(__xludf.DUMMYFUNCTION("""COMPUTED_VALUE"""),40864)</f>
        <v>40864</v>
      </c>
      <c r="G4443" s="9" t="str">
        <f ca="1">IFERROR(__xludf.DUMMYFUNCTION("""COMPUTED_VALUE"""),"1 USD = 87.0443 PKR")</f>
        <v>1 USD = 87.0443 PKR</v>
      </c>
      <c r="H4443" s="9" t="str">
        <f ca="1">IFERROR(__xludf.DUMMYFUNCTION("""COMPUTED_VALUE"""),"USD PKR rate for 17/11/2011")</f>
        <v>USD PKR rate for 17/11/2011</v>
      </c>
      <c r="I4443" s="9"/>
    </row>
    <row r="4444" spans="1:9" ht="14.25" customHeight="1" x14ac:dyDescent="0.3">
      <c r="A4444" s="10">
        <v>44161</v>
      </c>
      <c r="B4444" s="7">
        <v>159.18289999999999</v>
      </c>
      <c r="C4444" s="8">
        <f t="shared" si="35"/>
        <v>174.81571634130941</v>
      </c>
      <c r="D4444" s="9">
        <f t="shared" si="34"/>
        <v>73.90232069659227</v>
      </c>
      <c r="E4444" s="9"/>
      <c r="F4444" s="9">
        <f ca="1">IFERROR(__xludf.DUMMYFUNCTION("""COMPUTED_VALUE"""),40863)</f>
        <v>40863</v>
      </c>
      <c r="G4444" s="9" t="str">
        <f ca="1">IFERROR(__xludf.DUMMYFUNCTION("""COMPUTED_VALUE"""),"1 USD = 87.1685 PKR")</f>
        <v>1 USD = 87.1685 PKR</v>
      </c>
      <c r="H4444" s="9" t="str">
        <f ca="1">IFERROR(__xludf.DUMMYFUNCTION("""COMPUTED_VALUE"""),"USD PKR rate for 16/11/2011")</f>
        <v>USD PKR rate for 16/11/2011</v>
      </c>
      <c r="I4444" s="9"/>
    </row>
    <row r="4445" spans="1:9" ht="14.25" customHeight="1" x14ac:dyDescent="0.3">
      <c r="A4445" s="10">
        <v>44162</v>
      </c>
      <c r="B4445" s="7">
        <v>159.34450000000001</v>
      </c>
      <c r="C4445" s="8">
        <f t="shared" si="35"/>
        <v>174.84698209168243</v>
      </c>
      <c r="D4445" s="9">
        <f t="shared" si="34"/>
        <v>73.905058529389535</v>
      </c>
      <c r="E4445" s="9"/>
      <c r="F4445" s="9">
        <f ca="1">IFERROR(__xludf.DUMMYFUNCTION("""COMPUTED_VALUE"""),40862)</f>
        <v>40862</v>
      </c>
      <c r="G4445" s="9" t="str">
        <f ca="1">IFERROR(__xludf.DUMMYFUNCTION("""COMPUTED_VALUE"""),"1 USD = 86.9587 PKR")</f>
        <v>1 USD = 86.9587 PKR</v>
      </c>
      <c r="H4445" s="9" t="str">
        <f ca="1">IFERROR(__xludf.DUMMYFUNCTION("""COMPUTED_VALUE"""),"USD PKR rate for 15/11/2011")</f>
        <v>USD PKR rate for 15/11/2011</v>
      </c>
      <c r="I4445" s="9"/>
    </row>
    <row r="4446" spans="1:9" ht="14.25" customHeight="1" x14ac:dyDescent="0.3">
      <c r="A4446" s="10">
        <v>44163</v>
      </c>
      <c r="B4446" s="7">
        <v>159.44410000000002</v>
      </c>
      <c r="C4446" s="8">
        <f t="shared" si="35"/>
        <v>174.87825343392765</v>
      </c>
      <c r="D4446" s="9">
        <f t="shared" si="34"/>
        <v>73.907796362186801</v>
      </c>
      <c r="E4446" s="9"/>
      <c r="F4446" s="9">
        <f ca="1">IFERROR(__xludf.DUMMYFUNCTION("""COMPUTED_VALUE"""),40861)</f>
        <v>40861</v>
      </c>
      <c r="G4446" s="9" t="str">
        <f ca="1">IFERROR(__xludf.DUMMYFUNCTION("""COMPUTED_VALUE"""),"1 USD = 86.7135 PKR")</f>
        <v>1 USD = 86.7135 PKR</v>
      </c>
      <c r="H4446" s="9" t="str">
        <f ca="1">IFERROR(__xludf.DUMMYFUNCTION("""COMPUTED_VALUE"""),"USD PKR rate for 14/11/2011")</f>
        <v>USD PKR rate for 14/11/2011</v>
      </c>
      <c r="I4446" s="9"/>
    </row>
    <row r="4447" spans="1:9" ht="14.25" customHeight="1" x14ac:dyDescent="0.3">
      <c r="A4447" s="10">
        <v>44164</v>
      </c>
      <c r="B4447" s="7">
        <v>159.39120000000003</v>
      </c>
      <c r="C4447" s="8">
        <f t="shared" si="35"/>
        <v>174.9095303690452</v>
      </c>
      <c r="D4447" s="9">
        <f t="shared" si="34"/>
        <v>73.910534194984066</v>
      </c>
      <c r="E4447" s="9"/>
      <c r="F4447" s="9">
        <f ca="1">IFERROR(__xludf.DUMMYFUNCTION("""COMPUTED_VALUE"""),40860)</f>
        <v>40860</v>
      </c>
      <c r="G4447" s="9" t="str">
        <f ca="1">IFERROR(__xludf.DUMMYFUNCTION("""COMPUTED_VALUE"""),"1 USD = 86.6846 PKR")</f>
        <v>1 USD = 86.6846 PKR</v>
      </c>
      <c r="H4447" s="9" t="str">
        <f ca="1">IFERROR(__xludf.DUMMYFUNCTION("""COMPUTED_VALUE"""),"USD PKR rate for 13/11/2011")</f>
        <v>USD PKR rate for 13/11/2011</v>
      </c>
      <c r="I4447" s="9"/>
    </row>
    <row r="4448" spans="1:9" ht="14.25" customHeight="1" x14ac:dyDescent="0.3">
      <c r="A4448" s="10">
        <v>44165</v>
      </c>
      <c r="B4448" s="7">
        <v>159.4631</v>
      </c>
      <c r="C4448" s="8">
        <f t="shared" si="35"/>
        <v>174.94081289803518</v>
      </c>
      <c r="D4448" s="9">
        <f t="shared" si="34"/>
        <v>73.913272027781332</v>
      </c>
      <c r="E4448" s="9"/>
      <c r="F4448" s="9">
        <f ca="1">IFERROR(__xludf.DUMMYFUNCTION("""COMPUTED_VALUE"""),40859)</f>
        <v>40859</v>
      </c>
      <c r="G4448" s="9" t="str">
        <f ca="1">IFERROR(__xludf.DUMMYFUNCTION("""COMPUTED_VALUE"""),"1 USD = 86.7332 PKR")</f>
        <v>1 USD = 86.7332 PKR</v>
      </c>
      <c r="H4448" s="9" t="str">
        <f ca="1">IFERROR(__xludf.DUMMYFUNCTION("""COMPUTED_VALUE"""),"USD PKR rate for 12/11/2011")</f>
        <v>USD PKR rate for 12/11/2011</v>
      </c>
      <c r="I4448" s="9"/>
    </row>
    <row r="4449" spans="1:9" ht="14.25" customHeight="1" x14ac:dyDescent="0.3">
      <c r="A4449" s="10">
        <v>44166</v>
      </c>
      <c r="B4449" s="7">
        <v>159.62700000000001</v>
      </c>
      <c r="C4449" s="8">
        <f t="shared" si="35"/>
        <v>174.9721010218984</v>
      </c>
      <c r="D4449" s="9">
        <f t="shared" si="34"/>
        <v>73.916009860578598</v>
      </c>
      <c r="E4449" s="9"/>
      <c r="F4449" s="9">
        <f ca="1">IFERROR(__xludf.DUMMYFUNCTION("""COMPUTED_VALUE"""),40858)</f>
        <v>40858</v>
      </c>
      <c r="G4449" s="9" t="str">
        <f ca="1">IFERROR(__xludf.DUMMYFUNCTION("""COMPUTED_VALUE"""),"1 USD = 86.7332 PKR")</f>
        <v>1 USD = 86.7332 PKR</v>
      </c>
      <c r="H4449" s="9" t="str">
        <f ca="1">IFERROR(__xludf.DUMMYFUNCTION("""COMPUTED_VALUE"""),"USD PKR rate for 11/11/2011")</f>
        <v>USD PKR rate for 11/11/2011</v>
      </c>
      <c r="I4449" s="9"/>
    </row>
    <row r="4450" spans="1:9" ht="14.25" customHeight="1" x14ac:dyDescent="0.3">
      <c r="A4450" s="10">
        <v>44167</v>
      </c>
      <c r="B4450" s="7">
        <v>160.18530000000001</v>
      </c>
      <c r="C4450" s="8">
        <f t="shared" si="35"/>
        <v>175.0033947416353</v>
      </c>
      <c r="D4450" s="9">
        <f t="shared" si="34"/>
        <v>73.918747693375863</v>
      </c>
      <c r="E4450" s="9"/>
      <c r="F4450" s="9">
        <f ca="1">IFERROR(__xludf.DUMMYFUNCTION("""COMPUTED_VALUE"""),40857)</f>
        <v>40857</v>
      </c>
      <c r="G4450" s="9" t="str">
        <f ca="1">IFERROR(__xludf.DUMMYFUNCTION("""COMPUTED_VALUE"""),"1 USD = 86.6675 PKR")</f>
        <v>1 USD = 86.6675 PKR</v>
      </c>
      <c r="H4450" s="9" t="str">
        <f ca="1">IFERROR(__xludf.DUMMYFUNCTION("""COMPUTED_VALUE"""),"USD PKR rate for 10/11/2011")</f>
        <v>USD PKR rate for 10/11/2011</v>
      </c>
      <c r="I4450" s="9"/>
    </row>
    <row r="4451" spans="1:9" ht="14.25" customHeight="1" x14ac:dyDescent="0.3">
      <c r="A4451" s="10">
        <v>44168</v>
      </c>
      <c r="B4451" s="7">
        <v>160.33680000000001</v>
      </c>
      <c r="C4451" s="8">
        <f t="shared" si="35"/>
        <v>175.03469405824674</v>
      </c>
      <c r="D4451" s="9">
        <f t="shared" si="34"/>
        <v>73.921485526173129</v>
      </c>
      <c r="E4451" s="9"/>
      <c r="F4451" s="9">
        <f ca="1">IFERROR(__xludf.DUMMYFUNCTION("""COMPUTED_VALUE"""),40856)</f>
        <v>40856</v>
      </c>
      <c r="G4451" s="9" t="str">
        <f ca="1">IFERROR(__xludf.DUMMYFUNCTION("""COMPUTED_VALUE"""),"1 USD = 86.3305 PKR")</f>
        <v>1 USD = 86.3305 PKR</v>
      </c>
      <c r="H4451" s="9" t="str">
        <f ca="1">IFERROR(__xludf.DUMMYFUNCTION("""COMPUTED_VALUE"""),"USD PKR rate for 09/11/2011")</f>
        <v>USD PKR rate for 09/11/2011</v>
      </c>
      <c r="I4451" s="9"/>
    </row>
    <row r="4452" spans="1:9" ht="14.25" customHeight="1" x14ac:dyDescent="0.3">
      <c r="A4452" s="10">
        <v>44169</v>
      </c>
      <c r="B4452" s="7">
        <v>160.04990000000001</v>
      </c>
      <c r="C4452" s="8">
        <f t="shared" si="35"/>
        <v>175.06599897273369</v>
      </c>
      <c r="D4452" s="9">
        <f t="shared" si="34"/>
        <v>73.924223358970394</v>
      </c>
      <c r="E4452" s="9"/>
      <c r="F4452" s="9">
        <f ca="1">IFERROR(__xludf.DUMMYFUNCTION("""COMPUTED_VALUE"""),40855)</f>
        <v>40855</v>
      </c>
      <c r="G4452" s="9" t="str">
        <f ca="1">IFERROR(__xludf.DUMMYFUNCTION("""COMPUTED_VALUE"""),"1 USD = 86.3651 PKR")</f>
        <v>1 USD = 86.3651 PKR</v>
      </c>
      <c r="H4452" s="9" t="str">
        <f ca="1">IFERROR(__xludf.DUMMYFUNCTION("""COMPUTED_VALUE"""),"USD PKR rate for 08/11/2011")</f>
        <v>USD PKR rate for 08/11/2011</v>
      </c>
      <c r="I4452" s="9"/>
    </row>
    <row r="4453" spans="1:9" ht="14.25" customHeight="1" x14ac:dyDescent="0.3">
      <c r="A4453" s="10">
        <v>44170</v>
      </c>
      <c r="B4453" s="7">
        <v>160.04409999999999</v>
      </c>
      <c r="C4453" s="8">
        <f t="shared" si="35"/>
        <v>175.09730948609737</v>
      </c>
      <c r="D4453" s="9">
        <f t="shared" si="34"/>
        <v>73.92696119176766</v>
      </c>
      <c r="E4453" s="9"/>
      <c r="F4453" s="9">
        <f ca="1">IFERROR(__xludf.DUMMYFUNCTION("""COMPUTED_VALUE"""),40854)</f>
        <v>40854</v>
      </c>
      <c r="G4453" s="9" t="str">
        <f ca="1">IFERROR(__xludf.DUMMYFUNCTION("""COMPUTED_VALUE"""),"1 USD = 86.3819 PKR")</f>
        <v>1 USD = 86.3819 PKR</v>
      </c>
      <c r="H4453" s="9" t="str">
        <f ca="1">IFERROR(__xludf.DUMMYFUNCTION("""COMPUTED_VALUE"""),"USD PKR rate for 07/11/2011")</f>
        <v>USD PKR rate for 07/11/2011</v>
      </c>
      <c r="I4453" s="9"/>
    </row>
    <row r="4454" spans="1:9" ht="14.25" customHeight="1" x14ac:dyDescent="0.3">
      <c r="A4454" s="10">
        <v>44171</v>
      </c>
      <c r="B4454" s="7">
        <v>160.03389999999999</v>
      </c>
      <c r="C4454" s="8">
        <f t="shared" si="35"/>
        <v>175.1286255993391</v>
      </c>
      <c r="D4454" s="9">
        <f t="shared" si="34"/>
        <v>73.929699024564925</v>
      </c>
      <c r="E4454" s="9"/>
      <c r="F4454" s="9">
        <f ca="1">IFERROR(__xludf.DUMMYFUNCTION("""COMPUTED_VALUE"""),40853)</f>
        <v>40853</v>
      </c>
      <c r="G4454" s="9" t="str">
        <f ca="1">IFERROR(__xludf.DUMMYFUNCTION("""COMPUTED_VALUE"""),"1 USD = 86.3423 PKR")</f>
        <v>1 USD = 86.3423 PKR</v>
      </c>
      <c r="H4454" s="9" t="str">
        <f ca="1">IFERROR(__xludf.DUMMYFUNCTION("""COMPUTED_VALUE"""),"USD PKR rate for 06/11/2011")</f>
        <v>USD PKR rate for 06/11/2011</v>
      </c>
      <c r="I4454" s="9"/>
    </row>
    <row r="4455" spans="1:9" ht="14.25" customHeight="1" x14ac:dyDescent="0.3">
      <c r="A4455" s="10">
        <v>44172</v>
      </c>
      <c r="B4455" s="7">
        <v>160.25300000000001</v>
      </c>
      <c r="C4455" s="8">
        <f t="shared" si="35"/>
        <v>175.15994731346044</v>
      </c>
      <c r="D4455" s="9">
        <f t="shared" si="34"/>
        <v>73.932436857362191</v>
      </c>
      <c r="E4455" s="9"/>
      <c r="F4455" s="9">
        <f ca="1">IFERROR(__xludf.DUMMYFUNCTION("""COMPUTED_VALUE"""),40852)</f>
        <v>40852</v>
      </c>
      <c r="G4455" s="9" t="str">
        <f ca="1">IFERROR(__xludf.DUMMYFUNCTION("""COMPUTED_VALUE"""),"1 USD = 86.2973 PKR")</f>
        <v>1 USD = 86.2973 PKR</v>
      </c>
      <c r="H4455" s="9" t="str">
        <f ca="1">IFERROR(__xludf.DUMMYFUNCTION("""COMPUTED_VALUE"""),"USD PKR rate for 05/11/2011")</f>
        <v>USD PKR rate for 05/11/2011</v>
      </c>
      <c r="I4455" s="9"/>
    </row>
    <row r="4456" spans="1:9" ht="14.25" customHeight="1" x14ac:dyDescent="0.3">
      <c r="A4456" s="10">
        <v>44173</v>
      </c>
      <c r="B4456" s="7">
        <v>160.3184</v>
      </c>
      <c r="C4456" s="8">
        <f t="shared" si="35"/>
        <v>175.19127462946307</v>
      </c>
      <c r="D4456" s="9">
        <f t="shared" si="34"/>
        <v>73.935174690159457</v>
      </c>
      <c r="E4456" s="9"/>
      <c r="F4456" s="9">
        <f ca="1">IFERROR(__xludf.DUMMYFUNCTION("""COMPUTED_VALUE"""),40851)</f>
        <v>40851</v>
      </c>
      <c r="G4456" s="9" t="str">
        <f ca="1">IFERROR(__xludf.DUMMYFUNCTION("""COMPUTED_VALUE"""),"1 USD = 86.3493 PKR")</f>
        <v>1 USD = 86.3493 PKR</v>
      </c>
      <c r="H4456" s="9" t="str">
        <f ca="1">IFERROR(__xludf.DUMMYFUNCTION("""COMPUTED_VALUE"""),"USD PKR rate for 04/11/2011")</f>
        <v>USD PKR rate for 04/11/2011</v>
      </c>
      <c r="I4456" s="9"/>
    </row>
    <row r="4457" spans="1:9" ht="14.25" customHeight="1" x14ac:dyDescent="0.3">
      <c r="A4457" s="10">
        <v>44174</v>
      </c>
      <c r="B4457" s="7">
        <v>160.41290000000001</v>
      </c>
      <c r="C4457" s="8">
        <f t="shared" si="35"/>
        <v>175.22260754834878</v>
      </c>
      <c r="D4457" s="9">
        <f t="shared" si="34"/>
        <v>73.937912522956722</v>
      </c>
      <c r="E4457" s="9"/>
      <c r="F4457" s="9">
        <f ca="1">IFERROR(__xludf.DUMMYFUNCTION("""COMPUTED_VALUE"""),40850)</f>
        <v>40850</v>
      </c>
      <c r="G4457" s="9" t="str">
        <f ca="1">IFERROR(__xludf.DUMMYFUNCTION("""COMPUTED_VALUE"""),"1 USD = 86.1475 PKR")</f>
        <v>1 USD = 86.1475 PKR</v>
      </c>
      <c r="H4457" s="9" t="str">
        <f ca="1">IFERROR(__xludf.DUMMYFUNCTION("""COMPUTED_VALUE"""),"USD PKR rate for 03/11/2011")</f>
        <v>USD PKR rate for 03/11/2011</v>
      </c>
      <c r="I4457" s="9"/>
    </row>
    <row r="4458" spans="1:9" ht="14.25" customHeight="1" x14ac:dyDescent="0.3">
      <c r="A4458" s="10">
        <v>44175</v>
      </c>
      <c r="B4458" s="7">
        <v>160.48179999999999</v>
      </c>
      <c r="C4458" s="8">
        <f t="shared" si="35"/>
        <v>175.25394607111988</v>
      </c>
      <c r="D4458" s="9">
        <f t="shared" si="34"/>
        <v>73.940650355753988</v>
      </c>
      <c r="E4458" s="9"/>
      <c r="F4458" s="9">
        <f ca="1">IFERROR(__xludf.DUMMYFUNCTION("""COMPUTED_VALUE"""),40849)</f>
        <v>40849</v>
      </c>
      <c r="G4458" s="9" t="str">
        <f ca="1">IFERROR(__xludf.DUMMYFUNCTION("""COMPUTED_VALUE"""),"1 USD = 85.858 PKR")</f>
        <v>1 USD = 85.858 PKR</v>
      </c>
      <c r="H4458" s="9" t="str">
        <f ca="1">IFERROR(__xludf.DUMMYFUNCTION("""COMPUTED_VALUE"""),"USD PKR rate for 02/11/2011")</f>
        <v>USD PKR rate for 02/11/2011</v>
      </c>
      <c r="I4458" s="9"/>
    </row>
    <row r="4459" spans="1:9" ht="14.25" customHeight="1" x14ac:dyDescent="0.3">
      <c r="A4459" s="10">
        <v>44176</v>
      </c>
      <c r="B4459" s="7">
        <v>160.15010000000001</v>
      </c>
      <c r="C4459" s="8">
        <f t="shared" si="35"/>
        <v>175.28529019877857</v>
      </c>
      <c r="D4459" s="9">
        <f t="shared" si="34"/>
        <v>73.943388188551253</v>
      </c>
      <c r="E4459" s="9"/>
      <c r="F4459" s="9">
        <f ca="1">IFERROR(__xludf.DUMMYFUNCTION("""COMPUTED_VALUE"""),40848)</f>
        <v>40848</v>
      </c>
      <c r="G4459" s="9" t="str">
        <f ca="1">IFERROR(__xludf.DUMMYFUNCTION("""COMPUTED_VALUE"""),"1 USD = 86.0004 PKR")</f>
        <v>1 USD = 86.0004 PKR</v>
      </c>
      <c r="H4459" s="9" t="str">
        <f ca="1">IFERROR(__xludf.DUMMYFUNCTION("""COMPUTED_VALUE"""),"USD PKR rate for 01/11/2011")</f>
        <v>USD PKR rate for 01/11/2011</v>
      </c>
      <c r="I4459" s="9"/>
    </row>
    <row r="4460" spans="1:9" ht="14.25" customHeight="1" x14ac:dyDescent="0.3">
      <c r="A4460" s="10">
        <v>44177</v>
      </c>
      <c r="B4460" s="7">
        <v>160.14400000000001</v>
      </c>
      <c r="C4460" s="8">
        <f t="shared" si="35"/>
        <v>175.31663993232723</v>
      </c>
      <c r="D4460" s="9">
        <f t="shared" si="34"/>
        <v>73.946126021348519</v>
      </c>
      <c r="E4460" s="9"/>
      <c r="F4460" s="9">
        <f ca="1">IFERROR(__xludf.DUMMYFUNCTION("""COMPUTED_VALUE"""),40847)</f>
        <v>40847</v>
      </c>
      <c r="G4460" s="9" t="str">
        <f ca="1">IFERROR(__xludf.DUMMYFUNCTION("""COMPUTED_VALUE"""),"1 USD = 86.9706 PKR")</f>
        <v>1 USD = 86.9706 PKR</v>
      </c>
      <c r="H4460" s="9" t="str">
        <f ca="1">IFERROR(__xludf.DUMMYFUNCTION("""COMPUTED_VALUE"""),"USD PKR rate for 31/10/2011")</f>
        <v>USD PKR rate for 31/10/2011</v>
      </c>
      <c r="I4460" s="9"/>
    </row>
    <row r="4461" spans="1:9" ht="14.25" customHeight="1" x14ac:dyDescent="0.3">
      <c r="A4461" s="10">
        <v>44178</v>
      </c>
      <c r="B4461" s="7">
        <v>160.19479999999999</v>
      </c>
      <c r="C4461" s="8">
        <f t="shared" si="35"/>
        <v>175.34799527276846</v>
      </c>
      <c r="D4461" s="9">
        <f t="shared" si="34"/>
        <v>73.948863854145785</v>
      </c>
      <c r="E4461" s="9"/>
      <c r="F4461" s="9">
        <f ca="1">IFERROR(__xludf.DUMMYFUNCTION("""COMPUTED_VALUE"""),40846)</f>
        <v>40846</v>
      </c>
      <c r="G4461" s="9" t="str">
        <f ca="1">IFERROR(__xludf.DUMMYFUNCTION("""COMPUTED_VALUE"""),"1 USD = 86.3121 PKR")</f>
        <v>1 USD = 86.3121 PKR</v>
      </c>
      <c r="H4461" s="9" t="str">
        <f ca="1">IFERROR(__xludf.DUMMYFUNCTION("""COMPUTED_VALUE"""),"USD PKR rate for 30/10/2011")</f>
        <v>USD PKR rate for 30/10/2011</v>
      </c>
      <c r="I4461" s="9"/>
    </row>
    <row r="4462" spans="1:9" ht="14.25" customHeight="1" x14ac:dyDescent="0.3">
      <c r="A4462" s="10">
        <v>44179</v>
      </c>
      <c r="B4462" s="7">
        <v>160.34280000000001</v>
      </c>
      <c r="C4462" s="8">
        <f t="shared" si="35"/>
        <v>175.37935622110504</v>
      </c>
      <c r="D4462" s="9">
        <f t="shared" si="34"/>
        <v>73.95160168694305</v>
      </c>
      <c r="E4462" s="9"/>
      <c r="F4462" s="9">
        <f ca="1">IFERROR(__xludf.DUMMYFUNCTION("""COMPUTED_VALUE"""),40845)</f>
        <v>40845</v>
      </c>
      <c r="G4462" s="9" t="str">
        <f ca="1">IFERROR(__xludf.DUMMYFUNCTION("""COMPUTED_VALUE"""),"1 USD = 86.1837 PKR")</f>
        <v>1 USD = 86.1837 PKR</v>
      </c>
      <c r="H4462" s="9" t="str">
        <f ca="1">IFERROR(__xludf.DUMMYFUNCTION("""COMPUTED_VALUE"""),"USD PKR rate for 29/10/2011")</f>
        <v>USD PKR rate for 29/10/2011</v>
      </c>
      <c r="I4462" s="9"/>
    </row>
    <row r="4463" spans="1:9" ht="14.25" customHeight="1" x14ac:dyDescent="0.3">
      <c r="A4463" s="10">
        <v>44180</v>
      </c>
      <c r="B4463" s="7">
        <v>160.54419999999999</v>
      </c>
      <c r="C4463" s="8">
        <f t="shared" si="35"/>
        <v>175.41072277834002</v>
      </c>
      <c r="D4463" s="9">
        <f t="shared" si="34"/>
        <v>73.954339519740316</v>
      </c>
      <c r="E4463" s="9"/>
      <c r="F4463" s="9">
        <f ca="1">IFERROR(__xludf.DUMMYFUNCTION("""COMPUTED_VALUE"""),40844)</f>
        <v>40844</v>
      </c>
      <c r="G4463" s="9" t="str">
        <f ca="1">IFERROR(__xludf.DUMMYFUNCTION("""COMPUTED_VALUE"""),"1 USD = 86.1837 PKR")</f>
        <v>1 USD = 86.1837 PKR</v>
      </c>
      <c r="H4463" s="9" t="str">
        <f ca="1">IFERROR(__xludf.DUMMYFUNCTION("""COMPUTED_VALUE"""),"USD PKR rate for 28/10/2011")</f>
        <v>USD PKR rate for 28/10/2011</v>
      </c>
      <c r="I4463" s="9"/>
    </row>
    <row r="4464" spans="1:9" ht="14.25" customHeight="1" x14ac:dyDescent="0.3">
      <c r="A4464" s="10">
        <v>44181</v>
      </c>
      <c r="B4464" s="7">
        <v>160.4145</v>
      </c>
      <c r="C4464" s="8">
        <f t="shared" si="35"/>
        <v>175.44209494547644</v>
      </c>
      <c r="D4464" s="9">
        <f t="shared" si="34"/>
        <v>73.957077352537581</v>
      </c>
      <c r="E4464" s="9"/>
      <c r="F4464" s="9">
        <f ca="1">IFERROR(__xludf.DUMMYFUNCTION("""COMPUTED_VALUE"""),40843)</f>
        <v>40843</v>
      </c>
      <c r="G4464" s="9" t="str">
        <f ca="1">IFERROR(__xludf.DUMMYFUNCTION("""COMPUTED_VALUE"""),"1 USD = 87.145 PKR")</f>
        <v>1 USD = 87.145 PKR</v>
      </c>
      <c r="H4464" s="9" t="str">
        <f ca="1">IFERROR(__xludf.DUMMYFUNCTION("""COMPUTED_VALUE"""),"USD PKR rate for 27/10/2011")</f>
        <v>USD PKR rate for 27/10/2011</v>
      </c>
      <c r="I4464" s="9"/>
    </row>
    <row r="4465" spans="1:9" ht="14.25" customHeight="1" x14ac:dyDescent="0.3">
      <c r="A4465" s="10">
        <v>44182</v>
      </c>
      <c r="B4465" s="7">
        <v>160.18170000000001</v>
      </c>
      <c r="C4465" s="8">
        <f t="shared" si="35"/>
        <v>175.47347272351774</v>
      </c>
      <c r="D4465" s="9">
        <f t="shared" si="34"/>
        <v>73.959815185334847</v>
      </c>
      <c r="E4465" s="9"/>
      <c r="F4465" s="9">
        <f ca="1">IFERROR(__xludf.DUMMYFUNCTION("""COMPUTED_VALUE"""),40842)</f>
        <v>40842</v>
      </c>
      <c r="G4465" s="9" t="str">
        <f ca="1">IFERROR(__xludf.DUMMYFUNCTION("""COMPUTED_VALUE"""),"1 USD = 86.7391 PKR")</f>
        <v>1 USD = 86.7391 PKR</v>
      </c>
      <c r="H4465" s="9" t="str">
        <f ca="1">IFERROR(__xludf.DUMMYFUNCTION("""COMPUTED_VALUE"""),"USD PKR rate for 26/10/2011")</f>
        <v>USD PKR rate for 26/10/2011</v>
      </c>
      <c r="I4465" s="9"/>
    </row>
    <row r="4466" spans="1:9" ht="14.25" customHeight="1" x14ac:dyDescent="0.3">
      <c r="A4466" s="10">
        <v>44183</v>
      </c>
      <c r="B4466" s="7">
        <v>160.1096</v>
      </c>
      <c r="C4466" s="8">
        <f t="shared" si="35"/>
        <v>175.50485611346718</v>
      </c>
      <c r="D4466" s="9">
        <f t="shared" si="34"/>
        <v>73.962553018132112</v>
      </c>
      <c r="E4466" s="9"/>
      <c r="F4466" s="9">
        <f ca="1">IFERROR(__xludf.DUMMYFUNCTION("""COMPUTED_VALUE"""),40841)</f>
        <v>40841</v>
      </c>
      <c r="G4466" s="9" t="str">
        <f ca="1">IFERROR(__xludf.DUMMYFUNCTION("""COMPUTED_VALUE"""),"1 USD = 86.6578 PKR")</f>
        <v>1 USD = 86.6578 PKR</v>
      </c>
      <c r="H4466" s="9" t="str">
        <f ca="1">IFERROR(__xludf.DUMMYFUNCTION("""COMPUTED_VALUE"""),"USD PKR rate for 25/10/2011")</f>
        <v>USD PKR rate for 25/10/2011</v>
      </c>
      <c r="I4466" s="9"/>
    </row>
    <row r="4467" spans="1:9" ht="14.25" customHeight="1" x14ac:dyDescent="0.3">
      <c r="A4467" s="10">
        <v>44184</v>
      </c>
      <c r="B4467" s="7">
        <v>160.0941</v>
      </c>
      <c r="C4467" s="8">
        <f t="shared" si="35"/>
        <v>175.53624511632881</v>
      </c>
      <c r="D4467" s="9">
        <f t="shared" si="34"/>
        <v>73.965290850929378</v>
      </c>
      <c r="E4467" s="9"/>
      <c r="F4467" s="9">
        <f ca="1">IFERROR(__xludf.DUMMYFUNCTION("""COMPUTED_VALUE"""),40840)</f>
        <v>40840</v>
      </c>
      <c r="G4467" s="9" t="str">
        <f ca="1">IFERROR(__xludf.DUMMYFUNCTION("""COMPUTED_VALUE"""),"1 USD = 86.4728 PKR")</f>
        <v>1 USD = 86.4728 PKR</v>
      </c>
      <c r="H4467" s="9" t="str">
        <f ca="1">IFERROR(__xludf.DUMMYFUNCTION("""COMPUTED_VALUE"""),"USD PKR rate for 24/10/2011")</f>
        <v>USD PKR rate for 24/10/2011</v>
      </c>
      <c r="I4467" s="9"/>
    </row>
    <row r="4468" spans="1:9" ht="14.25" customHeight="1" x14ac:dyDescent="0.3">
      <c r="A4468" s="10">
        <v>44185</v>
      </c>
      <c r="B4468" s="7">
        <v>160.15020000000001</v>
      </c>
      <c r="C4468" s="8">
        <f t="shared" si="35"/>
        <v>175.56763973310632</v>
      </c>
      <c r="D4468" s="9">
        <f t="shared" si="34"/>
        <v>73.968028683726644</v>
      </c>
      <c r="E4468" s="9"/>
      <c r="F4468" s="9">
        <f ca="1">IFERROR(__xludf.DUMMYFUNCTION("""COMPUTED_VALUE"""),40839)</f>
        <v>40839</v>
      </c>
      <c r="G4468" s="9" t="str">
        <f ca="1">IFERROR(__xludf.DUMMYFUNCTION("""COMPUTED_VALUE"""),"1 USD = 86.7809 PKR")</f>
        <v>1 USD = 86.7809 PKR</v>
      </c>
      <c r="H4468" s="9" t="str">
        <f ca="1">IFERROR(__xludf.DUMMYFUNCTION("""COMPUTED_VALUE"""),"USD PKR rate for 23/10/2011")</f>
        <v>USD PKR rate for 23/10/2011</v>
      </c>
      <c r="I4468" s="9"/>
    </row>
    <row r="4469" spans="1:9" ht="14.25" customHeight="1" x14ac:dyDescent="0.3">
      <c r="A4469" s="10">
        <v>44186</v>
      </c>
      <c r="B4469" s="7">
        <v>160.44170000000003</v>
      </c>
      <c r="C4469" s="8">
        <f t="shared" si="35"/>
        <v>175.59903996480378</v>
      </c>
      <c r="D4469" s="9">
        <f t="shared" si="34"/>
        <v>73.970766516523909</v>
      </c>
      <c r="E4469" s="9"/>
      <c r="F4469" s="9">
        <f ca="1">IFERROR(__xludf.DUMMYFUNCTION("""COMPUTED_VALUE"""),40838)</f>
        <v>40838</v>
      </c>
      <c r="G4469" s="9" t="str">
        <f ca="1">IFERROR(__xludf.DUMMYFUNCTION("""COMPUTED_VALUE"""),"1 USD = 86.7156 PKR")</f>
        <v>1 USD = 86.7156 PKR</v>
      </c>
      <c r="H4469" s="9" t="str">
        <f ca="1">IFERROR(__xludf.DUMMYFUNCTION("""COMPUTED_VALUE"""),"USD PKR rate for 22/10/2011")</f>
        <v>USD PKR rate for 22/10/2011</v>
      </c>
      <c r="I4469" s="9"/>
    </row>
    <row r="4470" spans="1:9" ht="14.25" customHeight="1" x14ac:dyDescent="0.3">
      <c r="A4470" s="10">
        <v>44187</v>
      </c>
      <c r="B4470" s="7">
        <v>160.53440000000001</v>
      </c>
      <c r="C4470" s="8">
        <f t="shared" si="35"/>
        <v>175.63044581242539</v>
      </c>
      <c r="D4470" s="9">
        <f t="shared" si="34"/>
        <v>73.973504349321175</v>
      </c>
      <c r="E4470" s="9"/>
      <c r="F4470" s="9">
        <f ca="1">IFERROR(__xludf.DUMMYFUNCTION("""COMPUTED_VALUE"""),40837)</f>
        <v>40837</v>
      </c>
      <c r="G4470" s="9" t="str">
        <f ca="1">IFERROR(__xludf.DUMMYFUNCTION("""COMPUTED_VALUE"""),"1 USD = 86.7156 PKR")</f>
        <v>1 USD = 86.7156 PKR</v>
      </c>
      <c r="H4470" s="9" t="str">
        <f ca="1">IFERROR(__xludf.DUMMYFUNCTION("""COMPUTED_VALUE"""),"USD PKR rate for 21/10/2011")</f>
        <v>USD PKR rate for 21/10/2011</v>
      </c>
      <c r="I4470" s="9"/>
    </row>
    <row r="4471" spans="1:9" ht="14.25" customHeight="1" x14ac:dyDescent="0.3">
      <c r="A4471" s="10">
        <v>44188</v>
      </c>
      <c r="B4471" s="7">
        <v>160.63820000000001</v>
      </c>
      <c r="C4471" s="8">
        <f t="shared" si="35"/>
        <v>175.66185727697561</v>
      </c>
      <c r="D4471" s="9">
        <f t="shared" si="34"/>
        <v>73.97624218211844</v>
      </c>
      <c r="E4471" s="9"/>
      <c r="F4471" s="9">
        <f ca="1">IFERROR(__xludf.DUMMYFUNCTION("""COMPUTED_VALUE"""),40836)</f>
        <v>40836</v>
      </c>
      <c r="G4471" s="9" t="str">
        <f ca="1">IFERROR(__xludf.DUMMYFUNCTION("""COMPUTED_VALUE"""),"1 USD = 86.4006 PKR")</f>
        <v>1 USD = 86.4006 PKR</v>
      </c>
      <c r="H4471" s="9" t="str">
        <f ca="1">IFERROR(__xludf.DUMMYFUNCTION("""COMPUTED_VALUE"""),"USD PKR rate for 20/10/2011")</f>
        <v>USD PKR rate for 20/10/2011</v>
      </c>
      <c r="I4471" s="9"/>
    </row>
    <row r="4472" spans="1:9" ht="14.25" customHeight="1" x14ac:dyDescent="0.3">
      <c r="A4472" s="10">
        <v>44189</v>
      </c>
      <c r="B4472" s="7">
        <v>160.3021</v>
      </c>
      <c r="C4472" s="8">
        <f t="shared" si="35"/>
        <v>175.69327435945897</v>
      </c>
      <c r="D4472" s="9">
        <f t="shared" si="34"/>
        <v>73.978980014915706</v>
      </c>
      <c r="E4472" s="9"/>
      <c r="F4472" s="9">
        <f ca="1">IFERROR(__xludf.DUMMYFUNCTION("""COMPUTED_VALUE"""),40835)</f>
        <v>40835</v>
      </c>
      <c r="G4472" s="9" t="str">
        <f ca="1">IFERROR(__xludf.DUMMYFUNCTION("""COMPUTED_VALUE"""),"1 USD = 86.5067 PKR")</f>
        <v>1 USD = 86.5067 PKR</v>
      </c>
      <c r="H4472" s="9" t="str">
        <f ca="1">IFERROR(__xludf.DUMMYFUNCTION("""COMPUTED_VALUE"""),"USD PKR rate for 19/10/2011")</f>
        <v>USD PKR rate for 19/10/2011</v>
      </c>
      <c r="I4472" s="9"/>
    </row>
    <row r="4473" spans="1:9" ht="14.25" customHeight="1" x14ac:dyDescent="0.3">
      <c r="A4473" s="10">
        <v>44190</v>
      </c>
      <c r="B4473" s="7">
        <v>160.3124</v>
      </c>
      <c r="C4473" s="8">
        <f t="shared" si="35"/>
        <v>175.72469706088023</v>
      </c>
      <c r="D4473" s="9">
        <f t="shared" si="34"/>
        <v>73.981717847712972</v>
      </c>
      <c r="E4473" s="9"/>
      <c r="F4473" s="9">
        <f ca="1">IFERROR(__xludf.DUMMYFUNCTION("""COMPUTED_VALUE"""),40834)</f>
        <v>40834</v>
      </c>
      <c r="G4473" s="9" t="str">
        <f ca="1">IFERROR(__xludf.DUMMYFUNCTION("""COMPUTED_VALUE"""),"1 USD = 86.6669 PKR")</f>
        <v>1 USD = 86.6669 PKR</v>
      </c>
      <c r="H4473" s="9" t="str">
        <f ca="1">IFERROR(__xludf.DUMMYFUNCTION("""COMPUTED_VALUE"""),"USD PKR rate for 18/10/2011")</f>
        <v>USD PKR rate for 18/10/2011</v>
      </c>
      <c r="I4473" s="9"/>
    </row>
    <row r="4474" spans="1:9" ht="14.25" customHeight="1" x14ac:dyDescent="0.3">
      <c r="A4474" s="10">
        <v>44191</v>
      </c>
      <c r="B4474" s="7">
        <v>160.30770000000001</v>
      </c>
      <c r="C4474" s="8">
        <f t="shared" si="35"/>
        <v>175.75612538224439</v>
      </c>
      <c r="D4474" s="9">
        <f t="shared" si="34"/>
        <v>73.984455680510237</v>
      </c>
      <c r="E4474" s="9"/>
      <c r="F4474" s="9">
        <f ca="1">IFERROR(__xludf.DUMMYFUNCTION("""COMPUTED_VALUE"""),40833)</f>
        <v>40833</v>
      </c>
      <c r="G4474" s="9" t="str">
        <f ca="1">IFERROR(__xludf.DUMMYFUNCTION("""COMPUTED_VALUE"""),"1 USD = 86.6695 PKR")</f>
        <v>1 USD = 86.6695 PKR</v>
      </c>
      <c r="H4474" s="9" t="str">
        <f ca="1">IFERROR(__xludf.DUMMYFUNCTION("""COMPUTED_VALUE"""),"USD PKR rate for 17/10/2011")</f>
        <v>USD PKR rate for 17/10/2011</v>
      </c>
      <c r="I4474" s="9"/>
    </row>
    <row r="4475" spans="1:9" ht="14.25" customHeight="1" x14ac:dyDescent="0.3">
      <c r="A4475" s="10">
        <v>44192</v>
      </c>
      <c r="B4475" s="7">
        <v>160.31450000000001</v>
      </c>
      <c r="C4475" s="8">
        <f t="shared" si="35"/>
        <v>175.78755932455638</v>
      </c>
      <c r="D4475" s="9">
        <f t="shared" si="34"/>
        <v>73.987193513307503</v>
      </c>
      <c r="E4475" s="9"/>
      <c r="F4475" s="9">
        <f ca="1">IFERROR(__xludf.DUMMYFUNCTION("""COMPUTED_VALUE"""),40832)</f>
        <v>40832</v>
      </c>
      <c r="G4475" s="9" t="str">
        <f ca="1">IFERROR(__xludf.DUMMYFUNCTION("""COMPUTED_VALUE"""),"1 USD = 86.7699 PKR")</f>
        <v>1 USD = 86.7699 PKR</v>
      </c>
      <c r="H4475" s="9" t="str">
        <f ca="1">IFERROR(__xludf.DUMMYFUNCTION("""COMPUTED_VALUE"""),"USD PKR rate for 16/10/2011")</f>
        <v>USD PKR rate for 16/10/2011</v>
      </c>
      <c r="I4475" s="9"/>
    </row>
    <row r="4476" spans="1:9" ht="14.25" customHeight="1" x14ac:dyDescent="0.3">
      <c r="A4476" s="10">
        <v>44193</v>
      </c>
      <c r="B4476" s="7">
        <v>160.4554</v>
      </c>
      <c r="C4476" s="8">
        <f t="shared" si="35"/>
        <v>175.81899888882182</v>
      </c>
      <c r="D4476" s="9">
        <f t="shared" si="34"/>
        <v>73.989931346104768</v>
      </c>
      <c r="E4476" s="9"/>
      <c r="F4476" s="9">
        <f ca="1">IFERROR(__xludf.DUMMYFUNCTION("""COMPUTED_VALUE"""),40831)</f>
        <v>40831</v>
      </c>
      <c r="G4476" s="9" t="str">
        <f ca="1">IFERROR(__xludf.DUMMYFUNCTION("""COMPUTED_VALUE"""),"1 USD = 86.7918 PKR")</f>
        <v>1 USD = 86.7918 PKR</v>
      </c>
      <c r="H4476" s="9" t="str">
        <f ca="1">IFERROR(__xludf.DUMMYFUNCTION("""COMPUTED_VALUE"""),"USD PKR rate for 15/10/2011")</f>
        <v>USD PKR rate for 15/10/2011</v>
      </c>
      <c r="I4476" s="9"/>
    </row>
    <row r="4477" spans="1:9" ht="14.25" customHeight="1" x14ac:dyDescent="0.3">
      <c r="A4477" s="10">
        <v>44194</v>
      </c>
      <c r="B4477" s="7">
        <v>160.6131</v>
      </c>
      <c r="C4477" s="8">
        <f t="shared" si="35"/>
        <v>175.85044407604607</v>
      </c>
      <c r="D4477" s="9">
        <f t="shared" si="34"/>
        <v>73.992669178902034</v>
      </c>
      <c r="E4477" s="9"/>
      <c r="F4477" s="9">
        <f ca="1">IFERROR(__xludf.DUMMYFUNCTION("""COMPUTED_VALUE"""),40830)</f>
        <v>40830</v>
      </c>
      <c r="G4477" s="9" t="str">
        <f ca="1">IFERROR(__xludf.DUMMYFUNCTION("""COMPUTED_VALUE"""),"1 USD = 86.7918 PKR")</f>
        <v>1 USD = 86.7918 PKR</v>
      </c>
      <c r="H4477" s="9" t="str">
        <f ca="1">IFERROR(__xludf.DUMMYFUNCTION("""COMPUTED_VALUE"""),"USD PKR rate for 14/10/2011")</f>
        <v>USD PKR rate for 14/10/2011</v>
      </c>
      <c r="I4477" s="9"/>
    </row>
    <row r="4478" spans="1:9" ht="14.25" customHeight="1" x14ac:dyDescent="0.3">
      <c r="A4478" s="10">
        <v>44195</v>
      </c>
      <c r="B4478" s="7">
        <v>160.47149999999999</v>
      </c>
      <c r="C4478" s="8">
        <f t="shared" si="35"/>
        <v>175.88189488723472</v>
      </c>
      <c r="D4478" s="9">
        <f t="shared" si="34"/>
        <v>73.995407011699299</v>
      </c>
      <c r="E4478" s="9"/>
      <c r="F4478" s="9">
        <f ca="1">IFERROR(__xludf.DUMMYFUNCTION("""COMPUTED_VALUE"""),40829)</f>
        <v>40829</v>
      </c>
      <c r="G4478" s="9" t="str">
        <f ca="1">IFERROR(__xludf.DUMMYFUNCTION("""COMPUTED_VALUE"""),"1 USD = 87.5397 PKR")</f>
        <v>1 USD = 87.5397 PKR</v>
      </c>
      <c r="H4478" s="9" t="str">
        <f ca="1">IFERROR(__xludf.DUMMYFUNCTION("""COMPUTED_VALUE"""),"USD PKR rate for 13/10/2011")</f>
        <v>USD PKR rate for 13/10/2011</v>
      </c>
      <c r="I4478" s="9"/>
    </row>
    <row r="4479" spans="1:9" ht="14.25" customHeight="1" x14ac:dyDescent="0.3">
      <c r="A4479" s="10">
        <v>44196</v>
      </c>
      <c r="B4479" s="7">
        <v>160.16679999999999</v>
      </c>
      <c r="C4479" s="8">
        <f t="shared" si="35"/>
        <v>175.9133513233937</v>
      </c>
      <c r="D4479" s="9">
        <f t="shared" si="34"/>
        <v>73.998144844496565</v>
      </c>
      <c r="E4479" s="9"/>
      <c r="F4479" s="9">
        <f ca="1">IFERROR(__xludf.DUMMYFUNCTION("""COMPUTED_VALUE"""),40828)</f>
        <v>40828</v>
      </c>
      <c r="G4479" s="9" t="str">
        <f ca="1">IFERROR(__xludf.DUMMYFUNCTION("""COMPUTED_VALUE"""),"1 USD = 87.4028 PKR")</f>
        <v>1 USD = 87.4028 PKR</v>
      </c>
      <c r="H4479" s="9" t="str">
        <f ca="1">IFERROR(__xludf.DUMMYFUNCTION("""COMPUTED_VALUE"""),"USD PKR rate for 12/10/2011")</f>
        <v>USD PKR rate for 12/10/2011</v>
      </c>
      <c r="I4479" s="9"/>
    </row>
    <row r="4480" spans="1:9" ht="14.25" customHeight="1" x14ac:dyDescent="0.3">
      <c r="A4480" s="10">
        <v>44197</v>
      </c>
      <c r="B4480" s="7">
        <v>160.99690000000004</v>
      </c>
      <c r="C4480" s="8">
        <f t="shared" si="35"/>
        <v>175.94481338552902</v>
      </c>
      <c r="D4480" s="9">
        <f t="shared" si="34"/>
        <v>74.000882677293831</v>
      </c>
      <c r="E4480" s="9"/>
      <c r="F4480" s="9">
        <f ca="1">IFERROR(__xludf.DUMMYFUNCTION("""COMPUTED_VALUE"""),40827)</f>
        <v>40827</v>
      </c>
      <c r="G4480" s="9" t="str">
        <f ca="1">IFERROR(__xludf.DUMMYFUNCTION("""COMPUTED_VALUE"""),"1 USD = 87.2349 PKR")</f>
        <v>1 USD = 87.2349 PKR</v>
      </c>
      <c r="H4480" s="9" t="str">
        <f ca="1">IFERROR(__xludf.DUMMYFUNCTION("""COMPUTED_VALUE"""),"USD PKR rate for 11/10/2011")</f>
        <v>USD PKR rate for 11/10/2011</v>
      </c>
      <c r="I4480" s="9"/>
    </row>
    <row r="4481" spans="1:9" ht="14.25" customHeight="1" x14ac:dyDescent="0.3">
      <c r="A4481" s="10">
        <v>44198</v>
      </c>
      <c r="B4481" s="7">
        <v>160.99299999999999</v>
      </c>
      <c r="C4481" s="8">
        <f t="shared" si="35"/>
        <v>175.97628107464686</v>
      </c>
      <c r="D4481" s="9">
        <f t="shared" si="34"/>
        <v>74.003620510091096</v>
      </c>
      <c r="E4481" s="9"/>
      <c r="F4481" s="9">
        <f ca="1">IFERROR(__xludf.DUMMYFUNCTION("""COMPUTED_VALUE"""),40826)</f>
        <v>40826</v>
      </c>
      <c r="G4481" s="9" t="str">
        <f ca="1">IFERROR(__xludf.DUMMYFUNCTION("""COMPUTED_VALUE"""),"1 USD = 87.3371 PKR")</f>
        <v>1 USD = 87.3371 PKR</v>
      </c>
      <c r="H4481" s="9" t="str">
        <f ca="1">IFERROR(__xludf.DUMMYFUNCTION("""COMPUTED_VALUE"""),"USD PKR rate for 10/10/2011")</f>
        <v>USD PKR rate for 10/10/2011</v>
      </c>
      <c r="I4481" s="9"/>
    </row>
    <row r="4482" spans="1:9" ht="14.25" customHeight="1" x14ac:dyDescent="0.3">
      <c r="A4482" s="10">
        <v>44199</v>
      </c>
      <c r="B4482" s="7">
        <v>160.97630000000001</v>
      </c>
      <c r="C4482" s="8">
        <f t="shared" si="35"/>
        <v>176.00775439175356</v>
      </c>
      <c r="D4482" s="9">
        <f t="shared" si="34"/>
        <v>74.006358342888362</v>
      </c>
      <c r="E4482" s="9"/>
      <c r="F4482" s="9">
        <f ca="1">IFERROR(__xludf.DUMMYFUNCTION("""COMPUTED_VALUE"""),40825)</f>
        <v>40825</v>
      </c>
      <c r="G4482" s="9" t="str">
        <f ca="1">IFERROR(__xludf.DUMMYFUNCTION("""COMPUTED_VALUE"""),"1 USD = 88.0611 PKR")</f>
        <v>1 USD = 88.0611 PKR</v>
      </c>
      <c r="H4482" s="9" t="str">
        <f ca="1">IFERROR(__xludf.DUMMYFUNCTION("""COMPUTED_VALUE"""),"USD PKR rate for 09/10/2011")</f>
        <v>USD PKR rate for 09/10/2011</v>
      </c>
      <c r="I4482" s="9"/>
    </row>
    <row r="4483" spans="1:9" ht="14.25" customHeight="1" x14ac:dyDescent="0.3">
      <c r="A4483" s="10">
        <v>44200</v>
      </c>
      <c r="B4483" s="7">
        <v>160.0744</v>
      </c>
      <c r="C4483" s="8">
        <f t="shared" si="35"/>
        <v>176.03923333785579</v>
      </c>
      <c r="D4483" s="9">
        <f t="shared" si="34"/>
        <v>74.009096175685627</v>
      </c>
      <c r="E4483" s="9"/>
      <c r="F4483" s="9">
        <f ca="1">IFERROR(__xludf.DUMMYFUNCTION("""COMPUTED_VALUE"""),40824)</f>
        <v>40824</v>
      </c>
      <c r="G4483" s="9" t="str">
        <f ca="1">IFERROR(__xludf.DUMMYFUNCTION("""COMPUTED_VALUE"""),"1 USD = 87.9423 PKR")</f>
        <v>1 USD = 87.9423 PKR</v>
      </c>
      <c r="H4483" s="9" t="str">
        <f ca="1">IFERROR(__xludf.DUMMYFUNCTION("""COMPUTED_VALUE"""),"USD PKR rate for 08/10/2011")</f>
        <v>USD PKR rate for 08/10/2011</v>
      </c>
      <c r="I4483" s="9"/>
    </row>
    <row r="4484" spans="1:9" ht="14.25" customHeight="1" x14ac:dyDescent="0.3">
      <c r="A4484" s="10">
        <v>44201</v>
      </c>
      <c r="B4484" s="7">
        <v>160.63319999999999</v>
      </c>
      <c r="C4484" s="8">
        <f t="shared" si="35"/>
        <v>176.07071791396004</v>
      </c>
      <c r="D4484" s="9">
        <f t="shared" si="34"/>
        <v>74.011834008482893</v>
      </c>
      <c r="E4484" s="9"/>
      <c r="F4484" s="9">
        <f ca="1">IFERROR(__xludf.DUMMYFUNCTION("""COMPUTED_VALUE"""),40823)</f>
        <v>40823</v>
      </c>
      <c r="G4484" s="9" t="str">
        <f ca="1">IFERROR(__xludf.DUMMYFUNCTION("""COMPUTED_VALUE"""),"1 USD = 87.9423 PKR")</f>
        <v>1 USD = 87.9423 PKR</v>
      </c>
      <c r="H4484" s="9" t="str">
        <f ca="1">IFERROR(__xludf.DUMMYFUNCTION("""COMPUTED_VALUE"""),"USD PKR rate for 07/10/2011")</f>
        <v>USD PKR rate for 07/10/2011</v>
      </c>
      <c r="I4484" s="9"/>
    </row>
    <row r="4485" spans="1:9" ht="14.25" customHeight="1" x14ac:dyDescent="0.3">
      <c r="A4485" s="10">
        <v>44202</v>
      </c>
      <c r="B4485" s="7">
        <v>160.43870000000001</v>
      </c>
      <c r="C4485" s="8">
        <f t="shared" si="35"/>
        <v>176.10220812107363</v>
      </c>
      <c r="D4485" s="9">
        <f t="shared" si="34"/>
        <v>74.014571841280159</v>
      </c>
      <c r="E4485" s="9"/>
      <c r="F4485" s="9">
        <f ca="1">IFERROR(__xludf.DUMMYFUNCTION("""COMPUTED_VALUE"""),40822)</f>
        <v>40822</v>
      </c>
      <c r="G4485" s="9" t="str">
        <f ca="1">IFERROR(__xludf.DUMMYFUNCTION("""COMPUTED_VALUE"""),"1 USD = 87.6311 PKR")</f>
        <v>1 USD = 87.6311 PKR</v>
      </c>
      <c r="H4485" s="9" t="str">
        <f ca="1">IFERROR(__xludf.DUMMYFUNCTION("""COMPUTED_VALUE"""),"USD PKR rate for 06/10/2011")</f>
        <v>USD PKR rate for 06/10/2011</v>
      </c>
      <c r="I4485" s="9"/>
    </row>
    <row r="4486" spans="1:9" ht="14.25" customHeight="1" x14ac:dyDescent="0.3">
      <c r="A4486" s="10">
        <v>44203</v>
      </c>
      <c r="B4486" s="7">
        <v>160.44200000000001</v>
      </c>
      <c r="C4486" s="8">
        <f t="shared" si="35"/>
        <v>176.13370396020343</v>
      </c>
      <c r="D4486" s="9">
        <f t="shared" si="34"/>
        <v>74.017309674077424</v>
      </c>
      <c r="E4486" s="9"/>
      <c r="F4486" s="9">
        <f ca="1">IFERROR(__xludf.DUMMYFUNCTION("""COMPUTED_VALUE"""),40821)</f>
        <v>40821</v>
      </c>
      <c r="G4486" s="9" t="str">
        <f ca="1">IFERROR(__xludf.DUMMYFUNCTION("""COMPUTED_VALUE"""),"1 USD = 87.1323 PKR")</f>
        <v>1 USD = 87.1323 PKR</v>
      </c>
      <c r="H4486" s="9" t="str">
        <f ca="1">IFERROR(__xludf.DUMMYFUNCTION("""COMPUTED_VALUE"""),"USD PKR rate for 05/10/2011")</f>
        <v>USD PKR rate for 05/10/2011</v>
      </c>
      <c r="I4486" s="9"/>
    </row>
    <row r="4487" spans="1:9" ht="14.25" customHeight="1" x14ac:dyDescent="0.3">
      <c r="A4487" s="10">
        <v>44204</v>
      </c>
      <c r="B4487" s="7">
        <v>160.24969999999999</v>
      </c>
      <c r="C4487" s="8">
        <f t="shared" si="35"/>
        <v>176.1652054323568</v>
      </c>
      <c r="D4487" s="9">
        <f t="shared" si="34"/>
        <v>74.02004750687469</v>
      </c>
      <c r="E4487" s="9"/>
      <c r="F4487" s="9">
        <f ca="1">IFERROR(__xludf.DUMMYFUNCTION("""COMPUTED_VALUE"""),40820)</f>
        <v>40820</v>
      </c>
      <c r="G4487" s="9" t="str">
        <f ca="1">IFERROR(__xludf.DUMMYFUNCTION("""COMPUTED_VALUE"""),"1 USD = 87.2168 PKR")</f>
        <v>1 USD = 87.2168 PKR</v>
      </c>
      <c r="H4487" s="9" t="str">
        <f ca="1">IFERROR(__xludf.DUMMYFUNCTION("""COMPUTED_VALUE"""),"USD PKR rate for 04/10/2011")</f>
        <v>USD PKR rate for 04/10/2011</v>
      </c>
      <c r="I4487" s="9"/>
    </row>
    <row r="4488" spans="1:9" ht="14.25" customHeight="1" x14ac:dyDescent="0.3">
      <c r="A4488" s="10">
        <v>44205</v>
      </c>
      <c r="B4488" s="7">
        <v>160.5933</v>
      </c>
      <c r="C4488" s="8">
        <f t="shared" si="35"/>
        <v>176.19671253854114</v>
      </c>
      <c r="D4488" s="9">
        <f t="shared" si="34"/>
        <v>74.022785339671955</v>
      </c>
      <c r="E4488" s="9"/>
      <c r="F4488" s="9">
        <f ca="1">IFERROR(__xludf.DUMMYFUNCTION("""COMPUTED_VALUE"""),40819)</f>
        <v>40819</v>
      </c>
      <c r="G4488" s="9" t="str">
        <f ca="1">IFERROR(__xludf.DUMMYFUNCTION("""COMPUTED_VALUE"""),"1 USD = 87.177 PKR")</f>
        <v>1 USD = 87.177 PKR</v>
      </c>
      <c r="H4488" s="9" t="str">
        <f ca="1">IFERROR(__xludf.DUMMYFUNCTION("""COMPUTED_VALUE"""),"USD PKR rate for 03/10/2011")</f>
        <v>USD PKR rate for 03/10/2011</v>
      </c>
      <c r="I4488" s="9"/>
    </row>
    <row r="4489" spans="1:9" ht="14.25" customHeight="1" x14ac:dyDescent="0.3">
      <c r="A4489" s="10">
        <v>44206</v>
      </c>
      <c r="B4489" s="7">
        <v>160.62700000000001</v>
      </c>
      <c r="C4489" s="8">
        <f t="shared" si="35"/>
        <v>176.22822527976413</v>
      </c>
      <c r="D4489" s="9">
        <f t="shared" si="34"/>
        <v>74.025523172469221</v>
      </c>
      <c r="E4489" s="9"/>
      <c r="F4489" s="9">
        <f ca="1">IFERROR(__xludf.DUMMYFUNCTION("""COMPUTED_VALUE"""),40818)</f>
        <v>40818</v>
      </c>
      <c r="G4489" s="9" t="str">
        <f ca="1">IFERROR(__xludf.DUMMYFUNCTION("""COMPUTED_VALUE"""),"1 USD = 87.8974 PKR")</f>
        <v>1 USD = 87.8974 PKR</v>
      </c>
      <c r="H4489" s="9" t="str">
        <f ca="1">IFERROR(__xludf.DUMMYFUNCTION("""COMPUTED_VALUE"""),"USD PKR rate for 02/10/2011")</f>
        <v>USD PKR rate for 02/10/2011</v>
      </c>
      <c r="I4489" s="9"/>
    </row>
    <row r="4490" spans="1:9" ht="14.25" customHeight="1" x14ac:dyDescent="0.3">
      <c r="A4490" s="10">
        <v>44207</v>
      </c>
      <c r="B4490" s="7">
        <v>160.43969999999999</v>
      </c>
      <c r="C4490" s="8">
        <f t="shared" si="35"/>
        <v>176.2597436570336</v>
      </c>
      <c r="D4490" s="9">
        <f t="shared" si="34"/>
        <v>74.028261005266486</v>
      </c>
      <c r="E4490" s="9"/>
      <c r="F4490" s="9">
        <f ca="1">IFERROR(__xludf.DUMMYFUNCTION("""COMPUTED_VALUE"""),40817)</f>
        <v>40817</v>
      </c>
      <c r="G4490" s="9" t="str">
        <f ca="1">IFERROR(__xludf.DUMMYFUNCTION("""COMPUTED_VALUE"""),"1 USD = 87.8805 PKR")</f>
        <v>1 USD = 87.8805 PKR</v>
      </c>
      <c r="H4490" s="9" t="str">
        <f ca="1">IFERROR(__xludf.DUMMYFUNCTION("""COMPUTED_VALUE"""),"USD PKR rate for 01/10/2011")</f>
        <v>USD PKR rate for 01/10/2011</v>
      </c>
      <c r="I4490" s="9"/>
    </row>
    <row r="4491" spans="1:9" ht="14.25" customHeight="1" x14ac:dyDescent="0.3">
      <c r="A4491" s="10">
        <v>44208</v>
      </c>
      <c r="B4491" s="7">
        <v>160.42080000000001</v>
      </c>
      <c r="C4491" s="8">
        <f t="shared" si="35"/>
        <v>176.29126767135753</v>
      </c>
      <c r="D4491" s="9">
        <f t="shared" si="34"/>
        <v>74.030998838063752</v>
      </c>
      <c r="E4491" s="9"/>
      <c r="F4491" s="9">
        <f ca="1">IFERROR(__xludf.DUMMYFUNCTION("""COMPUTED_VALUE"""),40816)</f>
        <v>40816</v>
      </c>
      <c r="G4491" s="9" t="str">
        <f ca="1">IFERROR(__xludf.DUMMYFUNCTION("""COMPUTED_VALUE"""),"1 USD = 87.8805 PKR")</f>
        <v>1 USD = 87.8805 PKR</v>
      </c>
      <c r="H4491" s="9" t="str">
        <f ca="1">IFERROR(__xludf.DUMMYFUNCTION("""COMPUTED_VALUE"""),"USD PKR rate for 30/09/2011")</f>
        <v>USD PKR rate for 30/09/2011</v>
      </c>
      <c r="I4491" s="9"/>
    </row>
    <row r="4492" spans="1:9" ht="14.25" customHeight="1" x14ac:dyDescent="0.3">
      <c r="A4492" s="10">
        <v>44209</v>
      </c>
      <c r="B4492" s="7">
        <v>160.52189999999999</v>
      </c>
      <c r="C4492" s="8">
        <f t="shared" si="35"/>
        <v>176.32279732374411</v>
      </c>
      <c r="D4492" s="9">
        <f t="shared" si="34"/>
        <v>74.033736670861018</v>
      </c>
      <c r="E4492" s="9"/>
      <c r="F4492" s="9">
        <f ca="1">IFERROR(__xludf.DUMMYFUNCTION("""COMPUTED_VALUE"""),40815)</f>
        <v>40815</v>
      </c>
      <c r="G4492" s="9" t="str">
        <f ca="1">IFERROR(__xludf.DUMMYFUNCTION("""COMPUTED_VALUE"""),"1 USD = 87.7076 PKR")</f>
        <v>1 USD = 87.7076 PKR</v>
      </c>
      <c r="H4492" s="9" t="str">
        <f ca="1">IFERROR(__xludf.DUMMYFUNCTION("""COMPUTED_VALUE"""),"USD PKR rate for 29/09/2011")</f>
        <v>USD PKR rate for 29/09/2011</v>
      </c>
      <c r="I4492" s="9"/>
    </row>
    <row r="4493" spans="1:9" ht="14.25" customHeight="1" x14ac:dyDescent="0.3">
      <c r="A4493" s="10">
        <v>44210</v>
      </c>
      <c r="B4493" s="7">
        <v>160.37350000000001</v>
      </c>
      <c r="C4493" s="8">
        <f t="shared" si="35"/>
        <v>176.35433261520157</v>
      </c>
      <c r="D4493" s="9">
        <f t="shared" si="34"/>
        <v>74.036474503658283</v>
      </c>
      <c r="E4493" s="9"/>
      <c r="F4493" s="9">
        <f ca="1">IFERROR(__xludf.DUMMYFUNCTION("""COMPUTED_VALUE"""),40814)</f>
        <v>40814</v>
      </c>
      <c r="G4493" s="9" t="str">
        <f ca="1">IFERROR(__xludf.DUMMYFUNCTION("""COMPUTED_VALUE"""),"1 USD = 87.9595 PKR")</f>
        <v>1 USD = 87.9595 PKR</v>
      </c>
      <c r="H4493" s="9" t="str">
        <f ca="1">IFERROR(__xludf.DUMMYFUNCTION("""COMPUTED_VALUE"""),"USD PKR rate for 28/09/2011")</f>
        <v>USD PKR rate for 28/09/2011</v>
      </c>
      <c r="I4493" s="9"/>
    </row>
    <row r="4494" spans="1:9" ht="14.25" customHeight="1" x14ac:dyDescent="0.3">
      <c r="A4494" s="10">
        <v>44211</v>
      </c>
      <c r="B4494" s="7">
        <v>160.25040000000001</v>
      </c>
      <c r="C4494" s="8">
        <f t="shared" si="35"/>
        <v>176.38587354673876</v>
      </c>
      <c r="D4494" s="9">
        <f t="shared" si="34"/>
        <v>74.039212336455549</v>
      </c>
      <c r="E4494" s="9"/>
      <c r="F4494" s="9">
        <f ca="1">IFERROR(__xludf.DUMMYFUNCTION("""COMPUTED_VALUE"""),40813)</f>
        <v>40813</v>
      </c>
      <c r="G4494" s="9" t="str">
        <f ca="1">IFERROR(__xludf.DUMMYFUNCTION("""COMPUTED_VALUE"""),"1 USD = 87.6167 PKR")</f>
        <v>1 USD = 87.6167 PKR</v>
      </c>
      <c r="H4494" s="9" t="str">
        <f ca="1">IFERROR(__xludf.DUMMYFUNCTION("""COMPUTED_VALUE"""),"USD PKR rate for 27/09/2011")</f>
        <v>USD PKR rate for 27/09/2011</v>
      </c>
      <c r="I4494" s="9"/>
    </row>
    <row r="4495" spans="1:9" ht="14.25" customHeight="1" x14ac:dyDescent="0.3">
      <c r="A4495" s="10">
        <v>44212</v>
      </c>
      <c r="B4495" s="7">
        <v>161.13030000000003</v>
      </c>
      <c r="C4495" s="8">
        <f t="shared" si="35"/>
        <v>176.41742011936424</v>
      </c>
      <c r="D4495" s="9">
        <f t="shared" si="34"/>
        <v>74.041950169252814</v>
      </c>
      <c r="E4495" s="9"/>
      <c r="F4495" s="9">
        <f ca="1">IFERROR(__xludf.DUMMYFUNCTION("""COMPUTED_VALUE"""),40812)</f>
        <v>40812</v>
      </c>
      <c r="G4495" s="9" t="str">
        <f ca="1">IFERROR(__xludf.DUMMYFUNCTION("""COMPUTED_VALUE"""),"1 USD = 88.0666 PKR")</f>
        <v>1 USD = 88.0666 PKR</v>
      </c>
      <c r="H4495" s="9" t="str">
        <f ca="1">IFERROR(__xludf.DUMMYFUNCTION("""COMPUTED_VALUE"""),"USD PKR rate for 26/09/2011")</f>
        <v>USD PKR rate for 26/09/2011</v>
      </c>
      <c r="I4495" s="9"/>
    </row>
    <row r="4496" spans="1:9" ht="14.25" customHeight="1" x14ac:dyDescent="0.3">
      <c r="A4496" s="10">
        <v>44213</v>
      </c>
      <c r="B4496" s="7">
        <v>161.03120000000001</v>
      </c>
      <c r="C4496" s="8">
        <f t="shared" si="35"/>
        <v>176.44897233408693</v>
      </c>
      <c r="D4496" s="9">
        <f t="shared" si="34"/>
        <v>74.04468800205008</v>
      </c>
      <c r="E4496" s="9"/>
      <c r="F4496" s="9">
        <f ca="1">IFERROR(__xludf.DUMMYFUNCTION("""COMPUTED_VALUE"""),40811)</f>
        <v>40811</v>
      </c>
      <c r="G4496" s="9" t="str">
        <f ca="1">IFERROR(__xludf.DUMMYFUNCTION("""COMPUTED_VALUE"""),"1 USD = 87.009 PKR")</f>
        <v>1 USD = 87.009 PKR</v>
      </c>
      <c r="H4496" s="9" t="str">
        <f ca="1">IFERROR(__xludf.DUMMYFUNCTION("""COMPUTED_VALUE"""),"USD PKR rate for 25/09/2011")</f>
        <v>USD PKR rate for 25/09/2011</v>
      </c>
      <c r="I4496" s="9"/>
    </row>
    <row r="4497" spans="1:9" ht="14.25" customHeight="1" x14ac:dyDescent="0.3">
      <c r="A4497" s="10">
        <v>44214</v>
      </c>
      <c r="B4497" s="7">
        <v>160.6549</v>
      </c>
      <c r="C4497" s="8">
        <f t="shared" si="35"/>
        <v>176.48053019191596</v>
      </c>
      <c r="D4497" s="9">
        <f t="shared" si="34"/>
        <v>74.047425834847346</v>
      </c>
      <c r="E4497" s="9"/>
      <c r="F4497" s="9">
        <f ca="1">IFERROR(__xludf.DUMMYFUNCTION("""COMPUTED_VALUE"""),40810)</f>
        <v>40810</v>
      </c>
      <c r="G4497" s="9" t="str">
        <f ca="1">IFERROR(__xludf.DUMMYFUNCTION("""COMPUTED_VALUE"""),"1 USD = 87.3473 PKR")</f>
        <v>1 USD = 87.3473 PKR</v>
      </c>
      <c r="H4497" s="9" t="str">
        <f ca="1">IFERROR(__xludf.DUMMYFUNCTION("""COMPUTED_VALUE"""),"USD PKR rate for 24/09/2011")</f>
        <v>USD PKR rate for 24/09/2011</v>
      </c>
      <c r="I4497" s="9"/>
    </row>
    <row r="4498" spans="1:9" ht="14.25" customHeight="1" x14ac:dyDescent="0.3">
      <c r="A4498" s="10">
        <v>44215</v>
      </c>
      <c r="B4498" s="7">
        <v>160.67779999999999</v>
      </c>
      <c r="C4498" s="8">
        <f t="shared" si="35"/>
        <v>176.51209369386049</v>
      </c>
      <c r="D4498" s="9">
        <f t="shared" si="34"/>
        <v>74.050163667644611</v>
      </c>
      <c r="E4498" s="9"/>
      <c r="F4498" s="9">
        <f ca="1">IFERROR(__xludf.DUMMYFUNCTION("""COMPUTED_VALUE"""),40809)</f>
        <v>40809</v>
      </c>
      <c r="G4498" s="9" t="str">
        <f ca="1">IFERROR(__xludf.DUMMYFUNCTION("""COMPUTED_VALUE"""),"1 USD = 87.3473 PKR")</f>
        <v>1 USD = 87.3473 PKR</v>
      </c>
      <c r="H4498" s="9" t="str">
        <f ca="1">IFERROR(__xludf.DUMMYFUNCTION("""COMPUTED_VALUE"""),"USD PKR rate for 23/09/2011")</f>
        <v>USD PKR rate for 23/09/2011</v>
      </c>
      <c r="I4498" s="9"/>
    </row>
    <row r="4499" spans="1:9" ht="14.25" customHeight="1" x14ac:dyDescent="0.3">
      <c r="A4499" s="10">
        <v>44216</v>
      </c>
      <c r="B4499" s="7">
        <v>160.554</v>
      </c>
      <c r="C4499" s="8">
        <f t="shared" si="35"/>
        <v>176.54366284093004</v>
      </c>
      <c r="D4499" s="9">
        <f t="shared" si="34"/>
        <v>74.052901500441877</v>
      </c>
      <c r="E4499" s="9"/>
      <c r="F4499" s="9">
        <f ca="1">IFERROR(__xludf.DUMMYFUNCTION("""COMPUTED_VALUE"""),40808)</f>
        <v>40808</v>
      </c>
      <c r="G4499" s="9" t="str">
        <f ca="1">IFERROR(__xludf.DUMMYFUNCTION("""COMPUTED_VALUE"""),"1 USD = 87.3315 PKR")</f>
        <v>1 USD = 87.3315 PKR</v>
      </c>
      <c r="H4499" s="9" t="str">
        <f ca="1">IFERROR(__xludf.DUMMYFUNCTION("""COMPUTED_VALUE"""),"USD PKR rate for 22/09/2011")</f>
        <v>USD PKR rate for 22/09/2011</v>
      </c>
      <c r="I4499" s="9"/>
    </row>
    <row r="4500" spans="1:9" ht="14.25" customHeight="1" x14ac:dyDescent="0.3">
      <c r="A4500" s="10">
        <v>44217</v>
      </c>
      <c r="B4500" s="7">
        <v>160.64940000000001</v>
      </c>
      <c r="C4500" s="8">
        <f t="shared" si="35"/>
        <v>176.57523763413425</v>
      </c>
      <c r="D4500" s="9">
        <f t="shared" si="34"/>
        <v>74.055639333239142</v>
      </c>
      <c r="E4500" s="9"/>
      <c r="F4500" s="9">
        <f ca="1">IFERROR(__xludf.DUMMYFUNCTION("""COMPUTED_VALUE"""),40807)</f>
        <v>40807</v>
      </c>
      <c r="G4500" s="9" t="str">
        <f ca="1">IFERROR(__xludf.DUMMYFUNCTION("""COMPUTED_VALUE"""),"1 USD = 87.6623 PKR")</f>
        <v>1 USD = 87.6623 PKR</v>
      </c>
      <c r="H4500" s="9" t="str">
        <f ca="1">IFERROR(__xludf.DUMMYFUNCTION("""COMPUTED_VALUE"""),"USD PKR rate for 21/09/2011")</f>
        <v>USD PKR rate for 21/09/2011</v>
      </c>
      <c r="I4500" s="9"/>
    </row>
    <row r="4501" spans="1:9" ht="14.25" customHeight="1" x14ac:dyDescent="0.3">
      <c r="A4501" s="10">
        <v>44218</v>
      </c>
      <c r="B4501" s="7">
        <v>160.64519999999999</v>
      </c>
      <c r="C4501" s="8">
        <f t="shared" si="35"/>
        <v>176.60681807448293</v>
      </c>
      <c r="D4501" s="9">
        <f t="shared" si="34"/>
        <v>74.058377166036408</v>
      </c>
      <c r="E4501" s="9"/>
      <c r="F4501" s="9">
        <f ca="1">IFERROR(__xludf.DUMMYFUNCTION("""COMPUTED_VALUE"""),40806)</f>
        <v>40806</v>
      </c>
      <c r="G4501" s="9" t="str">
        <f ca="1">IFERROR(__xludf.DUMMYFUNCTION("""COMPUTED_VALUE"""),"1 USD = 87.9818 PKR")</f>
        <v>1 USD = 87.9818 PKR</v>
      </c>
      <c r="H4501" s="9" t="str">
        <f ca="1">IFERROR(__xludf.DUMMYFUNCTION("""COMPUTED_VALUE"""),"USD PKR rate for 20/09/2011")</f>
        <v>USD PKR rate for 20/09/2011</v>
      </c>
      <c r="I4501" s="9"/>
    </row>
    <row r="4502" spans="1:9" ht="14.25" customHeight="1" x14ac:dyDescent="0.3">
      <c r="A4502" s="10">
        <v>44219</v>
      </c>
      <c r="B4502" s="7">
        <v>160.64519999999999</v>
      </c>
      <c r="C4502" s="8">
        <f t="shared" si="35"/>
        <v>176.63840416298586</v>
      </c>
      <c r="D4502" s="9">
        <f t="shared" si="34"/>
        <v>74.061114998833673</v>
      </c>
      <c r="E4502" s="9"/>
      <c r="F4502" s="9">
        <f ca="1">IFERROR(__xludf.DUMMYFUNCTION("""COMPUTED_VALUE"""),40805)</f>
        <v>40805</v>
      </c>
      <c r="G4502" s="9" t="str">
        <f ca="1">IFERROR(__xludf.DUMMYFUNCTION("""COMPUTED_VALUE"""),"1 USD = 88.2934 PKR")</f>
        <v>1 USD = 88.2934 PKR</v>
      </c>
      <c r="H4502" s="9" t="str">
        <f ca="1">IFERROR(__xludf.DUMMYFUNCTION("""COMPUTED_VALUE"""),"USD PKR rate for 19/09/2011")</f>
        <v>USD PKR rate for 19/09/2011</v>
      </c>
      <c r="I4502" s="9"/>
    </row>
    <row r="4503" spans="1:9" ht="14.25" customHeight="1" x14ac:dyDescent="0.3">
      <c r="A4503" s="10">
        <v>44220</v>
      </c>
      <c r="B4503" s="7">
        <v>160.75479999999999</v>
      </c>
      <c r="C4503" s="8">
        <f t="shared" si="35"/>
        <v>176.66999590065356</v>
      </c>
      <c r="D4503" s="9">
        <f t="shared" si="34"/>
        <v>74.063852831630939</v>
      </c>
      <c r="E4503" s="9"/>
      <c r="F4503" s="9">
        <f ca="1">IFERROR(__xludf.DUMMYFUNCTION("""COMPUTED_VALUE"""),40804)</f>
        <v>40804</v>
      </c>
      <c r="G4503" s="9" t="str">
        <f ca="1">IFERROR(__xludf.DUMMYFUNCTION("""COMPUTED_VALUE"""),"1 USD = 87.6929 PKR")</f>
        <v>1 USD = 87.6929 PKR</v>
      </c>
      <c r="H4503" s="9" t="str">
        <f ca="1">IFERROR(__xludf.DUMMYFUNCTION("""COMPUTED_VALUE"""),"USD PKR rate for 18/09/2011")</f>
        <v>USD PKR rate for 18/09/2011</v>
      </c>
      <c r="I4503" s="9"/>
    </row>
    <row r="4504" spans="1:9" ht="14.25" customHeight="1" x14ac:dyDescent="0.3">
      <c r="A4504" s="10">
        <v>44221</v>
      </c>
      <c r="B4504" s="7">
        <v>160.80240000000001</v>
      </c>
      <c r="C4504" s="8">
        <f t="shared" si="35"/>
        <v>176.70159328849624</v>
      </c>
      <c r="D4504" s="9">
        <f t="shared" si="34"/>
        <v>74.066590664428205</v>
      </c>
      <c r="E4504" s="9"/>
      <c r="F4504" s="9">
        <f ca="1">IFERROR(__xludf.DUMMYFUNCTION("""COMPUTED_VALUE"""),40803)</f>
        <v>40803</v>
      </c>
      <c r="G4504" s="9" t="str">
        <f ca="1">IFERROR(__xludf.DUMMYFUNCTION("""COMPUTED_VALUE"""),"1 USD = 87.2987 PKR")</f>
        <v>1 USD = 87.2987 PKR</v>
      </c>
      <c r="H4504" s="9" t="str">
        <f ca="1">IFERROR(__xludf.DUMMYFUNCTION("""COMPUTED_VALUE"""),"USD PKR rate for 17/09/2011")</f>
        <v>USD PKR rate for 17/09/2011</v>
      </c>
      <c r="I4504" s="9"/>
    </row>
    <row r="4505" spans="1:9" ht="14.25" customHeight="1" x14ac:dyDescent="0.3">
      <c r="A4505" s="10">
        <v>44222</v>
      </c>
      <c r="B4505" s="7">
        <v>160.72190000000001</v>
      </c>
      <c r="C4505" s="8">
        <f t="shared" si="35"/>
        <v>176.73319632752441</v>
      </c>
      <c r="D4505" s="9">
        <f t="shared" si="34"/>
        <v>74.06932849722547</v>
      </c>
      <c r="E4505" s="9"/>
      <c r="F4505" s="9">
        <f ca="1">IFERROR(__xludf.DUMMYFUNCTION("""COMPUTED_VALUE"""),40802)</f>
        <v>40802</v>
      </c>
      <c r="G4505" s="9" t="str">
        <f ca="1">IFERROR(__xludf.DUMMYFUNCTION("""COMPUTED_VALUE"""),"1 USD = 87.2987 PKR")</f>
        <v>1 USD = 87.2987 PKR</v>
      </c>
      <c r="H4505" s="9" t="str">
        <f ca="1">IFERROR(__xludf.DUMMYFUNCTION("""COMPUTED_VALUE"""),"USD PKR rate for 16/09/2011")</f>
        <v>USD PKR rate for 16/09/2011</v>
      </c>
      <c r="I4505" s="9"/>
    </row>
    <row r="4506" spans="1:9" ht="14.25" customHeight="1" x14ac:dyDescent="0.3">
      <c r="A4506" s="10">
        <v>44223</v>
      </c>
      <c r="B4506" s="7">
        <v>160.72880000000001</v>
      </c>
      <c r="C4506" s="8">
        <f t="shared" si="35"/>
        <v>176.7648050187488</v>
      </c>
      <c r="D4506" s="9">
        <f t="shared" si="34"/>
        <v>74.072066330022736</v>
      </c>
      <c r="E4506" s="9"/>
      <c r="F4506" s="9">
        <f ca="1">IFERROR(__xludf.DUMMYFUNCTION("""COMPUTED_VALUE"""),40801)</f>
        <v>40801</v>
      </c>
      <c r="G4506" s="9" t="str">
        <f ca="1">IFERROR(__xludf.DUMMYFUNCTION("""COMPUTED_VALUE"""),"1 USD = 87.8515 PKR")</f>
        <v>1 USD = 87.8515 PKR</v>
      </c>
      <c r="H4506" s="9" t="str">
        <f ca="1">IFERROR(__xludf.DUMMYFUNCTION("""COMPUTED_VALUE"""),"USD PKR rate for 15/09/2011")</f>
        <v>USD PKR rate for 15/09/2011</v>
      </c>
      <c r="I4506" s="9"/>
    </row>
    <row r="4507" spans="1:9" ht="14.25" customHeight="1" x14ac:dyDescent="0.3">
      <c r="A4507" s="10">
        <v>44224</v>
      </c>
      <c r="B4507" s="7">
        <v>160.68989999999999</v>
      </c>
      <c r="C4507" s="8">
        <f t="shared" si="35"/>
        <v>176.79641936318026</v>
      </c>
      <c r="D4507" s="9">
        <f t="shared" si="34"/>
        <v>74.074804162820001</v>
      </c>
      <c r="E4507" s="9"/>
      <c r="F4507" s="9">
        <f ca="1">IFERROR(__xludf.DUMMYFUNCTION("""COMPUTED_VALUE"""),40800)</f>
        <v>40800</v>
      </c>
      <c r="G4507" s="9" t="str">
        <f ca="1">IFERROR(__xludf.DUMMYFUNCTION("""COMPUTED_VALUE"""),"1 USD = 87.6489 PKR")</f>
        <v>1 USD = 87.6489 PKR</v>
      </c>
      <c r="H4507" s="9" t="str">
        <f ca="1">IFERROR(__xludf.DUMMYFUNCTION("""COMPUTED_VALUE"""),"USD PKR rate for 14/09/2011")</f>
        <v>USD PKR rate for 14/09/2011</v>
      </c>
      <c r="I4507" s="9"/>
    </row>
    <row r="4508" spans="1:9" ht="14.25" customHeight="1" x14ac:dyDescent="0.3">
      <c r="A4508" s="10">
        <v>44225</v>
      </c>
      <c r="B4508" s="7">
        <v>160.2534</v>
      </c>
      <c r="C4508" s="8">
        <f t="shared" si="35"/>
        <v>176.82803936182992</v>
      </c>
      <c r="D4508" s="9">
        <f t="shared" si="34"/>
        <v>74.077541995617267</v>
      </c>
      <c r="E4508" s="9"/>
      <c r="F4508" s="9">
        <f ca="1">IFERROR(__xludf.DUMMYFUNCTION("""COMPUTED_VALUE"""),40799)</f>
        <v>40799</v>
      </c>
      <c r="G4508" s="9" t="str">
        <f ca="1">IFERROR(__xludf.DUMMYFUNCTION("""COMPUTED_VALUE"""),"1 USD = 86.9723 PKR")</f>
        <v>1 USD = 86.9723 PKR</v>
      </c>
      <c r="H4508" s="9" t="str">
        <f ca="1">IFERROR(__xludf.DUMMYFUNCTION("""COMPUTED_VALUE"""),"USD PKR rate for 13/09/2011")</f>
        <v>USD PKR rate for 13/09/2011</v>
      </c>
      <c r="I4508" s="9"/>
    </row>
    <row r="4509" spans="1:9" ht="14.25" customHeight="1" x14ac:dyDescent="0.3">
      <c r="A4509" s="10">
        <v>44226</v>
      </c>
      <c r="B4509" s="7">
        <v>160.36439999999999</v>
      </c>
      <c r="C4509" s="8">
        <f t="shared" si="35"/>
        <v>176.859665015709</v>
      </c>
      <c r="D4509" s="9">
        <f t="shared" si="34"/>
        <v>74.080279828414533</v>
      </c>
      <c r="E4509" s="9"/>
      <c r="F4509" s="9">
        <f ca="1">IFERROR(__xludf.DUMMYFUNCTION("""COMPUTED_VALUE"""),40798)</f>
        <v>40798</v>
      </c>
      <c r="G4509" s="9" t="str">
        <f ca="1">IFERROR(__xludf.DUMMYFUNCTION("""COMPUTED_VALUE"""),"1 USD = 87.0598 PKR")</f>
        <v>1 USD = 87.0598 PKR</v>
      </c>
      <c r="H4509" s="9" t="str">
        <f ca="1">IFERROR(__xludf.DUMMYFUNCTION("""COMPUTED_VALUE"""),"USD PKR rate for 12/09/2011")</f>
        <v>USD PKR rate for 12/09/2011</v>
      </c>
      <c r="I4509" s="9"/>
    </row>
    <row r="4510" spans="1:9" ht="14.25" customHeight="1" x14ac:dyDescent="0.3">
      <c r="A4510" s="10">
        <v>44227</v>
      </c>
      <c r="B4510" s="7">
        <v>160.36019999999999</v>
      </c>
      <c r="C4510" s="8">
        <f t="shared" si="35"/>
        <v>176.89129632582899</v>
      </c>
      <c r="D4510" s="9">
        <f t="shared" si="34"/>
        <v>74.083017661211798</v>
      </c>
      <c r="E4510" s="9"/>
      <c r="F4510" s="9">
        <f ca="1">IFERROR(__xludf.DUMMYFUNCTION("""COMPUTED_VALUE"""),40797)</f>
        <v>40797</v>
      </c>
      <c r="G4510" s="9" t="str">
        <f ca="1">IFERROR(__xludf.DUMMYFUNCTION("""COMPUTED_VALUE"""),"1 USD = 87.3201 PKR")</f>
        <v>1 USD = 87.3201 PKR</v>
      </c>
      <c r="H4510" s="9" t="str">
        <f ca="1">IFERROR(__xludf.DUMMYFUNCTION("""COMPUTED_VALUE"""),"USD PKR rate for 11/09/2011")</f>
        <v>USD PKR rate for 11/09/2011</v>
      </c>
      <c r="I4510" s="9"/>
    </row>
    <row r="4511" spans="1:9" ht="14.25" customHeight="1" x14ac:dyDescent="0.3">
      <c r="A4511" s="10">
        <v>44228</v>
      </c>
      <c r="B4511" s="7">
        <v>160.31190000000001</v>
      </c>
      <c r="C4511" s="8">
        <f t="shared" si="35"/>
        <v>176.92293329320145</v>
      </c>
      <c r="D4511" s="9">
        <f t="shared" si="34"/>
        <v>74.085755494009064</v>
      </c>
      <c r="E4511" s="9"/>
      <c r="F4511" s="9">
        <f ca="1">IFERROR(__xludf.DUMMYFUNCTION("""COMPUTED_VALUE"""),40796)</f>
        <v>40796</v>
      </c>
      <c r="G4511" s="9" t="str">
        <f ca="1">IFERROR(__xludf.DUMMYFUNCTION("""COMPUTED_VALUE"""),"1 USD = 87.1552 PKR")</f>
        <v>1 USD = 87.1552 PKR</v>
      </c>
      <c r="H4511" s="9" t="str">
        <f ca="1">IFERROR(__xludf.DUMMYFUNCTION("""COMPUTED_VALUE"""),"USD PKR rate for 10/09/2011")</f>
        <v>USD PKR rate for 10/09/2011</v>
      </c>
      <c r="I4511" s="9"/>
    </row>
    <row r="4512" spans="1:9" ht="14.25" customHeight="1" x14ac:dyDescent="0.3">
      <c r="A4512" s="10">
        <v>44229</v>
      </c>
      <c r="B4512" s="7">
        <v>160.40629999999999</v>
      </c>
      <c r="C4512" s="8">
        <f t="shared" si="35"/>
        <v>176.954575918838</v>
      </c>
      <c r="D4512" s="9">
        <f t="shared" si="34"/>
        <v>74.088493326806329</v>
      </c>
      <c r="E4512" s="9"/>
      <c r="F4512" s="9">
        <f ca="1">IFERROR(__xludf.DUMMYFUNCTION("""COMPUTED_VALUE"""),40795)</f>
        <v>40795</v>
      </c>
      <c r="G4512" s="9" t="str">
        <f ca="1">IFERROR(__xludf.DUMMYFUNCTION("""COMPUTED_VALUE"""),"1 USD = 87.1552 PKR")</f>
        <v>1 USD = 87.1552 PKR</v>
      </c>
      <c r="H4512" s="9" t="str">
        <f ca="1">IFERROR(__xludf.DUMMYFUNCTION("""COMPUTED_VALUE"""),"USD PKR rate for 09/09/2011")</f>
        <v>USD PKR rate for 09/09/2011</v>
      </c>
      <c r="I4512" s="9"/>
    </row>
    <row r="4513" spans="1:9" ht="14.25" customHeight="1" x14ac:dyDescent="0.3">
      <c r="A4513" s="10">
        <v>44230</v>
      </c>
      <c r="B4513" s="7">
        <v>160.45760000000001</v>
      </c>
      <c r="C4513" s="8">
        <f t="shared" si="35"/>
        <v>176.98622420375102</v>
      </c>
      <c r="D4513" s="9">
        <f t="shared" si="34"/>
        <v>74.091231159603595</v>
      </c>
      <c r="E4513" s="9"/>
      <c r="F4513" s="9">
        <f ca="1">IFERROR(__xludf.DUMMYFUNCTION("""COMPUTED_VALUE"""),40794)</f>
        <v>40794</v>
      </c>
      <c r="G4513" s="9" t="str">
        <f ca="1">IFERROR(__xludf.DUMMYFUNCTION("""COMPUTED_VALUE"""),"1 USD = 87.7591 PKR")</f>
        <v>1 USD = 87.7591 PKR</v>
      </c>
      <c r="H4513" s="9" t="str">
        <f ca="1">IFERROR(__xludf.DUMMYFUNCTION("""COMPUTED_VALUE"""),"USD PKR rate for 08/09/2011")</f>
        <v>USD PKR rate for 08/09/2011</v>
      </c>
      <c r="I4513" s="9"/>
    </row>
    <row r="4514" spans="1:9" ht="14.25" customHeight="1" x14ac:dyDescent="0.3">
      <c r="A4514" s="10">
        <v>44231</v>
      </c>
      <c r="B4514" s="7">
        <v>160.3253</v>
      </c>
      <c r="C4514" s="8">
        <f t="shared" si="35"/>
        <v>177.01787814895246</v>
      </c>
      <c r="D4514" s="9">
        <f t="shared" si="34"/>
        <v>74.09396899240086</v>
      </c>
      <c r="E4514" s="9"/>
      <c r="F4514" s="9">
        <f ca="1">IFERROR(__xludf.DUMMYFUNCTION("""COMPUTED_VALUE"""),40793)</f>
        <v>40793</v>
      </c>
      <c r="G4514" s="9" t="str">
        <f ca="1">IFERROR(__xludf.DUMMYFUNCTION("""COMPUTED_VALUE"""),"1 USD = 87.5876 PKR")</f>
        <v>1 USD = 87.5876 PKR</v>
      </c>
      <c r="H4514" s="9" t="str">
        <f ca="1">IFERROR(__xludf.DUMMYFUNCTION("""COMPUTED_VALUE"""),"USD PKR rate for 07/09/2011")</f>
        <v>USD PKR rate for 07/09/2011</v>
      </c>
      <c r="I4514" s="9"/>
    </row>
    <row r="4515" spans="1:9" ht="14.25" customHeight="1" x14ac:dyDescent="0.3">
      <c r="A4515" s="10">
        <v>44232</v>
      </c>
      <c r="B4515" s="7">
        <v>160.0557</v>
      </c>
      <c r="C4515" s="8">
        <f t="shared" si="35"/>
        <v>177.04953775545465</v>
      </c>
      <c r="D4515" s="9">
        <f t="shared" si="34"/>
        <v>74.096706825198126</v>
      </c>
      <c r="E4515" s="9"/>
      <c r="F4515" s="9">
        <f ca="1">IFERROR(__xludf.DUMMYFUNCTION("""COMPUTED_VALUE"""),40792)</f>
        <v>40792</v>
      </c>
      <c r="G4515" s="9" t="str">
        <f ca="1">IFERROR(__xludf.DUMMYFUNCTION("""COMPUTED_VALUE"""),"1 USD = 87.0818 PKR")</f>
        <v>1 USD = 87.0818 PKR</v>
      </c>
      <c r="H4515" s="9" t="str">
        <f ca="1">IFERROR(__xludf.DUMMYFUNCTION("""COMPUTED_VALUE"""),"USD PKR rate for 06/09/2011")</f>
        <v>USD PKR rate for 06/09/2011</v>
      </c>
      <c r="I4515" s="9"/>
    </row>
    <row r="4516" spans="1:9" ht="14.25" customHeight="1" x14ac:dyDescent="0.3">
      <c r="A4516" s="10">
        <v>44233</v>
      </c>
      <c r="B4516" s="7">
        <v>160.0557</v>
      </c>
      <c r="C4516" s="8">
        <f t="shared" si="35"/>
        <v>177.08120302427014</v>
      </c>
      <c r="D4516" s="9">
        <f t="shared" si="34"/>
        <v>74.099444657995392</v>
      </c>
      <c r="E4516" s="9"/>
      <c r="F4516" s="9">
        <f ca="1">IFERROR(__xludf.DUMMYFUNCTION("""COMPUTED_VALUE"""),40791)</f>
        <v>40791</v>
      </c>
      <c r="G4516" s="9" t="str">
        <f ca="1">IFERROR(__xludf.DUMMYFUNCTION("""COMPUTED_VALUE"""),"1 USD = 87.6575 PKR")</f>
        <v>1 USD = 87.6575 PKR</v>
      </c>
      <c r="H4516" s="9" t="str">
        <f ca="1">IFERROR(__xludf.DUMMYFUNCTION("""COMPUTED_VALUE"""),"USD PKR rate for 05/09/2011")</f>
        <v>USD PKR rate for 05/09/2011</v>
      </c>
      <c r="I4516" s="9"/>
    </row>
    <row r="4517" spans="1:9" ht="14.25" customHeight="1" x14ac:dyDescent="0.3">
      <c r="A4517" s="10">
        <v>44234</v>
      </c>
      <c r="B4517" s="7">
        <v>160.17960000000002</v>
      </c>
      <c r="C4517" s="8">
        <f t="shared" si="35"/>
        <v>177.11287395641162</v>
      </c>
      <c r="D4517" s="9">
        <f t="shared" si="34"/>
        <v>74.102182490792657</v>
      </c>
      <c r="E4517" s="9"/>
      <c r="F4517" s="9">
        <f ca="1">IFERROR(__xludf.DUMMYFUNCTION("""COMPUTED_VALUE"""),40790)</f>
        <v>40790</v>
      </c>
      <c r="G4517" s="9" t="str">
        <f ca="1">IFERROR(__xludf.DUMMYFUNCTION("""COMPUTED_VALUE"""),"1 USD = 87.1527 PKR")</f>
        <v>1 USD = 87.1527 PKR</v>
      </c>
      <c r="H4517" s="9" t="str">
        <f ca="1">IFERROR(__xludf.DUMMYFUNCTION("""COMPUTED_VALUE"""),"USD PKR rate for 04/09/2011")</f>
        <v>USD PKR rate for 04/09/2011</v>
      </c>
      <c r="I4517" s="9"/>
    </row>
    <row r="4518" spans="1:9" ht="14.25" customHeight="1" x14ac:dyDescent="0.3">
      <c r="A4518" s="10">
        <v>44235</v>
      </c>
      <c r="B4518" s="7">
        <v>159.9151</v>
      </c>
      <c r="C4518" s="8">
        <f t="shared" si="35"/>
        <v>177.14455055289196</v>
      </c>
      <c r="D4518" s="9">
        <f t="shared" si="34"/>
        <v>74.104920323589923</v>
      </c>
      <c r="E4518" s="9"/>
      <c r="F4518" s="9">
        <f ca="1">IFERROR(__xludf.DUMMYFUNCTION("""COMPUTED_VALUE"""),40789)</f>
        <v>40789</v>
      </c>
      <c r="G4518" s="9" t="str">
        <f ca="1">IFERROR(__xludf.DUMMYFUNCTION("""COMPUTED_VALUE"""),"1 USD = 86.9055 PKR")</f>
        <v>1 USD = 86.9055 PKR</v>
      </c>
      <c r="H4518" s="9" t="str">
        <f ca="1">IFERROR(__xludf.DUMMYFUNCTION("""COMPUTED_VALUE"""),"USD PKR rate for 03/09/2011")</f>
        <v>USD PKR rate for 03/09/2011</v>
      </c>
      <c r="I4518" s="9"/>
    </row>
    <row r="4519" spans="1:9" ht="14.25" customHeight="1" x14ac:dyDescent="0.3">
      <c r="A4519" s="10">
        <v>44236</v>
      </c>
      <c r="B4519" s="7">
        <v>160.01740000000004</v>
      </c>
      <c r="C4519" s="8">
        <f t="shared" si="35"/>
        <v>177.17623281472427</v>
      </c>
      <c r="D4519" s="9">
        <f t="shared" si="34"/>
        <v>74.107658156387188</v>
      </c>
      <c r="E4519" s="9"/>
      <c r="F4519" s="9">
        <f ca="1">IFERROR(__xludf.DUMMYFUNCTION("""COMPUTED_VALUE"""),40788)</f>
        <v>40788</v>
      </c>
      <c r="G4519" s="9" t="str">
        <f ca="1">IFERROR(__xludf.DUMMYFUNCTION("""COMPUTED_VALUE"""),"1 USD = 86.9055 PKR")</f>
        <v>1 USD = 86.9055 PKR</v>
      </c>
      <c r="H4519" s="9" t="str">
        <f ca="1">IFERROR(__xludf.DUMMYFUNCTION("""COMPUTED_VALUE"""),"USD PKR rate for 02/09/2011")</f>
        <v>USD PKR rate for 02/09/2011</v>
      </c>
      <c r="I4519" s="9"/>
    </row>
    <row r="4520" spans="1:9" ht="14.25" customHeight="1" x14ac:dyDescent="0.3">
      <c r="A4520" s="10">
        <v>44237</v>
      </c>
      <c r="B4520" s="7">
        <v>159.87299999999999</v>
      </c>
      <c r="C4520" s="8">
        <f t="shared" si="35"/>
        <v>177.20792074292174</v>
      </c>
      <c r="D4520" s="9">
        <f t="shared" si="34"/>
        <v>74.110395989184454</v>
      </c>
      <c r="E4520" s="9"/>
      <c r="F4520" s="9">
        <f ca="1">IFERROR(__xludf.DUMMYFUNCTION("""COMPUTED_VALUE"""),40787)</f>
        <v>40787</v>
      </c>
      <c r="G4520" s="9" t="str">
        <f ca="1">IFERROR(__xludf.DUMMYFUNCTION("""COMPUTED_VALUE"""),"1 USD = 87.6274 PKR")</f>
        <v>1 USD = 87.6274 PKR</v>
      </c>
      <c r="H4520" s="9" t="str">
        <f ca="1">IFERROR(__xludf.DUMMYFUNCTION("""COMPUTED_VALUE"""),"USD PKR rate for 01/09/2011")</f>
        <v>USD PKR rate for 01/09/2011</v>
      </c>
      <c r="I4520" s="9"/>
    </row>
    <row r="4521" spans="1:9" ht="14.25" customHeight="1" x14ac:dyDescent="0.3">
      <c r="A4521" s="10">
        <v>44238</v>
      </c>
      <c r="B4521" s="7">
        <v>159.4547</v>
      </c>
      <c r="C4521" s="8">
        <f t="shared" si="35"/>
        <v>177.23961433849772</v>
      </c>
      <c r="D4521" s="9">
        <f t="shared" si="34"/>
        <v>74.11313382198172</v>
      </c>
      <c r="E4521" s="9"/>
      <c r="F4521" s="9">
        <f ca="1">IFERROR(__xludf.DUMMYFUNCTION("""COMPUTED_VALUE"""),40786)</f>
        <v>40786</v>
      </c>
      <c r="G4521" s="9" t="str">
        <f ca="1">IFERROR(__xludf.DUMMYFUNCTION("""COMPUTED_VALUE"""),"1 USD = 86.9284 PKR")</f>
        <v>1 USD = 86.9284 PKR</v>
      </c>
      <c r="H4521" s="9" t="str">
        <f ca="1">IFERROR(__xludf.DUMMYFUNCTION("""COMPUTED_VALUE"""),"USD PKR rate for 31/08/2011")</f>
        <v>USD PKR rate for 31/08/2011</v>
      </c>
      <c r="I4521" s="9"/>
    </row>
    <row r="4522" spans="1:9" ht="14.25" customHeight="1" x14ac:dyDescent="0.3">
      <c r="A4522" s="10">
        <v>44239</v>
      </c>
      <c r="B4522" s="7">
        <v>158.8466</v>
      </c>
      <c r="C4522" s="8">
        <f t="shared" si="35"/>
        <v>177.27131360246602</v>
      </c>
      <c r="D4522" s="9">
        <f t="shared" si="34"/>
        <v>74.115871654778985</v>
      </c>
      <c r="E4522" s="9"/>
      <c r="F4522" s="9">
        <f ca="1">IFERROR(__xludf.DUMMYFUNCTION("""COMPUTED_VALUE"""),40785)</f>
        <v>40785</v>
      </c>
      <c r="G4522" s="9" t="str">
        <f ca="1">IFERROR(__xludf.DUMMYFUNCTION("""COMPUTED_VALUE"""),"1 USD = 87.659 PKR")</f>
        <v>1 USD = 87.659 PKR</v>
      </c>
      <c r="H4522" s="9" t="str">
        <f ca="1">IFERROR(__xludf.DUMMYFUNCTION("""COMPUTED_VALUE"""),"USD PKR rate for 30/08/2011")</f>
        <v>USD PKR rate for 30/08/2011</v>
      </c>
      <c r="I4522" s="9"/>
    </row>
    <row r="4523" spans="1:9" ht="14.25" customHeight="1" x14ac:dyDescent="0.3">
      <c r="A4523" s="10">
        <v>44240</v>
      </c>
      <c r="B4523" s="7">
        <v>158.85</v>
      </c>
      <c r="C4523" s="8">
        <f t="shared" si="35"/>
        <v>177.30301853584038</v>
      </c>
      <c r="D4523" s="9">
        <f t="shared" si="34"/>
        <v>74.118609487576251</v>
      </c>
      <c r="E4523" s="9"/>
      <c r="F4523" s="9">
        <f ca="1">IFERROR(__xludf.DUMMYFUNCTION("""COMPUTED_VALUE"""),40784)</f>
        <v>40784</v>
      </c>
      <c r="G4523" s="9" t="str">
        <f ca="1">IFERROR(__xludf.DUMMYFUNCTION("""COMPUTED_VALUE"""),"1 USD = 86.1208 PKR")</f>
        <v>1 USD = 86.1208 PKR</v>
      </c>
      <c r="H4523" s="9" t="str">
        <f ca="1">IFERROR(__xludf.DUMMYFUNCTION("""COMPUTED_VALUE"""),"USD PKR rate for 29/08/2011")</f>
        <v>USD PKR rate for 29/08/2011</v>
      </c>
      <c r="I4523" s="9"/>
    </row>
    <row r="4524" spans="1:9" ht="14.25" customHeight="1" x14ac:dyDescent="0.3">
      <c r="A4524" s="10">
        <v>44241</v>
      </c>
      <c r="B4524" s="7">
        <v>158.9101</v>
      </c>
      <c r="C4524" s="8">
        <f t="shared" si="35"/>
        <v>177.33472913963487</v>
      </c>
      <c r="D4524" s="9">
        <f t="shared" si="34"/>
        <v>74.12134732037353</v>
      </c>
      <c r="E4524" s="9"/>
      <c r="F4524" s="9">
        <f ca="1">IFERROR(__xludf.DUMMYFUNCTION("""COMPUTED_VALUE"""),40783)</f>
        <v>40783</v>
      </c>
      <c r="G4524" s="9" t="str">
        <f ca="1">IFERROR(__xludf.DUMMYFUNCTION("""COMPUTED_VALUE"""),"1 USD = 86.3385 PKR")</f>
        <v>1 USD = 86.3385 PKR</v>
      </c>
      <c r="H4524" s="9" t="str">
        <f ca="1">IFERROR(__xludf.DUMMYFUNCTION("""COMPUTED_VALUE"""),"USD PKR rate for 28/08/2011")</f>
        <v>USD PKR rate for 28/08/2011</v>
      </c>
      <c r="I4524" s="9"/>
    </row>
    <row r="4525" spans="1:9" ht="14.25" customHeight="1" x14ac:dyDescent="0.3">
      <c r="A4525" s="10">
        <v>44242</v>
      </c>
      <c r="B4525" s="7">
        <v>159.36699999999999</v>
      </c>
      <c r="C4525" s="8">
        <f t="shared" si="35"/>
        <v>177.36644541486336</v>
      </c>
      <c r="D4525" s="9">
        <f t="shared" si="34"/>
        <v>74.124085153170796</v>
      </c>
      <c r="E4525" s="9"/>
      <c r="F4525" s="9">
        <f ca="1">IFERROR(__xludf.DUMMYFUNCTION("""COMPUTED_VALUE"""),40782)</f>
        <v>40782</v>
      </c>
      <c r="G4525" s="9" t="str">
        <f ca="1">IFERROR(__xludf.DUMMYFUNCTION("""COMPUTED_VALUE"""),"1 USD = 86.2172 PKR")</f>
        <v>1 USD = 86.2172 PKR</v>
      </c>
      <c r="H4525" s="9" t="str">
        <f ca="1">IFERROR(__xludf.DUMMYFUNCTION("""COMPUTED_VALUE"""),"USD PKR rate for 27/08/2011")</f>
        <v>USD PKR rate for 27/08/2011</v>
      </c>
      <c r="I4525" s="9"/>
    </row>
    <row r="4526" spans="1:9" ht="14.25" customHeight="1" x14ac:dyDescent="0.3">
      <c r="A4526" s="10">
        <v>44243</v>
      </c>
      <c r="B4526" s="7">
        <v>159.9024</v>
      </c>
      <c r="C4526" s="8">
        <f t="shared" si="35"/>
        <v>177.39816736254033</v>
      </c>
      <c r="D4526" s="9">
        <f t="shared" si="34"/>
        <v>74.126822985968062</v>
      </c>
      <c r="E4526" s="9"/>
      <c r="F4526" s="9">
        <f ca="1">IFERROR(__xludf.DUMMYFUNCTION("""COMPUTED_VALUE"""),40781)</f>
        <v>40781</v>
      </c>
      <c r="G4526" s="9" t="str">
        <f ca="1">IFERROR(__xludf.DUMMYFUNCTION("""COMPUTED_VALUE"""),"1 USD = 86.2172 PKR")</f>
        <v>1 USD = 86.2172 PKR</v>
      </c>
      <c r="H4526" s="9" t="str">
        <f ca="1">IFERROR(__xludf.DUMMYFUNCTION("""COMPUTED_VALUE"""),"USD PKR rate for 26/08/2011")</f>
        <v>USD PKR rate for 26/08/2011</v>
      </c>
      <c r="I4526" s="9"/>
    </row>
    <row r="4527" spans="1:9" ht="14.25" customHeight="1" x14ac:dyDescent="0.3">
      <c r="A4527" s="10">
        <v>44244</v>
      </c>
      <c r="B4527" s="7">
        <v>159.75829999999999</v>
      </c>
      <c r="C4527" s="8">
        <f t="shared" si="35"/>
        <v>177.42989498368027</v>
      </c>
      <c r="D4527" s="9">
        <f t="shared" si="34"/>
        <v>74.129560818765327</v>
      </c>
      <c r="E4527" s="9"/>
      <c r="F4527" s="9">
        <f ca="1">IFERROR(__xludf.DUMMYFUNCTION("""COMPUTED_VALUE"""),40780)</f>
        <v>40780</v>
      </c>
      <c r="G4527" s="9" t="str">
        <f ca="1">IFERROR(__xludf.DUMMYFUNCTION("""COMPUTED_VALUE"""),"1 USD = 86.9542 PKR")</f>
        <v>1 USD = 86.9542 PKR</v>
      </c>
      <c r="H4527" s="9" t="str">
        <f ca="1">IFERROR(__xludf.DUMMYFUNCTION("""COMPUTED_VALUE"""),"USD PKR rate for 25/08/2011")</f>
        <v>USD PKR rate for 25/08/2011</v>
      </c>
      <c r="I4527" s="9"/>
    </row>
    <row r="4528" spans="1:9" ht="14.25" customHeight="1" x14ac:dyDescent="0.3">
      <c r="A4528" s="10">
        <v>44245</v>
      </c>
      <c r="B4528" s="7">
        <v>158.91419999999999</v>
      </c>
      <c r="C4528" s="8">
        <f t="shared" si="35"/>
        <v>177.46162827929794</v>
      </c>
      <c r="D4528" s="9">
        <f t="shared" si="34"/>
        <v>74.132298651562593</v>
      </c>
      <c r="E4528" s="9"/>
      <c r="F4528" s="9">
        <f ca="1">IFERROR(__xludf.DUMMYFUNCTION("""COMPUTED_VALUE"""),40779)</f>
        <v>40779</v>
      </c>
      <c r="G4528" s="9" t="str">
        <f ca="1">IFERROR(__xludf.DUMMYFUNCTION("""COMPUTED_VALUE"""),"1 USD = 86.6935 PKR")</f>
        <v>1 USD = 86.6935 PKR</v>
      </c>
      <c r="H4528" s="9" t="str">
        <f ca="1">IFERROR(__xludf.DUMMYFUNCTION("""COMPUTED_VALUE"""),"USD PKR rate for 24/08/2011")</f>
        <v>USD PKR rate for 24/08/2011</v>
      </c>
      <c r="I4528" s="9"/>
    </row>
    <row r="4529" spans="1:9" ht="14.25" customHeight="1" x14ac:dyDescent="0.3">
      <c r="A4529" s="10">
        <v>44246</v>
      </c>
      <c r="B4529" s="7">
        <v>159.05549999999999</v>
      </c>
      <c r="C4529" s="8">
        <f t="shared" si="35"/>
        <v>177.49336725040814</v>
      </c>
      <c r="D4529" s="9">
        <f t="shared" si="34"/>
        <v>74.135036484359858</v>
      </c>
      <c r="E4529" s="9"/>
      <c r="F4529" s="9">
        <f ca="1">IFERROR(__xludf.DUMMYFUNCTION("""COMPUTED_VALUE"""),40778)</f>
        <v>40778</v>
      </c>
      <c r="G4529" s="9" t="str">
        <f ca="1">IFERROR(__xludf.DUMMYFUNCTION("""COMPUTED_VALUE"""),"1 USD = 86.5839 PKR")</f>
        <v>1 USD = 86.5839 PKR</v>
      </c>
      <c r="H4529" s="9" t="str">
        <f ca="1">IFERROR(__xludf.DUMMYFUNCTION("""COMPUTED_VALUE"""),"USD PKR rate for 23/08/2011")</f>
        <v>USD PKR rate for 23/08/2011</v>
      </c>
      <c r="I4529" s="9"/>
    </row>
    <row r="4530" spans="1:9" ht="14.25" customHeight="1" x14ac:dyDescent="0.3">
      <c r="A4530" s="10">
        <v>44247</v>
      </c>
      <c r="B4530" s="7">
        <v>159.3682</v>
      </c>
      <c r="C4530" s="8">
        <f t="shared" si="35"/>
        <v>177.52511189802584</v>
      </c>
      <c r="D4530" s="9">
        <f t="shared" si="34"/>
        <v>74.137774317157124</v>
      </c>
      <c r="E4530" s="9"/>
      <c r="F4530" s="9">
        <f ca="1">IFERROR(__xludf.DUMMYFUNCTION("""COMPUTED_VALUE"""),40777)</f>
        <v>40777</v>
      </c>
      <c r="G4530" s="9" t="str">
        <f ca="1">IFERROR(__xludf.DUMMYFUNCTION("""COMPUTED_VALUE"""),"1 USD = 87.0354 PKR")</f>
        <v>1 USD = 87.0354 PKR</v>
      </c>
      <c r="H4530" s="9" t="str">
        <f ca="1">IFERROR(__xludf.DUMMYFUNCTION("""COMPUTED_VALUE"""),"USD PKR rate for 22/08/2011")</f>
        <v>USD PKR rate for 22/08/2011</v>
      </c>
      <c r="I4530" s="9"/>
    </row>
    <row r="4531" spans="1:9" ht="14.25" customHeight="1" x14ac:dyDescent="0.3">
      <c r="A4531" s="10">
        <v>44248</v>
      </c>
      <c r="B4531" s="7">
        <v>159.25530000000003</v>
      </c>
      <c r="C4531" s="8">
        <f t="shared" si="35"/>
        <v>177.55686222316655</v>
      </c>
      <c r="D4531" s="9">
        <f t="shared" si="34"/>
        <v>74.14051214995439</v>
      </c>
      <c r="E4531" s="9"/>
      <c r="F4531" s="9">
        <f ca="1">IFERROR(__xludf.DUMMYFUNCTION("""COMPUTED_VALUE"""),40776)</f>
        <v>40776</v>
      </c>
      <c r="G4531" s="9" t="str">
        <f ca="1">IFERROR(__xludf.DUMMYFUNCTION("""COMPUTED_VALUE"""),"1 USD = 86.7345 PKR")</f>
        <v>1 USD = 86.7345 PKR</v>
      </c>
      <c r="H4531" s="9" t="str">
        <f ca="1">IFERROR(__xludf.DUMMYFUNCTION("""COMPUTED_VALUE"""),"USD PKR rate for 21/08/2011")</f>
        <v>USD PKR rate for 21/08/2011</v>
      </c>
      <c r="I4531" s="9"/>
    </row>
    <row r="4532" spans="1:9" ht="14.25" customHeight="1" x14ac:dyDescent="0.3">
      <c r="A4532" s="10">
        <v>44249</v>
      </c>
      <c r="B4532" s="7">
        <v>159.0532</v>
      </c>
      <c r="C4532" s="8">
        <f t="shared" si="35"/>
        <v>177.58861822684557</v>
      </c>
      <c r="D4532" s="9">
        <f t="shared" si="34"/>
        <v>74.143249982751655</v>
      </c>
      <c r="E4532" s="9"/>
      <c r="F4532" s="9">
        <f ca="1">IFERROR(__xludf.DUMMYFUNCTION("""COMPUTED_VALUE"""),40775)</f>
        <v>40775</v>
      </c>
      <c r="G4532" s="9" t="str">
        <f ca="1">IFERROR(__xludf.DUMMYFUNCTION("""COMPUTED_VALUE"""),"1 USD = 86.803 PKR")</f>
        <v>1 USD = 86.803 PKR</v>
      </c>
      <c r="H4532" s="9" t="str">
        <f ca="1">IFERROR(__xludf.DUMMYFUNCTION("""COMPUTED_VALUE"""),"USD PKR rate for 20/08/2011")</f>
        <v>USD PKR rate for 20/08/2011</v>
      </c>
      <c r="I4532" s="9"/>
    </row>
    <row r="4533" spans="1:9" ht="14.25" customHeight="1" x14ac:dyDescent="0.3">
      <c r="A4533" s="10">
        <v>44250</v>
      </c>
      <c r="B4533" s="7">
        <v>158.85849999999999</v>
      </c>
      <c r="C4533" s="8">
        <f t="shared" si="35"/>
        <v>177.6203799100785</v>
      </c>
      <c r="D4533" s="9">
        <f t="shared" si="34"/>
        <v>74.145987815548921</v>
      </c>
      <c r="E4533" s="9"/>
      <c r="F4533" s="9">
        <f ca="1">IFERROR(__xludf.DUMMYFUNCTION("""COMPUTED_VALUE"""),40774)</f>
        <v>40774</v>
      </c>
      <c r="G4533" s="9" t="str">
        <f ca="1">IFERROR(__xludf.DUMMYFUNCTION("""COMPUTED_VALUE"""),"1 USD = 86.803 PKR")</f>
        <v>1 USD = 86.803 PKR</v>
      </c>
      <c r="H4533" s="9" t="str">
        <f ca="1">IFERROR(__xludf.DUMMYFUNCTION("""COMPUTED_VALUE"""),"USD PKR rate for 19/08/2011")</f>
        <v>USD PKR rate for 19/08/2011</v>
      </c>
      <c r="I4533" s="9"/>
    </row>
    <row r="4534" spans="1:9" ht="14.25" customHeight="1" x14ac:dyDescent="0.3">
      <c r="A4534" s="10">
        <v>44251</v>
      </c>
      <c r="B4534" s="7">
        <v>158.9162</v>
      </c>
      <c r="C4534" s="8">
        <f t="shared" si="35"/>
        <v>177.65214727388113</v>
      </c>
      <c r="D4534" s="9">
        <f t="shared" si="34"/>
        <v>74.148725648346186</v>
      </c>
      <c r="E4534" s="9"/>
      <c r="F4534" s="9">
        <f ca="1">IFERROR(__xludf.DUMMYFUNCTION("""COMPUTED_VALUE"""),40773)</f>
        <v>40773</v>
      </c>
      <c r="G4534" s="9" t="str">
        <f ca="1">IFERROR(__xludf.DUMMYFUNCTION("""COMPUTED_VALUE"""),"1 USD = 87.2357 PKR")</f>
        <v>1 USD = 87.2357 PKR</v>
      </c>
      <c r="H4534" s="9" t="str">
        <f ca="1">IFERROR(__xludf.DUMMYFUNCTION("""COMPUTED_VALUE"""),"USD PKR rate for 18/08/2011")</f>
        <v>USD PKR rate for 18/08/2011</v>
      </c>
      <c r="I4534" s="9"/>
    </row>
    <row r="4535" spans="1:9" ht="14.25" customHeight="1" x14ac:dyDescent="0.3">
      <c r="A4535" s="10">
        <v>44252</v>
      </c>
      <c r="B4535" s="7">
        <v>158.43379999999999</v>
      </c>
      <c r="C4535" s="8">
        <f t="shared" si="35"/>
        <v>177.68392031926939</v>
      </c>
      <c r="D4535" s="9">
        <f t="shared" si="34"/>
        <v>74.151463481143452</v>
      </c>
      <c r="E4535" s="9"/>
      <c r="F4535" s="9">
        <f ca="1">IFERROR(__xludf.DUMMYFUNCTION("""COMPUTED_VALUE"""),40772)</f>
        <v>40772</v>
      </c>
      <c r="G4535" s="9" t="str">
        <f ca="1">IFERROR(__xludf.DUMMYFUNCTION("""COMPUTED_VALUE"""),"1 USD = 86.6611 PKR")</f>
        <v>1 USD = 86.6611 PKR</v>
      </c>
      <c r="H4535" s="9" t="str">
        <f ca="1">IFERROR(__xludf.DUMMYFUNCTION("""COMPUTED_VALUE"""),"USD PKR rate for 17/08/2011")</f>
        <v>USD PKR rate for 17/08/2011</v>
      </c>
      <c r="I4535" s="9"/>
    </row>
    <row r="4536" spans="1:9" ht="14.25" customHeight="1" x14ac:dyDescent="0.3">
      <c r="A4536" s="10">
        <v>44253</v>
      </c>
      <c r="B4536" s="7">
        <v>158.39340000000001</v>
      </c>
      <c r="C4536" s="8">
        <f t="shared" si="35"/>
        <v>177.71569904725945</v>
      </c>
      <c r="D4536" s="9">
        <f t="shared" si="34"/>
        <v>74.154201313940717</v>
      </c>
      <c r="E4536" s="9"/>
      <c r="F4536" s="9">
        <f ca="1">IFERROR(__xludf.DUMMYFUNCTION("""COMPUTED_VALUE"""),40771)</f>
        <v>40771</v>
      </c>
      <c r="G4536" s="9" t="str">
        <f ca="1">IFERROR(__xludf.DUMMYFUNCTION("""COMPUTED_VALUE"""),"1 USD = 86.8408 PKR")</f>
        <v>1 USD = 86.8408 PKR</v>
      </c>
      <c r="H4536" s="9" t="str">
        <f ca="1">IFERROR(__xludf.DUMMYFUNCTION("""COMPUTED_VALUE"""),"USD PKR rate for 16/08/2011")</f>
        <v>USD PKR rate for 16/08/2011</v>
      </c>
      <c r="I4536" s="9"/>
    </row>
    <row r="4537" spans="1:9" ht="14.25" customHeight="1" x14ac:dyDescent="0.3">
      <c r="A4537" s="10">
        <v>44254</v>
      </c>
      <c r="B4537" s="7">
        <v>158.3954</v>
      </c>
      <c r="C4537" s="8">
        <f t="shared" si="35"/>
        <v>177.74748345886766</v>
      </c>
      <c r="D4537" s="9">
        <f t="shared" si="34"/>
        <v>74.156939146737983</v>
      </c>
      <c r="E4537" s="9"/>
      <c r="F4537" s="9">
        <f ca="1">IFERROR(__xludf.DUMMYFUNCTION("""COMPUTED_VALUE"""),40770)</f>
        <v>40770</v>
      </c>
      <c r="G4537" s="9" t="str">
        <f ca="1">IFERROR(__xludf.DUMMYFUNCTION("""COMPUTED_VALUE"""),"1 USD = 85.4568 PKR")</f>
        <v>1 USD = 85.4568 PKR</v>
      </c>
      <c r="H4537" s="9" t="str">
        <f ca="1">IFERROR(__xludf.DUMMYFUNCTION("""COMPUTED_VALUE"""),"USD PKR rate for 15/08/2011")</f>
        <v>USD PKR rate for 15/08/2011</v>
      </c>
      <c r="I4537" s="9"/>
    </row>
    <row r="4538" spans="1:9" ht="14.25" customHeight="1" x14ac:dyDescent="0.3">
      <c r="A4538" s="10">
        <v>44255</v>
      </c>
      <c r="B4538" s="7">
        <v>157.8038</v>
      </c>
      <c r="C4538" s="8">
        <f t="shared" si="35"/>
        <v>177.77927355511051</v>
      </c>
      <c r="D4538" s="9">
        <f t="shared" si="34"/>
        <v>74.159676979535249</v>
      </c>
      <c r="E4538" s="9"/>
      <c r="F4538" s="9">
        <f ca="1">IFERROR(__xludf.DUMMYFUNCTION("""COMPUTED_VALUE"""),40769)</f>
        <v>40769</v>
      </c>
      <c r="G4538" s="9" t="str">
        <f ca="1">IFERROR(__xludf.DUMMYFUNCTION("""COMPUTED_VALUE"""),"1 USD = 86.5842 PKR")</f>
        <v>1 USD = 86.5842 PKR</v>
      </c>
      <c r="H4538" s="9" t="str">
        <f ca="1">IFERROR(__xludf.DUMMYFUNCTION("""COMPUTED_VALUE"""),"USD PKR rate for 14/08/2011")</f>
        <v>USD PKR rate for 14/08/2011</v>
      </c>
      <c r="I4538" s="9"/>
    </row>
    <row r="4539" spans="1:9" ht="14.25" customHeight="1" x14ac:dyDescent="0.3">
      <c r="A4539" s="10">
        <v>44256</v>
      </c>
      <c r="B4539" s="7">
        <v>157.994</v>
      </c>
      <c r="C4539" s="8">
        <f t="shared" si="35"/>
        <v>177.8110693370046</v>
      </c>
      <c r="D4539" s="9">
        <f t="shared" si="34"/>
        <v>74.162414812332514</v>
      </c>
      <c r="E4539" s="9"/>
      <c r="F4539" s="9">
        <f ca="1">IFERROR(__xludf.DUMMYFUNCTION("""COMPUTED_VALUE"""),40768)</f>
        <v>40768</v>
      </c>
      <c r="G4539" s="9" t="str">
        <f ca="1">IFERROR(__xludf.DUMMYFUNCTION("""COMPUTED_VALUE"""),"1 USD = 86.648 PKR")</f>
        <v>1 USD = 86.648 PKR</v>
      </c>
      <c r="H4539" s="9" t="str">
        <f ca="1">IFERROR(__xludf.DUMMYFUNCTION("""COMPUTED_VALUE"""),"USD PKR rate for 13/08/2011")</f>
        <v>USD PKR rate for 13/08/2011</v>
      </c>
      <c r="I4539" s="9"/>
    </row>
    <row r="4540" spans="1:9" ht="14.25" customHeight="1" x14ac:dyDescent="0.3">
      <c r="A4540" s="10">
        <v>44257</v>
      </c>
      <c r="B4540" s="7">
        <v>157.7816</v>
      </c>
      <c r="C4540" s="8">
        <f t="shared" si="35"/>
        <v>177.84287080556703</v>
      </c>
      <c r="D4540" s="9">
        <f t="shared" si="34"/>
        <v>74.16515264512978</v>
      </c>
      <c r="E4540" s="9"/>
      <c r="F4540" s="9">
        <f ca="1">IFERROR(__xludf.DUMMYFUNCTION("""COMPUTED_VALUE"""),40767)</f>
        <v>40767</v>
      </c>
      <c r="G4540" s="9" t="str">
        <f ca="1">IFERROR(__xludf.DUMMYFUNCTION("""COMPUTED_VALUE"""),"1 USD = 86.648 PKR")</f>
        <v>1 USD = 86.648 PKR</v>
      </c>
      <c r="H4540" s="9" t="str">
        <f ca="1">IFERROR(__xludf.DUMMYFUNCTION("""COMPUTED_VALUE"""),"USD PKR rate for 12/08/2011")</f>
        <v>USD PKR rate for 12/08/2011</v>
      </c>
      <c r="I4540" s="9"/>
    </row>
    <row r="4541" spans="1:9" ht="14.25" customHeight="1" x14ac:dyDescent="0.3">
      <c r="A4541" s="10">
        <v>44258</v>
      </c>
      <c r="B4541" s="7">
        <v>157.20230000000001</v>
      </c>
      <c r="C4541" s="8">
        <f t="shared" si="35"/>
        <v>177.87467796181477</v>
      </c>
      <c r="D4541" s="9">
        <f t="shared" si="34"/>
        <v>74.167890477927045</v>
      </c>
      <c r="E4541" s="9"/>
      <c r="F4541" s="9">
        <f ca="1">IFERROR(__xludf.DUMMYFUNCTION("""COMPUTED_VALUE"""),40766)</f>
        <v>40766</v>
      </c>
      <c r="G4541" s="9" t="str">
        <f ca="1">IFERROR(__xludf.DUMMYFUNCTION("""COMPUTED_VALUE"""),"1 USD = 86.7598 PKR")</f>
        <v>1 USD = 86.7598 PKR</v>
      </c>
      <c r="H4541" s="9" t="str">
        <f ca="1">IFERROR(__xludf.DUMMYFUNCTION("""COMPUTED_VALUE"""),"USD PKR rate for 11/08/2011")</f>
        <v>USD PKR rate for 11/08/2011</v>
      </c>
      <c r="I4541" s="9"/>
    </row>
    <row r="4542" spans="1:9" ht="14.25" customHeight="1" x14ac:dyDescent="0.3">
      <c r="A4542" s="10">
        <v>44259</v>
      </c>
      <c r="B4542" s="7">
        <v>157.18639999999999</v>
      </c>
      <c r="C4542" s="8">
        <f t="shared" si="35"/>
        <v>177.90649080676502</v>
      </c>
      <c r="D4542" s="9">
        <f t="shared" si="34"/>
        <v>74.170628310724311</v>
      </c>
      <c r="E4542" s="9"/>
      <c r="F4542" s="9">
        <f ca="1">IFERROR(__xludf.DUMMYFUNCTION("""COMPUTED_VALUE"""),40765)</f>
        <v>40765</v>
      </c>
      <c r="G4542" s="9" t="str">
        <f ca="1">IFERROR(__xludf.DUMMYFUNCTION("""COMPUTED_VALUE"""),"1 USD = 86.8572 PKR")</f>
        <v>1 USD = 86.8572 PKR</v>
      </c>
      <c r="H4542" s="9" t="str">
        <f ca="1">IFERROR(__xludf.DUMMYFUNCTION("""COMPUTED_VALUE"""),"USD PKR rate for 10/08/2011")</f>
        <v>USD PKR rate for 10/08/2011</v>
      </c>
      <c r="I4542" s="9"/>
    </row>
    <row r="4543" spans="1:9" ht="14.25" customHeight="1" x14ac:dyDescent="0.3">
      <c r="A4543" s="10">
        <v>44260</v>
      </c>
      <c r="B4543" s="7">
        <v>157.00360000000001</v>
      </c>
      <c r="C4543" s="8">
        <f t="shared" si="35"/>
        <v>177.93830934143523</v>
      </c>
      <c r="D4543" s="9">
        <f t="shared" si="34"/>
        <v>74.173366143521577</v>
      </c>
      <c r="E4543" s="9"/>
      <c r="F4543" s="9">
        <f ca="1">IFERROR(__xludf.DUMMYFUNCTION("""COMPUTED_VALUE"""),40764)</f>
        <v>40764</v>
      </c>
      <c r="G4543" s="9" t="str">
        <f ca="1">IFERROR(__xludf.DUMMYFUNCTION("""COMPUTED_VALUE"""),"1 USD = 86.9192 PKR")</f>
        <v>1 USD = 86.9192 PKR</v>
      </c>
      <c r="H4543" s="9" t="str">
        <f ca="1">IFERROR(__xludf.DUMMYFUNCTION("""COMPUTED_VALUE"""),"USD PKR rate for 09/08/2011")</f>
        <v>USD PKR rate for 09/08/2011</v>
      </c>
      <c r="I4543" s="9"/>
    </row>
    <row r="4544" spans="1:9" ht="14.25" customHeight="1" x14ac:dyDescent="0.3">
      <c r="A4544" s="10">
        <v>44261</v>
      </c>
      <c r="B4544" s="7">
        <v>157.00360000000001</v>
      </c>
      <c r="C4544" s="8">
        <f t="shared" si="35"/>
        <v>177.97013356684297</v>
      </c>
      <c r="D4544" s="9">
        <f t="shared" si="34"/>
        <v>74.176103976318842</v>
      </c>
      <c r="E4544" s="9"/>
      <c r="F4544" s="9">
        <f ca="1">IFERROR(__xludf.DUMMYFUNCTION("""COMPUTED_VALUE"""),40763)</f>
        <v>40763</v>
      </c>
      <c r="G4544" s="9" t="str">
        <f ca="1">IFERROR(__xludf.DUMMYFUNCTION("""COMPUTED_VALUE"""),"1 USD = 86.0081 PKR")</f>
        <v>1 USD = 86.0081 PKR</v>
      </c>
      <c r="H4544" s="9" t="str">
        <f ca="1">IFERROR(__xludf.DUMMYFUNCTION("""COMPUTED_VALUE"""),"USD PKR rate for 08/08/2011")</f>
        <v>USD PKR rate for 08/08/2011</v>
      </c>
      <c r="I4544" s="9"/>
    </row>
    <row r="4545" spans="1:9" ht="14.25" customHeight="1" x14ac:dyDescent="0.3">
      <c r="A4545" s="10">
        <v>44262</v>
      </c>
      <c r="B4545" s="7">
        <v>156.99</v>
      </c>
      <c r="C4545" s="8">
        <f t="shared" si="35"/>
        <v>178.0019634840061</v>
      </c>
      <c r="D4545" s="9">
        <f t="shared" si="34"/>
        <v>74.178841809116108</v>
      </c>
      <c r="E4545" s="9"/>
      <c r="F4545" s="9">
        <f ca="1">IFERROR(__xludf.DUMMYFUNCTION("""COMPUTED_VALUE"""),40762)</f>
        <v>40762</v>
      </c>
      <c r="G4545" s="9" t="str">
        <f ca="1">IFERROR(__xludf.DUMMYFUNCTION("""COMPUTED_VALUE"""),"1 USD = 86.3017 PKR")</f>
        <v>1 USD = 86.3017 PKR</v>
      </c>
      <c r="H4545" s="9" t="str">
        <f ca="1">IFERROR(__xludf.DUMMYFUNCTION("""COMPUTED_VALUE"""),"USD PKR rate for 07/08/2011")</f>
        <v>USD PKR rate for 07/08/2011</v>
      </c>
      <c r="I4545" s="9"/>
    </row>
    <row r="4546" spans="1:9" ht="14.25" customHeight="1" x14ac:dyDescent="0.3">
      <c r="A4546" s="10">
        <v>44263</v>
      </c>
      <c r="B4546" s="7">
        <v>157.23240000000001</v>
      </c>
      <c r="C4546" s="8">
        <f t="shared" si="35"/>
        <v>178.03379909394249</v>
      </c>
      <c r="D4546" s="9">
        <f t="shared" si="34"/>
        <v>74.181579641913373</v>
      </c>
      <c r="E4546" s="9"/>
      <c r="F4546" s="9">
        <f ca="1">IFERROR(__xludf.DUMMYFUNCTION("""COMPUTED_VALUE"""),40761)</f>
        <v>40761</v>
      </c>
      <c r="G4546" s="9" t="str">
        <f ca="1">IFERROR(__xludf.DUMMYFUNCTION("""COMPUTED_VALUE"""),"1 USD = 86.4521 PKR")</f>
        <v>1 USD = 86.4521 PKR</v>
      </c>
      <c r="H4546" s="9" t="str">
        <f ca="1">IFERROR(__xludf.DUMMYFUNCTION("""COMPUTED_VALUE"""),"USD PKR rate for 06/08/2011")</f>
        <v>USD PKR rate for 06/08/2011</v>
      </c>
      <c r="I4546" s="9"/>
    </row>
    <row r="4547" spans="1:9" ht="14.25" customHeight="1" x14ac:dyDescent="0.3">
      <c r="A4547" s="10">
        <v>44264</v>
      </c>
      <c r="B4547" s="7">
        <v>157.0521</v>
      </c>
      <c r="C4547" s="8">
        <f t="shared" si="35"/>
        <v>178.06564039767036</v>
      </c>
      <c r="D4547" s="9">
        <f t="shared" si="34"/>
        <v>74.184317474710639</v>
      </c>
      <c r="E4547" s="9"/>
      <c r="F4547" s="9">
        <f ca="1">IFERROR(__xludf.DUMMYFUNCTION("""COMPUTED_VALUE"""),40760)</f>
        <v>40760</v>
      </c>
      <c r="G4547" s="9" t="str">
        <f ca="1">IFERROR(__xludf.DUMMYFUNCTION("""COMPUTED_VALUE"""),"1 USD = 86.4521 PKR")</f>
        <v>1 USD = 86.4521 PKR</v>
      </c>
      <c r="H4547" s="9" t="str">
        <f ca="1">IFERROR(__xludf.DUMMYFUNCTION("""COMPUTED_VALUE"""),"USD PKR rate for 05/08/2011")</f>
        <v>USD PKR rate for 05/08/2011</v>
      </c>
      <c r="I4547" s="9"/>
    </row>
    <row r="4548" spans="1:9" ht="14.25" customHeight="1" x14ac:dyDescent="0.3">
      <c r="A4548" s="10">
        <v>44265</v>
      </c>
      <c r="B4548" s="7">
        <v>157.0581</v>
      </c>
      <c r="C4548" s="8">
        <f t="shared" si="35"/>
        <v>178.0974873962079</v>
      </c>
      <c r="D4548" s="9">
        <f t="shared" si="34"/>
        <v>74.187055307507904</v>
      </c>
      <c r="E4548" s="9"/>
      <c r="F4548" s="9">
        <f ca="1">IFERROR(__xludf.DUMMYFUNCTION("""COMPUTED_VALUE"""),40759)</f>
        <v>40759</v>
      </c>
      <c r="G4548" s="9" t="str">
        <f ca="1">IFERROR(__xludf.DUMMYFUNCTION("""COMPUTED_VALUE"""),"1 USD = 87.6979 PKR")</f>
        <v>1 USD = 87.6979 PKR</v>
      </c>
      <c r="H4548" s="9" t="str">
        <f ca="1">IFERROR(__xludf.DUMMYFUNCTION("""COMPUTED_VALUE"""),"USD PKR rate for 04/08/2011")</f>
        <v>USD PKR rate for 04/08/2011</v>
      </c>
      <c r="I4548" s="9"/>
    </row>
    <row r="4549" spans="1:9" ht="14.25" customHeight="1" x14ac:dyDescent="0.3">
      <c r="A4549" s="10">
        <v>44266</v>
      </c>
      <c r="B4549" s="7">
        <v>157.14070000000001</v>
      </c>
      <c r="C4549" s="8">
        <f t="shared" si="35"/>
        <v>178.12934009057389</v>
      </c>
      <c r="D4549" s="9">
        <f t="shared" si="34"/>
        <v>74.18979314030517</v>
      </c>
      <c r="E4549" s="9"/>
      <c r="F4549" s="9">
        <f ca="1">IFERROR(__xludf.DUMMYFUNCTION("""COMPUTED_VALUE"""),40758)</f>
        <v>40758</v>
      </c>
      <c r="G4549" s="9" t="str">
        <f ca="1">IFERROR(__xludf.DUMMYFUNCTION("""COMPUTED_VALUE"""),"1 USD = 86.1335 PKR")</f>
        <v>1 USD = 86.1335 PKR</v>
      </c>
      <c r="H4549" s="9" t="str">
        <f ca="1">IFERROR(__xludf.DUMMYFUNCTION("""COMPUTED_VALUE"""),"USD PKR rate for 03/08/2011")</f>
        <v>USD PKR rate for 03/08/2011</v>
      </c>
      <c r="I4549" s="9"/>
    </row>
    <row r="4550" spans="1:9" ht="14.25" customHeight="1" x14ac:dyDescent="0.3">
      <c r="A4550" s="10">
        <v>44267</v>
      </c>
      <c r="B4550" s="7">
        <v>157.0504</v>
      </c>
      <c r="C4550" s="8">
        <f t="shared" si="35"/>
        <v>178.16119848178687</v>
      </c>
      <c r="D4550" s="9">
        <f t="shared" si="34"/>
        <v>74.192530973102436</v>
      </c>
      <c r="E4550" s="9"/>
      <c r="F4550" s="9">
        <f ca="1">IFERROR(__xludf.DUMMYFUNCTION("""COMPUTED_VALUE"""),40757)</f>
        <v>40757</v>
      </c>
      <c r="G4550" s="9" t="str">
        <f ca="1">IFERROR(__xludf.DUMMYFUNCTION("""COMPUTED_VALUE"""),"1 USD = 87.0675 PKR")</f>
        <v>1 USD = 87.0675 PKR</v>
      </c>
      <c r="H4550" s="9" t="str">
        <f ca="1">IFERROR(__xludf.DUMMYFUNCTION("""COMPUTED_VALUE"""),"USD PKR rate for 02/08/2011")</f>
        <v>USD PKR rate for 02/08/2011</v>
      </c>
      <c r="I4550" s="9"/>
    </row>
    <row r="4551" spans="1:9" ht="14.25" customHeight="1" x14ac:dyDescent="0.3">
      <c r="A4551" s="10">
        <v>44268</v>
      </c>
      <c r="B4551" s="7">
        <v>157.04860000000002</v>
      </c>
      <c r="C4551" s="8">
        <f t="shared" si="35"/>
        <v>178.19306257086575</v>
      </c>
      <c r="D4551" s="9">
        <f t="shared" si="34"/>
        <v>74.195268805899701</v>
      </c>
      <c r="E4551" s="9"/>
      <c r="F4551" s="9">
        <f ca="1">IFERROR(__xludf.DUMMYFUNCTION("""COMPUTED_VALUE"""),40756)</f>
        <v>40756</v>
      </c>
      <c r="G4551" s="9" t="str">
        <f ca="1">IFERROR(__xludf.DUMMYFUNCTION("""COMPUTED_VALUE"""),"1 USD = 86.5795 PKR")</f>
        <v>1 USD = 86.5795 PKR</v>
      </c>
      <c r="H4551" s="9" t="str">
        <f ca="1">IFERROR(__xludf.DUMMYFUNCTION("""COMPUTED_VALUE"""),"USD PKR rate for 01/08/2011")</f>
        <v>USD PKR rate for 01/08/2011</v>
      </c>
      <c r="I4551" s="9"/>
    </row>
    <row r="4552" spans="1:9" ht="14.25" customHeight="1" x14ac:dyDescent="0.3">
      <c r="A4552" s="10">
        <v>44269</v>
      </c>
      <c r="B4552" s="7">
        <v>156.71680000000003</v>
      </c>
      <c r="C4552" s="8">
        <f t="shared" si="35"/>
        <v>178.22493235882959</v>
      </c>
      <c r="D4552" s="9">
        <f t="shared" si="34"/>
        <v>74.198006638696967</v>
      </c>
      <c r="E4552" s="9"/>
      <c r="F4552" s="9">
        <f ca="1">IFERROR(__xludf.DUMMYFUNCTION("""COMPUTED_VALUE"""),40755)</f>
        <v>40755</v>
      </c>
      <c r="G4552" s="9" t="str">
        <f ca="1">IFERROR(__xludf.DUMMYFUNCTION("""COMPUTED_VALUE"""),"1 USD = 86.8906 PKR")</f>
        <v>1 USD = 86.8906 PKR</v>
      </c>
      <c r="H4552" s="9" t="str">
        <f ca="1">IFERROR(__xludf.DUMMYFUNCTION("""COMPUTED_VALUE"""),"USD PKR rate for 31/07/2011")</f>
        <v>USD PKR rate for 31/07/2011</v>
      </c>
      <c r="I4552" s="9"/>
    </row>
    <row r="4553" spans="1:9" ht="14.25" customHeight="1" x14ac:dyDescent="0.3">
      <c r="A4553" s="10">
        <v>44270</v>
      </c>
      <c r="B4553" s="7">
        <v>157.02629999999999</v>
      </c>
      <c r="C4553" s="8">
        <f t="shared" si="35"/>
        <v>178.25680784669763</v>
      </c>
      <c r="D4553" s="9">
        <f t="shared" si="34"/>
        <v>74.200744471494232</v>
      </c>
      <c r="E4553" s="9"/>
      <c r="F4553" s="9">
        <f ca="1">IFERROR(__xludf.DUMMYFUNCTION("""COMPUTED_VALUE"""),40754)</f>
        <v>40754</v>
      </c>
      <c r="G4553" s="9" t="str">
        <f ca="1">IFERROR(__xludf.DUMMYFUNCTION("""COMPUTED_VALUE"""),"1 USD = 86.806 PKR")</f>
        <v>1 USD = 86.806 PKR</v>
      </c>
      <c r="H4553" s="9" t="str">
        <f ca="1">IFERROR(__xludf.DUMMYFUNCTION("""COMPUTED_VALUE"""),"USD PKR rate for 30/07/2011")</f>
        <v>USD PKR rate for 30/07/2011</v>
      </c>
      <c r="I4553" s="9"/>
    </row>
    <row r="4554" spans="1:9" ht="14.25" customHeight="1" x14ac:dyDescent="0.3">
      <c r="A4554" s="10">
        <v>44271</v>
      </c>
      <c r="B4554" s="7">
        <v>156.72300000000001</v>
      </c>
      <c r="C4554" s="8">
        <f t="shared" si="35"/>
        <v>178.28868903548926</v>
      </c>
      <c r="D4554" s="9">
        <f t="shared" si="34"/>
        <v>74.203482304291498</v>
      </c>
      <c r="E4554" s="9"/>
      <c r="F4554" s="9">
        <f ca="1">IFERROR(__xludf.DUMMYFUNCTION("""COMPUTED_VALUE"""),40753)</f>
        <v>40753</v>
      </c>
      <c r="G4554" s="9" t="str">
        <f ca="1">IFERROR(__xludf.DUMMYFUNCTION("""COMPUTED_VALUE"""),"1 USD = 86.806 PKR")</f>
        <v>1 USD = 86.806 PKR</v>
      </c>
      <c r="H4554" s="9" t="str">
        <f ca="1">IFERROR(__xludf.DUMMYFUNCTION("""COMPUTED_VALUE"""),"USD PKR rate for 29/07/2011")</f>
        <v>USD PKR rate for 29/07/2011</v>
      </c>
      <c r="I4554" s="9"/>
    </row>
    <row r="4555" spans="1:9" ht="14.25" customHeight="1" x14ac:dyDescent="0.3">
      <c r="A4555" s="10">
        <v>44272</v>
      </c>
      <c r="B4555" s="7">
        <v>156.03749999999999</v>
      </c>
      <c r="C4555" s="8">
        <f t="shared" si="35"/>
        <v>178.32057592622417</v>
      </c>
      <c r="D4555" s="9">
        <f t="shared" si="34"/>
        <v>74.206220137088764</v>
      </c>
      <c r="E4555" s="9"/>
      <c r="F4555" s="9">
        <f ca="1">IFERROR(__xludf.DUMMYFUNCTION("""COMPUTED_VALUE"""),40752)</f>
        <v>40752</v>
      </c>
      <c r="G4555" s="9" t="str">
        <f ca="1">IFERROR(__xludf.DUMMYFUNCTION("""COMPUTED_VALUE"""),"1 USD = 86.2017 PKR")</f>
        <v>1 USD = 86.2017 PKR</v>
      </c>
      <c r="H4555" s="9" t="str">
        <f ca="1">IFERROR(__xludf.DUMMYFUNCTION("""COMPUTED_VALUE"""),"USD PKR rate for 28/07/2011")</f>
        <v>USD PKR rate for 28/07/2011</v>
      </c>
      <c r="I4555" s="9"/>
    </row>
    <row r="4556" spans="1:9" ht="14.25" customHeight="1" x14ac:dyDescent="0.3">
      <c r="A4556" s="10">
        <v>44273</v>
      </c>
      <c r="B4556" s="7">
        <v>155.5796</v>
      </c>
      <c r="C4556" s="8">
        <f t="shared" si="35"/>
        <v>178.35246851992204</v>
      </c>
      <c r="D4556" s="9">
        <f t="shared" si="34"/>
        <v>74.208957969886029</v>
      </c>
      <c r="E4556" s="9"/>
      <c r="F4556" s="9">
        <f ca="1">IFERROR(__xludf.DUMMYFUNCTION("""COMPUTED_VALUE"""),40751)</f>
        <v>40751</v>
      </c>
      <c r="G4556" s="9" t="str">
        <f ca="1">IFERROR(__xludf.DUMMYFUNCTION("""COMPUTED_VALUE"""),"1 USD = 87.0008 PKR")</f>
        <v>1 USD = 87.0008 PKR</v>
      </c>
      <c r="H4556" s="9" t="str">
        <f ca="1">IFERROR(__xludf.DUMMYFUNCTION("""COMPUTED_VALUE"""),"USD PKR rate for 27/07/2011")</f>
        <v>USD PKR rate for 27/07/2011</v>
      </c>
      <c r="I4556" s="9"/>
    </row>
    <row r="4557" spans="1:9" ht="14.25" customHeight="1" x14ac:dyDescent="0.3">
      <c r="A4557" s="10">
        <v>44274</v>
      </c>
      <c r="B4557" s="7">
        <v>155.9991</v>
      </c>
      <c r="C4557" s="8">
        <f t="shared" si="35"/>
        <v>178.38436681760277</v>
      </c>
      <c r="D4557" s="9">
        <f t="shared" si="34"/>
        <v>74.211695802683295</v>
      </c>
      <c r="E4557" s="9"/>
      <c r="F4557" s="9">
        <f ca="1">IFERROR(__xludf.DUMMYFUNCTION("""COMPUTED_VALUE"""),40750)</f>
        <v>40750</v>
      </c>
      <c r="G4557" s="9" t="str">
        <f ca="1">IFERROR(__xludf.DUMMYFUNCTION("""COMPUTED_VALUE"""),"1 USD = 86.1245 PKR")</f>
        <v>1 USD = 86.1245 PKR</v>
      </c>
      <c r="H4557" s="9" t="str">
        <f ca="1">IFERROR(__xludf.DUMMYFUNCTION("""COMPUTED_VALUE"""),"USD PKR rate for 26/07/2011")</f>
        <v>USD PKR rate for 26/07/2011</v>
      </c>
      <c r="I4557" s="9"/>
    </row>
    <row r="4558" spans="1:9" ht="14.25" customHeight="1" x14ac:dyDescent="0.3">
      <c r="A4558" s="10">
        <v>44275</v>
      </c>
      <c r="B4558" s="7">
        <v>155.9999</v>
      </c>
      <c r="C4558" s="8">
        <f t="shared" si="35"/>
        <v>178.41627082028683</v>
      </c>
      <c r="D4558" s="9">
        <f t="shared" si="34"/>
        <v>74.21443363548056</v>
      </c>
      <c r="E4558" s="9"/>
      <c r="F4558" s="9">
        <f ca="1">IFERROR(__xludf.DUMMYFUNCTION("""COMPUTED_VALUE"""),40749)</f>
        <v>40749</v>
      </c>
      <c r="G4558" s="9" t="str">
        <f ca="1">IFERROR(__xludf.DUMMYFUNCTION("""COMPUTED_VALUE"""),"1 USD = 85.8714 PKR")</f>
        <v>1 USD = 85.8714 PKR</v>
      </c>
      <c r="H4558" s="9" t="str">
        <f ca="1">IFERROR(__xludf.DUMMYFUNCTION("""COMPUTED_VALUE"""),"USD PKR rate for 25/07/2011")</f>
        <v>USD PKR rate for 25/07/2011</v>
      </c>
      <c r="I4558" s="9"/>
    </row>
    <row r="4559" spans="1:9" ht="14.25" customHeight="1" x14ac:dyDescent="0.3">
      <c r="A4559" s="10">
        <v>44276</v>
      </c>
      <c r="B4559" s="7">
        <v>155.8561</v>
      </c>
      <c r="C4559" s="8">
        <f t="shared" si="35"/>
        <v>178.44818052899438</v>
      </c>
      <c r="D4559" s="9">
        <f t="shared" si="34"/>
        <v>74.217171468277826</v>
      </c>
      <c r="E4559" s="9"/>
      <c r="F4559" s="9">
        <f ca="1">IFERROR(__xludf.DUMMYFUNCTION("""COMPUTED_VALUE"""),40748)</f>
        <v>40748</v>
      </c>
      <c r="G4559" s="9" t="str">
        <f ca="1">IFERROR(__xludf.DUMMYFUNCTION("""COMPUTED_VALUE"""),"1 USD = 85.9347 PKR")</f>
        <v>1 USD = 85.9347 PKR</v>
      </c>
      <c r="H4559" s="9" t="str">
        <f ca="1">IFERROR(__xludf.DUMMYFUNCTION("""COMPUTED_VALUE"""),"USD PKR rate for 24/07/2011")</f>
        <v>USD PKR rate for 24/07/2011</v>
      </c>
      <c r="I4559" s="9"/>
    </row>
    <row r="4560" spans="1:9" ht="14.25" customHeight="1" x14ac:dyDescent="0.3">
      <c r="A4560" s="10">
        <v>44277</v>
      </c>
      <c r="B4560" s="7">
        <v>155.68450000000001</v>
      </c>
      <c r="C4560" s="8">
        <f t="shared" si="35"/>
        <v>178.48009594474593</v>
      </c>
      <c r="D4560" s="9">
        <f t="shared" si="34"/>
        <v>74.219909301075091</v>
      </c>
      <c r="E4560" s="9"/>
      <c r="F4560" s="9">
        <f ca="1">IFERROR(__xludf.DUMMYFUNCTION("""COMPUTED_VALUE"""),40747)</f>
        <v>40747</v>
      </c>
      <c r="G4560" s="9" t="str">
        <f ca="1">IFERROR(__xludf.DUMMYFUNCTION("""COMPUTED_VALUE"""),"1 USD = 86.0032 PKR")</f>
        <v>1 USD = 86.0032 PKR</v>
      </c>
      <c r="H4560" s="9" t="str">
        <f ca="1">IFERROR(__xludf.DUMMYFUNCTION("""COMPUTED_VALUE"""),"USD PKR rate for 23/07/2011")</f>
        <v>USD PKR rate for 23/07/2011</v>
      </c>
      <c r="I4560" s="9"/>
    </row>
    <row r="4561" spans="1:9" ht="14.25" customHeight="1" x14ac:dyDescent="0.3">
      <c r="A4561" s="10">
        <v>44278</v>
      </c>
      <c r="B4561" s="7">
        <v>156.1148</v>
      </c>
      <c r="C4561" s="8">
        <f t="shared" si="35"/>
        <v>178.51201706856219</v>
      </c>
      <c r="D4561" s="9">
        <f t="shared" si="34"/>
        <v>74.222647133872357</v>
      </c>
      <c r="E4561" s="9"/>
      <c r="F4561" s="9">
        <f ca="1">IFERROR(__xludf.DUMMYFUNCTION("""COMPUTED_VALUE"""),40746)</f>
        <v>40746</v>
      </c>
      <c r="G4561" s="9" t="str">
        <f ca="1">IFERROR(__xludf.DUMMYFUNCTION("""COMPUTED_VALUE"""),"1 USD = 86.0032 PKR")</f>
        <v>1 USD = 86.0032 PKR</v>
      </c>
      <c r="H4561" s="9" t="str">
        <f ca="1">IFERROR(__xludf.DUMMYFUNCTION("""COMPUTED_VALUE"""),"USD PKR rate for 22/07/2011")</f>
        <v>USD PKR rate for 22/07/2011</v>
      </c>
      <c r="I4561" s="9"/>
    </row>
    <row r="4562" spans="1:9" ht="14.25" customHeight="1" x14ac:dyDescent="0.3">
      <c r="A4562" s="10">
        <v>44279</v>
      </c>
      <c r="B4562" s="7">
        <v>155.3708</v>
      </c>
      <c r="C4562" s="8">
        <f t="shared" si="35"/>
        <v>178.54394390146405</v>
      </c>
      <c r="D4562" s="9">
        <f t="shared" si="34"/>
        <v>74.225384966669623</v>
      </c>
      <c r="E4562" s="9"/>
      <c r="F4562" s="9">
        <f ca="1">IFERROR(__xludf.DUMMYFUNCTION("""COMPUTED_VALUE"""),40745)</f>
        <v>40745</v>
      </c>
      <c r="G4562" s="9" t="str">
        <f ca="1">IFERROR(__xludf.DUMMYFUNCTION("""COMPUTED_VALUE"""),"1 USD = 86.6469 PKR")</f>
        <v>1 USD = 86.6469 PKR</v>
      </c>
      <c r="H4562" s="9" t="str">
        <f ca="1">IFERROR(__xludf.DUMMYFUNCTION("""COMPUTED_VALUE"""),"USD PKR rate for 21/07/2011")</f>
        <v>USD PKR rate for 21/07/2011</v>
      </c>
      <c r="I4562" s="9"/>
    </row>
    <row r="4563" spans="1:9" ht="14.25" customHeight="1" x14ac:dyDescent="0.3">
      <c r="A4563" s="10">
        <v>44280</v>
      </c>
      <c r="B4563" s="7">
        <v>154.8237</v>
      </c>
      <c r="C4563" s="8">
        <f t="shared" si="35"/>
        <v>178.57587644447258</v>
      </c>
      <c r="D4563" s="9">
        <f t="shared" si="34"/>
        <v>74.228122799466888</v>
      </c>
      <c r="E4563" s="9"/>
      <c r="F4563" s="9">
        <f ca="1">IFERROR(__xludf.DUMMYFUNCTION("""COMPUTED_VALUE"""),40744)</f>
        <v>40744</v>
      </c>
      <c r="G4563" s="9" t="str">
        <f ca="1">IFERROR(__xludf.DUMMYFUNCTION("""COMPUTED_VALUE"""),"1 USD = 85.7085 PKR")</f>
        <v>1 USD = 85.7085 PKR</v>
      </c>
      <c r="H4563" s="9" t="str">
        <f ca="1">IFERROR(__xludf.DUMMYFUNCTION("""COMPUTED_VALUE"""),"USD PKR rate for 20/07/2011")</f>
        <v>USD PKR rate for 20/07/2011</v>
      </c>
      <c r="I4563" s="9"/>
    </row>
    <row r="4564" spans="1:9" ht="14.25" customHeight="1" x14ac:dyDescent="0.3">
      <c r="A4564" s="10">
        <v>44281</v>
      </c>
      <c r="B4564" s="11">
        <v>155.00489999999999</v>
      </c>
      <c r="C4564" s="8">
        <f t="shared" si="35"/>
        <v>178.60781469860905</v>
      </c>
      <c r="D4564" s="9">
        <f t="shared" si="34"/>
        <v>74.230860632264154</v>
      </c>
      <c r="E4564" s="9"/>
      <c r="F4564" s="9">
        <f ca="1">IFERROR(__xludf.DUMMYFUNCTION("""COMPUTED_VALUE"""),40743)</f>
        <v>40743</v>
      </c>
      <c r="G4564" s="9" t="str">
        <f ca="1">IFERROR(__xludf.DUMMYFUNCTION("""COMPUTED_VALUE"""),"1 USD = 86.1125 PKR")</f>
        <v>1 USD = 86.1125 PKR</v>
      </c>
      <c r="H4564" s="9" t="str">
        <f ca="1">IFERROR(__xludf.DUMMYFUNCTION("""COMPUTED_VALUE"""),"USD PKR rate for 19/07/2011")</f>
        <v>USD PKR rate for 19/07/2011</v>
      </c>
      <c r="I4564" s="9"/>
    </row>
    <row r="4565" spans="1:9" ht="14.25" customHeight="1" x14ac:dyDescent="0.3">
      <c r="A4565" s="10">
        <v>44282</v>
      </c>
      <c r="B4565" s="11">
        <v>155.00989999999999</v>
      </c>
      <c r="C4565" s="8">
        <f t="shared" si="35"/>
        <v>178.63975866489486</v>
      </c>
      <c r="D4565" s="9">
        <f t="shared" si="34"/>
        <v>74.233598465061419</v>
      </c>
      <c r="E4565" s="9"/>
      <c r="F4565" s="9">
        <f ca="1">IFERROR(__xludf.DUMMYFUNCTION("""COMPUTED_VALUE"""),40742)</f>
        <v>40742</v>
      </c>
      <c r="G4565" s="9" t="str">
        <f ca="1">IFERROR(__xludf.DUMMYFUNCTION("""COMPUTED_VALUE"""),"1 USD = 86.5058 PKR")</f>
        <v>1 USD = 86.5058 PKR</v>
      </c>
      <c r="H4565" s="9" t="str">
        <f ca="1">IFERROR(__xludf.DUMMYFUNCTION("""COMPUTED_VALUE"""),"USD PKR rate for 18/07/2011")</f>
        <v>USD PKR rate for 18/07/2011</v>
      </c>
      <c r="I4565" s="9"/>
    </row>
    <row r="4566" spans="1:9" ht="14.25" customHeight="1" x14ac:dyDescent="0.3">
      <c r="A4566" s="10">
        <v>44283</v>
      </c>
      <c r="B4566" s="11">
        <v>154.62479999999999</v>
      </c>
      <c r="C4566" s="8">
        <f t="shared" si="35"/>
        <v>178.67170834435146</v>
      </c>
      <c r="D4566" s="9">
        <f t="shared" si="34"/>
        <v>74.236336297858685</v>
      </c>
      <c r="E4566" s="9"/>
      <c r="F4566" s="9">
        <f ca="1">IFERROR(__xludf.DUMMYFUNCTION("""COMPUTED_VALUE"""),40741)</f>
        <v>40741</v>
      </c>
      <c r="G4566" s="9" t="str">
        <f ca="1">IFERROR(__xludf.DUMMYFUNCTION("""COMPUTED_VALUE"""),"1 USD = 75.6521 PKR")</f>
        <v>1 USD = 75.6521 PKR</v>
      </c>
      <c r="H4566" s="9" t="str">
        <f ca="1">IFERROR(__xludf.DUMMYFUNCTION("""COMPUTED_VALUE"""),"USD PKR rate for 17/07/2011")</f>
        <v>USD PKR rate for 17/07/2011</v>
      </c>
      <c r="I4566" s="9"/>
    </row>
    <row r="4567" spans="1:9" ht="14.25" customHeight="1" x14ac:dyDescent="0.3">
      <c r="A4567" s="10">
        <v>44284</v>
      </c>
      <c r="B4567" s="11">
        <v>153.9333</v>
      </c>
      <c r="C4567" s="8">
        <f t="shared" si="35"/>
        <v>178.70366373800101</v>
      </c>
      <c r="D4567" s="9">
        <f t="shared" si="34"/>
        <v>74.239074130655951</v>
      </c>
      <c r="E4567" s="9"/>
      <c r="F4567" s="9">
        <f ca="1">IFERROR(__xludf.DUMMYFUNCTION("""COMPUTED_VALUE"""),40740)</f>
        <v>40740</v>
      </c>
      <c r="G4567" s="9" t="str">
        <f ca="1">IFERROR(__xludf.DUMMYFUNCTION("""COMPUTED_VALUE"""),"1 USD = 75.5724 PKR")</f>
        <v>1 USD = 75.5724 PKR</v>
      </c>
      <c r="H4567" s="9" t="str">
        <f ca="1">IFERROR(__xludf.DUMMYFUNCTION("""COMPUTED_VALUE"""),"USD PKR rate for 16/07/2011")</f>
        <v>USD PKR rate for 16/07/2011</v>
      </c>
      <c r="I4567" s="9"/>
    </row>
    <row r="4568" spans="1:9" ht="14.25" customHeight="1" x14ac:dyDescent="0.3">
      <c r="A4568" s="10">
        <v>44285</v>
      </c>
      <c r="B4568" s="11">
        <v>153.0849</v>
      </c>
      <c r="C4568" s="8">
        <f t="shared" si="35"/>
        <v>178.73562484686531</v>
      </c>
      <c r="D4568" s="9">
        <f t="shared" si="34"/>
        <v>74.241811963453216</v>
      </c>
      <c r="E4568" s="9"/>
      <c r="F4568" s="9">
        <f ca="1">IFERROR(__xludf.DUMMYFUNCTION("""COMPUTED_VALUE"""),40739)</f>
        <v>40739</v>
      </c>
      <c r="G4568" s="9" t="str">
        <f ca="1">IFERROR(__xludf.DUMMYFUNCTION("""COMPUTED_VALUE"""),"1 USD = 86.1601 PKR")</f>
        <v>1 USD = 86.1601 PKR</v>
      </c>
      <c r="H4568" s="9" t="str">
        <f ca="1">IFERROR(__xludf.DUMMYFUNCTION("""COMPUTED_VALUE"""),"USD PKR rate for 15/07/2011")</f>
        <v>USD PKR rate for 15/07/2011</v>
      </c>
      <c r="I4568" s="9"/>
    </row>
    <row r="4569" spans="1:9" ht="14.25" customHeight="1" x14ac:dyDescent="0.3">
      <c r="A4569" s="10">
        <v>44286</v>
      </c>
      <c r="B4569" s="11">
        <v>152.64959999999999</v>
      </c>
      <c r="C4569" s="8">
        <f t="shared" si="35"/>
        <v>178.76759167196653</v>
      </c>
      <c r="D4569" s="9">
        <f t="shared" si="34"/>
        <v>74.244549796250482</v>
      </c>
      <c r="E4569" s="9"/>
      <c r="F4569" s="9">
        <f ca="1">IFERROR(__xludf.DUMMYFUNCTION("""COMPUTED_VALUE"""),40738)</f>
        <v>40738</v>
      </c>
      <c r="G4569" s="9" t="str">
        <f ca="1">IFERROR(__xludf.DUMMYFUNCTION("""COMPUTED_VALUE"""),"1 USD = 86.1898 PKR")</f>
        <v>1 USD = 86.1898 PKR</v>
      </c>
      <c r="H4569" s="9" t="str">
        <f ca="1">IFERROR(__xludf.DUMMYFUNCTION("""COMPUTED_VALUE"""),"USD PKR rate for 14/07/2011")</f>
        <v>USD PKR rate for 14/07/2011</v>
      </c>
      <c r="I4569" s="9"/>
    </row>
    <row r="4570" spans="1:9" ht="14.25" customHeight="1" x14ac:dyDescent="0.3">
      <c r="A4570" s="10">
        <v>44287</v>
      </c>
      <c r="B4570" s="11">
        <v>152.78039999999999</v>
      </c>
      <c r="C4570" s="8">
        <f t="shared" si="35"/>
        <v>178.79956421432701</v>
      </c>
      <c r="D4570" s="9">
        <f t="shared" si="34"/>
        <v>74.247287629047747</v>
      </c>
      <c r="E4570" s="9"/>
      <c r="F4570" s="9">
        <f ca="1">IFERROR(__xludf.DUMMYFUNCTION("""COMPUTED_VALUE"""),40737)</f>
        <v>40737</v>
      </c>
      <c r="G4570" s="9" t="str">
        <f ca="1">IFERROR(__xludf.DUMMYFUNCTION("""COMPUTED_VALUE"""),"1 USD = 85.9195 PKR")</f>
        <v>1 USD = 85.9195 PKR</v>
      </c>
      <c r="H4570" s="9" t="str">
        <f ca="1">IFERROR(__xludf.DUMMYFUNCTION("""COMPUTED_VALUE"""),"USD PKR rate for 13/07/2011")</f>
        <v>USD PKR rate for 13/07/2011</v>
      </c>
      <c r="I4570" s="9"/>
    </row>
    <row r="4571" spans="1:9" ht="14.25" customHeight="1" x14ac:dyDescent="0.3">
      <c r="A4571" s="10">
        <v>44288</v>
      </c>
      <c r="B4571" s="11">
        <v>153.55029999999999</v>
      </c>
      <c r="C4571" s="8">
        <f t="shared" si="35"/>
        <v>178.83154247496927</v>
      </c>
      <c r="D4571" s="9">
        <f t="shared" si="34"/>
        <v>74.250025461845013</v>
      </c>
      <c r="E4571" s="9"/>
      <c r="F4571" s="9">
        <f ca="1">IFERROR(__xludf.DUMMYFUNCTION("""COMPUTED_VALUE"""),40736)</f>
        <v>40736</v>
      </c>
      <c r="G4571" s="9" t="str">
        <f ca="1">IFERROR(__xludf.DUMMYFUNCTION("""COMPUTED_VALUE"""),"1 USD = 86.3083 PKR")</f>
        <v>1 USD = 86.3083 PKR</v>
      </c>
      <c r="H4571" s="9" t="str">
        <f ca="1">IFERROR(__xludf.DUMMYFUNCTION("""COMPUTED_VALUE"""),"USD PKR rate for 12/07/2011")</f>
        <v>USD PKR rate for 12/07/2011</v>
      </c>
      <c r="I4571" s="9"/>
    </row>
    <row r="4572" spans="1:9" ht="14.25" customHeight="1" x14ac:dyDescent="0.3">
      <c r="A4572" s="10">
        <v>44289</v>
      </c>
      <c r="B4572" s="11">
        <v>153.55549999999999</v>
      </c>
      <c r="C4572" s="8">
        <f t="shared" si="35"/>
        <v>178.86352645491607</v>
      </c>
      <c r="D4572" s="9">
        <f t="shared" si="34"/>
        <v>74.252763294642278</v>
      </c>
      <c r="E4572" s="9"/>
      <c r="F4572" s="9">
        <f ca="1">IFERROR(__xludf.DUMMYFUNCTION("""COMPUTED_VALUE"""),40735)</f>
        <v>40735</v>
      </c>
      <c r="G4572" s="9" t="str">
        <f ca="1">IFERROR(__xludf.DUMMYFUNCTION("""COMPUTED_VALUE"""),"1 USD = 85.7674 PKR")</f>
        <v>1 USD = 85.7674 PKR</v>
      </c>
      <c r="H4572" s="9" t="str">
        <f ca="1">IFERROR(__xludf.DUMMYFUNCTION("""COMPUTED_VALUE"""),"USD PKR rate for 11/07/2011")</f>
        <v>USD PKR rate for 11/07/2011</v>
      </c>
      <c r="I4572" s="9"/>
    </row>
    <row r="4573" spans="1:9" ht="14.25" customHeight="1" x14ac:dyDescent="0.3">
      <c r="A4573" s="10">
        <v>44290</v>
      </c>
      <c r="B4573" s="11">
        <v>152.81399999999999</v>
      </c>
      <c r="C4573" s="8">
        <f t="shared" si="35"/>
        <v>178.89551615519025</v>
      </c>
      <c r="D4573" s="9">
        <f t="shared" si="34"/>
        <v>74.255501127439544</v>
      </c>
      <c r="E4573" s="9"/>
      <c r="F4573" s="9">
        <f ca="1">IFERROR(__xludf.DUMMYFUNCTION("""COMPUTED_VALUE"""),40734)</f>
        <v>40734</v>
      </c>
      <c r="G4573" s="9" t="str">
        <f ca="1">IFERROR(__xludf.DUMMYFUNCTION("""COMPUTED_VALUE"""),"1 USD = 85.6543 PKR")</f>
        <v>1 USD = 85.6543 PKR</v>
      </c>
      <c r="H4573" s="9" t="str">
        <f ca="1">IFERROR(__xludf.DUMMYFUNCTION("""COMPUTED_VALUE"""),"USD PKR rate for 10/07/2011")</f>
        <v>USD PKR rate for 10/07/2011</v>
      </c>
      <c r="I4573" s="9"/>
    </row>
    <row r="4574" spans="1:9" ht="14.25" customHeight="1" x14ac:dyDescent="0.3">
      <c r="A4574" s="10">
        <v>44291</v>
      </c>
      <c r="B4574" s="11">
        <v>152.57740000000001</v>
      </c>
      <c r="C4574" s="8">
        <f t="shared" si="35"/>
        <v>178.92751157681494</v>
      </c>
      <c r="D4574" s="9">
        <f t="shared" si="34"/>
        <v>74.25823896023681</v>
      </c>
      <c r="E4574" s="9"/>
      <c r="F4574" s="9">
        <f ca="1">IFERROR(__xludf.DUMMYFUNCTION("""COMPUTED_VALUE"""),40733)</f>
        <v>40733</v>
      </c>
      <c r="G4574" s="9" t="str">
        <f ca="1">IFERROR(__xludf.DUMMYFUNCTION("""COMPUTED_VALUE"""),"1 USD = 85.4729 PKR")</f>
        <v>1 USD = 85.4729 PKR</v>
      </c>
      <c r="H4574" s="9" t="str">
        <f ca="1">IFERROR(__xludf.DUMMYFUNCTION("""COMPUTED_VALUE"""),"USD PKR rate for 09/07/2011")</f>
        <v>USD PKR rate for 09/07/2011</v>
      </c>
      <c r="I4574" s="9"/>
    </row>
    <row r="4575" spans="1:9" ht="14.25" customHeight="1" x14ac:dyDescent="0.3">
      <c r="A4575" s="10">
        <v>44292</v>
      </c>
      <c r="B4575" s="11">
        <v>153.221</v>
      </c>
      <c r="C4575" s="8">
        <f t="shared" si="35"/>
        <v>178.95951272081317</v>
      </c>
      <c r="D4575" s="9">
        <f t="shared" si="34"/>
        <v>74.260976793034075</v>
      </c>
      <c r="E4575" s="9"/>
      <c r="F4575" s="9">
        <f ca="1">IFERROR(__xludf.DUMMYFUNCTION("""COMPUTED_VALUE"""),40732)</f>
        <v>40732</v>
      </c>
      <c r="G4575" s="9" t="str">
        <f ca="1">IFERROR(__xludf.DUMMYFUNCTION("""COMPUTED_VALUE"""),"1 USD = 85.4729 PKR")</f>
        <v>1 USD = 85.4729 PKR</v>
      </c>
      <c r="H4575" s="9" t="str">
        <f ca="1">IFERROR(__xludf.DUMMYFUNCTION("""COMPUTED_VALUE"""),"USD PKR rate for 08/07/2011")</f>
        <v>USD PKR rate for 08/07/2011</v>
      </c>
      <c r="I4575" s="9"/>
    </row>
    <row r="4576" spans="1:9" ht="14.25" customHeight="1" x14ac:dyDescent="0.3">
      <c r="A4576" s="10">
        <v>44293</v>
      </c>
      <c r="B4576" s="11">
        <v>153.1713</v>
      </c>
      <c r="C4576" s="8">
        <f t="shared" si="35"/>
        <v>178.9915195882088</v>
      </c>
      <c r="D4576" s="9">
        <f t="shared" si="34"/>
        <v>74.263714625831341</v>
      </c>
      <c r="E4576" s="9"/>
      <c r="F4576" s="9">
        <f ca="1">IFERROR(__xludf.DUMMYFUNCTION("""COMPUTED_VALUE"""),40731)</f>
        <v>40731</v>
      </c>
      <c r="G4576" s="9" t="str">
        <f ca="1">IFERROR(__xludf.DUMMYFUNCTION("""COMPUTED_VALUE"""),"1 USD = 85.9045 PKR")</f>
        <v>1 USD = 85.9045 PKR</v>
      </c>
      <c r="H4576" s="9" t="str">
        <f ca="1">IFERROR(__xludf.DUMMYFUNCTION("""COMPUTED_VALUE"""),"USD PKR rate for 07/07/2011")</f>
        <v>USD PKR rate for 07/07/2011</v>
      </c>
      <c r="I4576" s="9"/>
    </row>
    <row r="4577" spans="1:9" ht="14.25" customHeight="1" x14ac:dyDescent="0.3">
      <c r="A4577" s="10">
        <v>44294</v>
      </c>
      <c r="B4577" s="11">
        <v>152.7688</v>
      </c>
      <c r="C4577" s="8">
        <f t="shared" si="35"/>
        <v>179.02353218002523</v>
      </c>
      <c r="D4577" s="9">
        <f t="shared" si="34"/>
        <v>74.266452458628606</v>
      </c>
      <c r="E4577" s="9"/>
      <c r="F4577" s="9">
        <f ca="1">IFERROR(__xludf.DUMMYFUNCTION("""COMPUTED_VALUE"""),40730)</f>
        <v>40730</v>
      </c>
      <c r="G4577" s="9" t="str">
        <f ca="1">IFERROR(__xludf.DUMMYFUNCTION("""COMPUTED_VALUE"""),"1 USD = 86.1992 PKR")</f>
        <v>1 USD = 86.1992 PKR</v>
      </c>
      <c r="H4577" s="9" t="str">
        <f ca="1">IFERROR(__xludf.DUMMYFUNCTION("""COMPUTED_VALUE"""),"USD PKR rate for 06/07/2011")</f>
        <v>USD PKR rate for 06/07/2011</v>
      </c>
      <c r="I4577" s="9"/>
    </row>
    <row r="4578" spans="1:9" ht="14.25" customHeight="1" x14ac:dyDescent="0.3">
      <c r="A4578" s="10">
        <v>44295</v>
      </c>
      <c r="B4578" s="11">
        <v>152.74039999999999</v>
      </c>
      <c r="C4578" s="8">
        <f t="shared" si="35"/>
        <v>179.05555049728628</v>
      </c>
      <c r="D4578" s="9">
        <f t="shared" si="34"/>
        <v>74.269190291425872</v>
      </c>
      <c r="E4578" s="9"/>
      <c r="F4578" s="9">
        <f ca="1">IFERROR(__xludf.DUMMYFUNCTION("""COMPUTED_VALUE"""),40729)</f>
        <v>40729</v>
      </c>
      <c r="G4578" s="9" t="str">
        <f ca="1">IFERROR(__xludf.DUMMYFUNCTION("""COMPUTED_VALUE"""),"1 USD = 85.5883 PKR")</f>
        <v>1 USD = 85.5883 PKR</v>
      </c>
      <c r="H4578" s="9" t="str">
        <f ca="1">IFERROR(__xludf.DUMMYFUNCTION("""COMPUTED_VALUE"""),"USD PKR rate for 05/07/2011")</f>
        <v>USD PKR rate for 05/07/2011</v>
      </c>
      <c r="I4578" s="9"/>
    </row>
    <row r="4579" spans="1:9" ht="14.25" customHeight="1" x14ac:dyDescent="0.3">
      <c r="A4579" s="10">
        <v>44296</v>
      </c>
      <c r="B4579" s="11">
        <v>152.88059999999999</v>
      </c>
      <c r="C4579" s="8">
        <f t="shared" si="35"/>
        <v>179.08757454101598</v>
      </c>
      <c r="D4579" s="9">
        <f t="shared" si="34"/>
        <v>74.271928124223138</v>
      </c>
      <c r="E4579" s="9"/>
      <c r="F4579" s="9">
        <f ca="1">IFERROR(__xludf.DUMMYFUNCTION("""COMPUTED_VALUE"""),40728)</f>
        <v>40728</v>
      </c>
      <c r="G4579" s="9" t="str">
        <f ca="1">IFERROR(__xludf.DUMMYFUNCTION("""COMPUTED_VALUE"""),"1 USD = 85.9506 PKR")</f>
        <v>1 USD = 85.9506 PKR</v>
      </c>
      <c r="H4579" s="9" t="str">
        <f ca="1">IFERROR(__xludf.DUMMYFUNCTION("""COMPUTED_VALUE"""),"USD PKR rate for 04/07/2011")</f>
        <v>USD PKR rate for 04/07/2011</v>
      </c>
      <c r="I4579" s="9"/>
    </row>
    <row r="4580" spans="1:9" ht="14.25" customHeight="1" x14ac:dyDescent="0.3">
      <c r="A4580" s="10">
        <v>44297</v>
      </c>
      <c r="B4580" s="11">
        <v>152.7526</v>
      </c>
      <c r="C4580" s="8">
        <f t="shared" si="35"/>
        <v>179.11960431223844</v>
      </c>
      <c r="D4580" s="9">
        <f t="shared" si="34"/>
        <v>74.274665957020403</v>
      </c>
      <c r="E4580" s="9"/>
      <c r="F4580" s="9">
        <f ca="1">IFERROR(__xludf.DUMMYFUNCTION("""COMPUTED_VALUE"""),40727)</f>
        <v>40727</v>
      </c>
      <c r="G4580" s="9" t="str">
        <f ca="1">IFERROR(__xludf.DUMMYFUNCTION("""COMPUTED_VALUE"""),"1 USD = 86.098 PKR")</f>
        <v>1 USD = 86.098 PKR</v>
      </c>
      <c r="H4580" s="9" t="str">
        <f ca="1">IFERROR(__xludf.DUMMYFUNCTION("""COMPUTED_VALUE"""),"USD PKR rate for 03/07/2011")</f>
        <v>USD PKR rate for 03/07/2011</v>
      </c>
      <c r="I4580" s="9"/>
    </row>
    <row r="4581" spans="1:9" ht="14.25" customHeight="1" x14ac:dyDescent="0.3">
      <c r="A4581" s="10">
        <v>44298</v>
      </c>
      <c r="B4581" s="11">
        <v>152.5462</v>
      </c>
      <c r="C4581" s="8">
        <f t="shared" si="35"/>
        <v>179.1516398119781</v>
      </c>
      <c r="D4581" s="9">
        <f t="shared" si="34"/>
        <v>74.277403789817669</v>
      </c>
      <c r="E4581" s="9"/>
      <c r="F4581" s="9">
        <f ca="1">IFERROR(__xludf.DUMMYFUNCTION("""COMPUTED_VALUE"""),40726)</f>
        <v>40726</v>
      </c>
      <c r="G4581" s="9" t="str">
        <f ca="1">IFERROR(__xludf.DUMMYFUNCTION("""COMPUTED_VALUE"""),"1 USD = 86.0605 PKR")</f>
        <v>1 USD = 86.0605 PKR</v>
      </c>
      <c r="H4581" s="9" t="str">
        <f ca="1">IFERROR(__xludf.DUMMYFUNCTION("""COMPUTED_VALUE"""),"USD PKR rate for 02/07/2011")</f>
        <v>USD PKR rate for 02/07/2011</v>
      </c>
      <c r="I4581" s="9"/>
    </row>
    <row r="4582" spans="1:9" ht="14.25" customHeight="1" x14ac:dyDescent="0.3">
      <c r="A4582" s="10">
        <v>44299</v>
      </c>
      <c r="B4582" s="11">
        <v>152.9008</v>
      </c>
      <c r="C4582" s="8">
        <f t="shared" si="35"/>
        <v>179.18368104125946</v>
      </c>
      <c r="D4582" s="9">
        <f t="shared" si="34"/>
        <v>74.280141622614934</v>
      </c>
      <c r="E4582" s="9"/>
      <c r="F4582" s="9">
        <f ca="1">IFERROR(__xludf.DUMMYFUNCTION("""COMPUTED_VALUE"""),40725)</f>
        <v>40725</v>
      </c>
      <c r="G4582" s="9" t="str">
        <f ca="1">IFERROR(__xludf.DUMMYFUNCTION("""COMPUTED_VALUE"""),"1 USD = 86.0605 PKR")</f>
        <v>1 USD = 86.0605 PKR</v>
      </c>
      <c r="H4582" s="9" t="str">
        <f ca="1">IFERROR(__xludf.DUMMYFUNCTION("""COMPUTED_VALUE"""),"USD PKR rate for 01/07/2011")</f>
        <v>USD PKR rate for 01/07/2011</v>
      </c>
      <c r="I4582" s="9"/>
    </row>
    <row r="4583" spans="1:9" ht="14.25" customHeight="1" x14ac:dyDescent="0.3">
      <c r="A4583" s="10">
        <v>44300</v>
      </c>
      <c r="B4583" s="11">
        <v>152.89590000000001</v>
      </c>
      <c r="C4583" s="8">
        <f t="shared" si="35"/>
        <v>179.21572800110724</v>
      </c>
      <c r="D4583" s="9">
        <f t="shared" si="34"/>
        <v>74.2828794554122</v>
      </c>
      <c r="E4583" s="9"/>
      <c r="F4583" s="9">
        <f ca="1">IFERROR(__xludf.DUMMYFUNCTION("""COMPUTED_VALUE"""),40724)</f>
        <v>40724</v>
      </c>
      <c r="G4583" s="9" t="str">
        <f ca="1">IFERROR(__xludf.DUMMYFUNCTION("""COMPUTED_VALUE"""),"1 USD = 86.2053 PKR")</f>
        <v>1 USD = 86.2053 PKR</v>
      </c>
      <c r="H4583" s="9" t="str">
        <f ca="1">IFERROR(__xludf.DUMMYFUNCTION("""COMPUTED_VALUE"""),"USD PKR rate for 30/06/2011")</f>
        <v>USD PKR rate for 30/06/2011</v>
      </c>
      <c r="I4583" s="9"/>
    </row>
    <row r="4584" spans="1:9" ht="14.25" customHeight="1" x14ac:dyDescent="0.3">
      <c r="A4584" s="10">
        <v>44301</v>
      </c>
      <c r="B4584" s="11">
        <v>152.7054</v>
      </c>
      <c r="C4584" s="8">
        <f t="shared" si="35"/>
        <v>179.24778069254626</v>
      </c>
      <c r="D4584" s="9">
        <f t="shared" si="34"/>
        <v>74.285617288209465</v>
      </c>
      <c r="E4584" s="9"/>
      <c r="F4584" s="9">
        <f ca="1">IFERROR(__xludf.DUMMYFUNCTION("""COMPUTED_VALUE"""),40723)</f>
        <v>40723</v>
      </c>
      <c r="G4584" s="9" t="str">
        <f ca="1">IFERROR(__xludf.DUMMYFUNCTION("""COMPUTED_VALUE"""),"1 USD = 86.508 PKR")</f>
        <v>1 USD = 86.508 PKR</v>
      </c>
      <c r="H4584" s="9" t="str">
        <f ca="1">IFERROR(__xludf.DUMMYFUNCTION("""COMPUTED_VALUE"""),"USD PKR rate for 29/06/2011")</f>
        <v>USD PKR rate for 29/06/2011</v>
      </c>
      <c r="I4584" s="9"/>
    </row>
    <row r="4585" spans="1:9" ht="14.25" customHeight="1" x14ac:dyDescent="0.3">
      <c r="A4585" s="10">
        <v>44302</v>
      </c>
      <c r="B4585" s="11">
        <v>152.8023</v>
      </c>
      <c r="C4585" s="8">
        <f t="shared" si="35"/>
        <v>179.27983911660183</v>
      </c>
      <c r="D4585" s="9">
        <f t="shared" si="34"/>
        <v>74.288355121006731</v>
      </c>
      <c r="E4585" s="9"/>
      <c r="F4585" s="9">
        <f ca="1">IFERROR(__xludf.DUMMYFUNCTION("""COMPUTED_VALUE"""),40722)</f>
        <v>40722</v>
      </c>
      <c r="G4585" s="9" t="str">
        <f ca="1">IFERROR(__xludf.DUMMYFUNCTION("""COMPUTED_VALUE"""),"1 USD = 85.9934 PKR")</f>
        <v>1 USD = 85.9934 PKR</v>
      </c>
      <c r="H4585" s="9" t="str">
        <f ca="1">IFERROR(__xludf.DUMMYFUNCTION("""COMPUTED_VALUE"""),"USD PKR rate for 28/06/2011")</f>
        <v>USD PKR rate for 28/06/2011</v>
      </c>
      <c r="I4585" s="9"/>
    </row>
    <row r="4586" spans="1:9" ht="14.25" customHeight="1" x14ac:dyDescent="0.3">
      <c r="A4586" s="10">
        <v>44303</v>
      </c>
      <c r="B4586" s="11">
        <v>152.80549999999999</v>
      </c>
      <c r="C4586" s="8">
        <f t="shared" si="35"/>
        <v>179.31190327429914</v>
      </c>
      <c r="D4586" s="9">
        <f t="shared" si="34"/>
        <v>74.291092953803997</v>
      </c>
      <c r="E4586" s="9"/>
      <c r="F4586" s="9">
        <f ca="1">IFERROR(__xludf.DUMMYFUNCTION("""COMPUTED_VALUE"""),40721)</f>
        <v>40721</v>
      </c>
      <c r="G4586" s="9" t="str">
        <f ca="1">IFERROR(__xludf.DUMMYFUNCTION("""COMPUTED_VALUE"""),"1 USD = 86.402 PKR")</f>
        <v>1 USD = 86.402 PKR</v>
      </c>
      <c r="H4586" s="9" t="str">
        <f ca="1">IFERROR(__xludf.DUMMYFUNCTION("""COMPUTED_VALUE"""),"USD PKR rate for 27/06/2011")</f>
        <v>USD PKR rate for 27/06/2011</v>
      </c>
      <c r="I4586" s="9"/>
    </row>
    <row r="4587" spans="1:9" ht="14.25" customHeight="1" x14ac:dyDescent="0.3">
      <c r="A4587" s="10">
        <v>44304</v>
      </c>
      <c r="B4587" s="7">
        <v>153.37889999999999</v>
      </c>
      <c r="C4587" s="8">
        <f t="shared" si="35"/>
        <v>179.34397316666357</v>
      </c>
      <c r="D4587" s="9">
        <f t="shared" si="34"/>
        <v>74.293830786601262</v>
      </c>
      <c r="E4587" s="9"/>
      <c r="F4587" s="9">
        <f ca="1">IFERROR(__xludf.DUMMYFUNCTION("""COMPUTED_VALUE"""),40720)</f>
        <v>40720</v>
      </c>
      <c r="G4587" s="9" t="str">
        <f ca="1">IFERROR(__xludf.DUMMYFUNCTION("""COMPUTED_VALUE"""),"1 USD = 85.9443 PKR")</f>
        <v>1 USD = 85.9443 PKR</v>
      </c>
      <c r="H4587" s="9" t="str">
        <f ca="1">IFERROR(__xludf.DUMMYFUNCTION("""COMPUTED_VALUE"""),"USD PKR rate for 26/06/2011")</f>
        <v>USD PKR rate for 26/06/2011</v>
      </c>
      <c r="I4587" s="9"/>
    </row>
    <row r="4588" spans="1:9" ht="14.25" customHeight="1" x14ac:dyDescent="0.3">
      <c r="A4588" s="10">
        <v>44305</v>
      </c>
      <c r="B4588" s="7">
        <v>153.26179999999999</v>
      </c>
      <c r="C4588" s="8">
        <f t="shared" si="35"/>
        <v>179.3760487947209</v>
      </c>
      <c r="D4588" s="9">
        <f t="shared" si="34"/>
        <v>74.296568619398528</v>
      </c>
      <c r="E4588" s="9"/>
      <c r="F4588" s="9">
        <f ca="1">IFERROR(__xludf.DUMMYFUNCTION("""COMPUTED_VALUE"""),40719)</f>
        <v>40719</v>
      </c>
      <c r="G4588" s="9" t="str">
        <f ca="1">IFERROR(__xludf.DUMMYFUNCTION("""COMPUTED_VALUE"""),"1 USD = 85.9497 PKR")</f>
        <v>1 USD = 85.9497 PKR</v>
      </c>
      <c r="H4588" s="9" t="str">
        <f ca="1">IFERROR(__xludf.DUMMYFUNCTION("""COMPUTED_VALUE"""),"USD PKR rate for 25/06/2011")</f>
        <v>USD PKR rate for 25/06/2011</v>
      </c>
      <c r="I4588" s="9"/>
    </row>
    <row r="4589" spans="1:9" ht="14.25" customHeight="1" x14ac:dyDescent="0.3">
      <c r="A4589" s="10">
        <v>44306</v>
      </c>
      <c r="B4589" s="7">
        <v>152.90289999999999</v>
      </c>
      <c r="C4589" s="8">
        <f t="shared" si="35"/>
        <v>179.40813015949684</v>
      </c>
      <c r="D4589" s="9">
        <f t="shared" si="34"/>
        <v>74.299306452195793</v>
      </c>
      <c r="E4589" s="9"/>
      <c r="F4589" s="9">
        <f ca="1">IFERROR(__xludf.DUMMYFUNCTION("""COMPUTED_VALUE"""),40718)</f>
        <v>40718</v>
      </c>
      <c r="G4589" s="9" t="str">
        <f ca="1">IFERROR(__xludf.DUMMYFUNCTION("""COMPUTED_VALUE"""),"1 USD = 85.9497 PKR")</f>
        <v>1 USD = 85.9497 PKR</v>
      </c>
      <c r="H4589" s="9" t="str">
        <f ca="1">IFERROR(__xludf.DUMMYFUNCTION("""COMPUTED_VALUE"""),"USD PKR rate for 24/06/2011")</f>
        <v>USD PKR rate for 24/06/2011</v>
      </c>
      <c r="I4589" s="9"/>
    </row>
    <row r="4590" spans="1:9" ht="14.25" customHeight="1" x14ac:dyDescent="0.3">
      <c r="A4590" s="10">
        <v>44307</v>
      </c>
      <c r="B4590" s="7">
        <v>153.25389999999999</v>
      </c>
      <c r="C4590" s="8">
        <f t="shared" si="35"/>
        <v>179.44021726201743</v>
      </c>
      <c r="D4590" s="9">
        <f t="shared" si="34"/>
        <v>74.302044284993059</v>
      </c>
      <c r="E4590" s="9"/>
      <c r="F4590" s="9">
        <f ca="1">IFERROR(__xludf.DUMMYFUNCTION("""COMPUTED_VALUE"""),40717)</f>
        <v>40717</v>
      </c>
      <c r="G4590" s="9" t="str">
        <f ca="1">IFERROR(__xludf.DUMMYFUNCTION("""COMPUTED_VALUE"""),"1 USD = 85.4663 PKR")</f>
        <v>1 USD = 85.4663 PKR</v>
      </c>
      <c r="H4590" s="9" t="str">
        <f ca="1">IFERROR(__xludf.DUMMYFUNCTION("""COMPUTED_VALUE"""),"USD PKR rate for 23/06/2011")</f>
        <v>USD PKR rate for 23/06/2011</v>
      </c>
      <c r="I4590" s="9"/>
    </row>
    <row r="4591" spans="1:9" ht="14.25" customHeight="1" x14ac:dyDescent="0.3">
      <c r="A4591" s="10">
        <v>44308</v>
      </c>
      <c r="B4591" s="7">
        <v>153.5136</v>
      </c>
      <c r="C4591" s="8">
        <f t="shared" si="35"/>
        <v>179.4723101033089</v>
      </c>
      <c r="D4591" s="9">
        <f t="shared" si="34"/>
        <v>74.304782117790324</v>
      </c>
      <c r="E4591" s="9"/>
      <c r="F4591" s="9">
        <f ca="1">IFERROR(__xludf.DUMMYFUNCTION("""COMPUTED_VALUE"""),40716)</f>
        <v>40716</v>
      </c>
      <c r="G4591" s="9" t="str">
        <f ca="1">IFERROR(__xludf.DUMMYFUNCTION("""COMPUTED_VALUE"""),"1 USD = 86.1691 PKR")</f>
        <v>1 USD = 86.1691 PKR</v>
      </c>
      <c r="H4591" s="9" t="str">
        <f ca="1">IFERROR(__xludf.DUMMYFUNCTION("""COMPUTED_VALUE"""),"USD PKR rate for 22/06/2011")</f>
        <v>USD PKR rate for 22/06/2011</v>
      </c>
      <c r="I4591" s="9"/>
    </row>
    <row r="4592" spans="1:9" ht="14.25" customHeight="1" x14ac:dyDescent="0.3">
      <c r="A4592" s="10">
        <v>44309</v>
      </c>
      <c r="B4592" s="7">
        <v>153.4468</v>
      </c>
      <c r="C4592" s="8">
        <f t="shared" si="35"/>
        <v>179.50440868439753</v>
      </c>
      <c r="D4592" s="9">
        <f t="shared" si="34"/>
        <v>74.30751995058759</v>
      </c>
      <c r="E4592" s="9"/>
      <c r="F4592" s="9">
        <f ca="1">IFERROR(__xludf.DUMMYFUNCTION("""COMPUTED_VALUE"""),40715)</f>
        <v>40715</v>
      </c>
      <c r="G4592" s="9" t="str">
        <f ca="1">IFERROR(__xludf.DUMMYFUNCTION("""COMPUTED_VALUE"""),"1 USD = 85.8863 PKR")</f>
        <v>1 USD = 85.8863 PKR</v>
      </c>
      <c r="H4592" s="9" t="str">
        <f ca="1">IFERROR(__xludf.DUMMYFUNCTION("""COMPUTED_VALUE"""),"USD PKR rate for 21/06/2011")</f>
        <v>USD PKR rate for 21/06/2011</v>
      </c>
      <c r="I4592" s="9"/>
    </row>
    <row r="4593" spans="1:9" ht="14.25" customHeight="1" x14ac:dyDescent="0.3">
      <c r="A4593" s="10">
        <v>44310</v>
      </c>
      <c r="B4593" s="7">
        <v>153.11510000000001</v>
      </c>
      <c r="C4593" s="8">
        <f t="shared" si="35"/>
        <v>179.53651300631003</v>
      </c>
      <c r="D4593" s="9">
        <f t="shared" ref="D4593:D4847" si="36">(A4593-$A$3)/365.2524</f>
        <v>74.310257783384856</v>
      </c>
      <c r="E4593" s="9"/>
      <c r="F4593" s="9">
        <f ca="1">IFERROR(__xludf.DUMMYFUNCTION("""COMPUTED_VALUE"""),40714)</f>
        <v>40714</v>
      </c>
      <c r="G4593" s="9" t="str">
        <f ca="1">IFERROR(__xludf.DUMMYFUNCTION("""COMPUTED_VALUE"""),"1 USD = 86.2811 PKR")</f>
        <v>1 USD = 86.2811 PKR</v>
      </c>
      <c r="H4593" s="9" t="str">
        <f ca="1">IFERROR(__xludf.DUMMYFUNCTION("""COMPUTED_VALUE"""),"USD PKR rate for 20/06/2011")</f>
        <v>USD PKR rate for 20/06/2011</v>
      </c>
      <c r="I4593" s="9"/>
    </row>
    <row r="4594" spans="1:9" ht="14.25" customHeight="1" x14ac:dyDescent="0.3">
      <c r="A4594" s="10">
        <v>44311</v>
      </c>
      <c r="B4594" s="7">
        <v>153.27430000000001</v>
      </c>
      <c r="C4594" s="8">
        <f t="shared" ref="C4594:C4848" si="37">(1+$C$1)^D4594*$C$3</f>
        <v>179.56862307007287</v>
      </c>
      <c r="D4594" s="9">
        <f t="shared" si="36"/>
        <v>74.312995616182121</v>
      </c>
      <c r="E4594" s="9"/>
      <c r="F4594" s="9">
        <f ca="1">IFERROR(__xludf.DUMMYFUNCTION("""COMPUTED_VALUE"""),40713)</f>
        <v>40713</v>
      </c>
      <c r="G4594" s="9" t="str">
        <f ca="1">IFERROR(__xludf.DUMMYFUNCTION("""COMPUTED_VALUE"""),"1 USD = 86.4358 PKR")</f>
        <v>1 USD = 86.4358 PKR</v>
      </c>
      <c r="H4594" s="9" t="str">
        <f ca="1">IFERROR(__xludf.DUMMYFUNCTION("""COMPUTED_VALUE"""),"USD PKR rate for 19/06/2011")</f>
        <v>USD PKR rate for 19/06/2011</v>
      </c>
      <c r="I4594" s="9"/>
    </row>
    <row r="4595" spans="1:9" ht="14.25" customHeight="1" x14ac:dyDescent="0.3">
      <c r="A4595" s="10">
        <v>44312</v>
      </c>
      <c r="B4595" s="7">
        <v>154.00839999999999</v>
      </c>
      <c r="C4595" s="8">
        <f t="shared" si="37"/>
        <v>179.60073887671339</v>
      </c>
      <c r="D4595" s="9">
        <f t="shared" si="36"/>
        <v>74.315733448979387</v>
      </c>
      <c r="E4595" s="9"/>
      <c r="F4595" s="9">
        <f ca="1">IFERROR(__xludf.DUMMYFUNCTION("""COMPUTED_VALUE"""),40712)</f>
        <v>40712</v>
      </c>
      <c r="G4595" s="9" t="str">
        <f ca="1">IFERROR(__xludf.DUMMYFUNCTION("""COMPUTED_VALUE"""),"1 USD = 86.3451 PKR")</f>
        <v>1 USD = 86.3451 PKR</v>
      </c>
      <c r="H4595" s="9" t="str">
        <f ca="1">IFERROR(__xludf.DUMMYFUNCTION("""COMPUTED_VALUE"""),"USD PKR rate for 18/06/2011")</f>
        <v>USD PKR rate for 18/06/2011</v>
      </c>
      <c r="I4595" s="9"/>
    </row>
    <row r="4596" spans="1:9" ht="14.25" customHeight="1" x14ac:dyDescent="0.3">
      <c r="A4596" s="10">
        <v>44313</v>
      </c>
      <c r="B4596" s="7">
        <v>154.36099999999999</v>
      </c>
      <c r="C4596" s="8">
        <f t="shared" si="37"/>
        <v>179.63286042725841</v>
      </c>
      <c r="D4596" s="9">
        <f t="shared" si="36"/>
        <v>74.318471281776652</v>
      </c>
      <c r="E4596" s="9"/>
      <c r="F4596" s="9">
        <f ca="1">IFERROR(__xludf.DUMMYFUNCTION("""COMPUTED_VALUE"""),40711)</f>
        <v>40711</v>
      </c>
      <c r="G4596" s="9" t="str">
        <f ca="1">IFERROR(__xludf.DUMMYFUNCTION("""COMPUTED_VALUE"""),"1 USD = 86.3451 PKR")</f>
        <v>1 USD = 86.3451 PKR</v>
      </c>
      <c r="H4596" s="9" t="str">
        <f ca="1">IFERROR(__xludf.DUMMYFUNCTION("""COMPUTED_VALUE"""),"USD PKR rate for 17/06/2011")</f>
        <v>USD PKR rate for 17/06/2011</v>
      </c>
      <c r="I4596" s="9"/>
    </row>
    <row r="4597" spans="1:9" ht="14.25" customHeight="1" x14ac:dyDescent="0.3">
      <c r="A4597" s="10">
        <v>44314</v>
      </c>
      <c r="B4597" s="7">
        <v>153.72389999999999</v>
      </c>
      <c r="C4597" s="8">
        <f t="shared" si="37"/>
        <v>179.66498772273536</v>
      </c>
      <c r="D4597" s="9">
        <f t="shared" si="36"/>
        <v>74.321209114573918</v>
      </c>
      <c r="E4597" s="9"/>
      <c r="F4597" s="9">
        <f ca="1">IFERROR(__xludf.DUMMYFUNCTION("""COMPUTED_VALUE"""),40710)</f>
        <v>40710</v>
      </c>
      <c r="G4597" s="9" t="str">
        <f ca="1">IFERROR(__xludf.DUMMYFUNCTION("""COMPUTED_VALUE"""),"1 USD = 85.8368 PKR")</f>
        <v>1 USD = 85.8368 PKR</v>
      </c>
      <c r="H4597" s="9" t="str">
        <f ca="1">IFERROR(__xludf.DUMMYFUNCTION("""COMPUTED_VALUE"""),"USD PKR rate for 16/06/2011")</f>
        <v>USD PKR rate for 16/06/2011</v>
      </c>
      <c r="I4597" s="9"/>
    </row>
    <row r="4598" spans="1:9" ht="14.25" customHeight="1" x14ac:dyDescent="0.3">
      <c r="A4598" s="10">
        <v>44315</v>
      </c>
      <c r="B4598" s="7">
        <v>153.50749999999999</v>
      </c>
      <c r="C4598" s="8">
        <f t="shared" si="37"/>
        <v>179.69712076417164</v>
      </c>
      <c r="D4598" s="9">
        <f t="shared" si="36"/>
        <v>74.323946947371184</v>
      </c>
      <c r="E4598" s="9"/>
      <c r="F4598" s="9">
        <f ca="1">IFERROR(__xludf.DUMMYFUNCTION("""COMPUTED_VALUE"""),40709)</f>
        <v>40709</v>
      </c>
      <c r="G4598" s="9" t="str">
        <f ca="1">IFERROR(__xludf.DUMMYFUNCTION("""COMPUTED_VALUE"""),"1 USD = 86.015 PKR")</f>
        <v>1 USD = 86.015 PKR</v>
      </c>
      <c r="H4598" s="9" t="str">
        <f ca="1">IFERROR(__xludf.DUMMYFUNCTION("""COMPUTED_VALUE"""),"USD PKR rate for 15/06/2011")</f>
        <v>USD PKR rate for 15/06/2011</v>
      </c>
      <c r="I4598" s="9"/>
    </row>
    <row r="4599" spans="1:9" ht="14.25" customHeight="1" x14ac:dyDescent="0.3">
      <c r="A4599" s="10">
        <v>44316</v>
      </c>
      <c r="B4599" s="7">
        <v>153.81950000000001</v>
      </c>
      <c r="C4599" s="8">
        <f t="shared" si="37"/>
        <v>179.72925955259495</v>
      </c>
      <c r="D4599" s="9">
        <f t="shared" si="36"/>
        <v>74.326684780168449</v>
      </c>
      <c r="E4599" s="9"/>
      <c r="F4599" s="9">
        <f ca="1">IFERROR(__xludf.DUMMYFUNCTION("""COMPUTED_VALUE"""),40708)</f>
        <v>40708</v>
      </c>
      <c r="G4599" s="9" t="str">
        <f ca="1">IFERROR(__xludf.DUMMYFUNCTION("""COMPUTED_VALUE"""),"1 USD = 85.4759 PKR")</f>
        <v>1 USD = 85.4759 PKR</v>
      </c>
      <c r="H4599" s="9" t="str">
        <f ca="1">IFERROR(__xludf.DUMMYFUNCTION("""COMPUTED_VALUE"""),"USD PKR rate for 14/06/2011")</f>
        <v>USD PKR rate for 14/06/2011</v>
      </c>
      <c r="I4599" s="9"/>
    </row>
    <row r="4600" spans="1:9" ht="14.25" customHeight="1" x14ac:dyDescent="0.3">
      <c r="A4600" s="10">
        <v>44317</v>
      </c>
      <c r="B4600" s="7">
        <v>153.9151</v>
      </c>
      <c r="C4600" s="8">
        <f t="shared" si="37"/>
        <v>179.76140408903311</v>
      </c>
      <c r="D4600" s="9">
        <f t="shared" si="36"/>
        <v>74.329422612965715</v>
      </c>
      <c r="E4600" s="9"/>
      <c r="F4600" s="9">
        <f ca="1">IFERROR(__xludf.DUMMYFUNCTION("""COMPUTED_VALUE"""),40707)</f>
        <v>40707</v>
      </c>
      <c r="G4600" s="9" t="str">
        <f ca="1">IFERROR(__xludf.DUMMYFUNCTION("""COMPUTED_VALUE"""),"1 USD = 85.6401 PKR")</f>
        <v>1 USD = 85.6401 PKR</v>
      </c>
      <c r="H4600" s="9" t="str">
        <f ca="1">IFERROR(__xludf.DUMMYFUNCTION("""COMPUTED_VALUE"""),"USD PKR rate for 13/06/2011")</f>
        <v>USD PKR rate for 13/06/2011</v>
      </c>
      <c r="I4600" s="9"/>
    </row>
    <row r="4601" spans="1:9" ht="14.25" customHeight="1" x14ac:dyDescent="0.3">
      <c r="A4601" s="10">
        <v>44318</v>
      </c>
      <c r="B4601" s="7">
        <v>153.89959999999999</v>
      </c>
      <c r="C4601" s="8">
        <f t="shared" si="37"/>
        <v>179.79355437451417</v>
      </c>
      <c r="D4601" s="9">
        <f t="shared" si="36"/>
        <v>74.33216044576298</v>
      </c>
      <c r="E4601" s="9"/>
      <c r="F4601" s="9">
        <f ca="1">IFERROR(__xludf.DUMMYFUNCTION("""COMPUTED_VALUE"""),40706)</f>
        <v>40706</v>
      </c>
      <c r="G4601" s="9" t="str">
        <f ca="1">IFERROR(__xludf.DUMMYFUNCTION("""COMPUTED_VALUE"""),"1 USD = 86.0659 PKR")</f>
        <v>1 USD = 86.0659 PKR</v>
      </c>
      <c r="H4601" s="9" t="str">
        <f ca="1">IFERROR(__xludf.DUMMYFUNCTION("""COMPUTED_VALUE"""),"USD PKR rate for 12/06/2011")</f>
        <v>USD PKR rate for 12/06/2011</v>
      </c>
      <c r="I4601" s="9"/>
    </row>
    <row r="4602" spans="1:9" ht="14.25" customHeight="1" x14ac:dyDescent="0.3">
      <c r="A4602" s="10">
        <v>44319</v>
      </c>
      <c r="B4602" s="7">
        <v>153.21270000000001</v>
      </c>
      <c r="C4602" s="8">
        <f t="shared" si="37"/>
        <v>179.82571041006636</v>
      </c>
      <c r="D4602" s="9">
        <f t="shared" si="36"/>
        <v>74.334898278560246</v>
      </c>
      <c r="E4602" s="9"/>
      <c r="F4602" s="9">
        <f ca="1">IFERROR(__xludf.DUMMYFUNCTION("""COMPUTED_VALUE"""),40705)</f>
        <v>40705</v>
      </c>
      <c r="G4602" s="9" t="str">
        <f ca="1">IFERROR(__xludf.DUMMYFUNCTION("""COMPUTED_VALUE"""),"1 USD = 86.0553 PKR")</f>
        <v>1 USD = 86.0553 PKR</v>
      </c>
      <c r="H4602" s="9" t="str">
        <f ca="1">IFERROR(__xludf.DUMMYFUNCTION("""COMPUTED_VALUE"""),"USD PKR rate for 11/06/2011")</f>
        <v>USD PKR rate for 11/06/2011</v>
      </c>
      <c r="I4602" s="9"/>
    </row>
    <row r="4603" spans="1:9" ht="14.25" customHeight="1" x14ac:dyDescent="0.3">
      <c r="A4603" s="10">
        <v>44320</v>
      </c>
      <c r="B4603" s="7">
        <v>153.35120000000001</v>
      </c>
      <c r="C4603" s="8">
        <f t="shared" si="37"/>
        <v>179.85787219671786</v>
      </c>
      <c r="D4603" s="9">
        <f t="shared" si="36"/>
        <v>74.337636111357511</v>
      </c>
      <c r="E4603" s="9"/>
      <c r="F4603" s="9">
        <f ca="1">IFERROR(__xludf.DUMMYFUNCTION("""COMPUTED_VALUE"""),40704)</f>
        <v>40704</v>
      </c>
      <c r="G4603" s="9" t="str">
        <f ca="1">IFERROR(__xludf.DUMMYFUNCTION("""COMPUTED_VALUE"""),"1 USD = 86.0553 PKR")</f>
        <v>1 USD = 86.0553 PKR</v>
      </c>
      <c r="H4603" s="9" t="str">
        <f ca="1">IFERROR(__xludf.DUMMYFUNCTION("""COMPUTED_VALUE"""),"USD PKR rate for 10/06/2011")</f>
        <v>USD PKR rate for 10/06/2011</v>
      </c>
      <c r="I4603" s="9"/>
    </row>
    <row r="4604" spans="1:9" ht="14.25" customHeight="1" x14ac:dyDescent="0.3">
      <c r="A4604" s="10">
        <v>44321</v>
      </c>
      <c r="B4604" s="7">
        <v>152.87880000000001</v>
      </c>
      <c r="C4604" s="8">
        <f t="shared" si="37"/>
        <v>179.89003973549768</v>
      </c>
      <c r="D4604" s="9">
        <f t="shared" si="36"/>
        <v>74.340373944154777</v>
      </c>
      <c r="E4604" s="9"/>
      <c r="F4604" s="9">
        <f ca="1">IFERROR(__xludf.DUMMYFUNCTION("""COMPUTED_VALUE"""),40703)</f>
        <v>40703</v>
      </c>
      <c r="G4604" s="9" t="str">
        <f ca="1">IFERROR(__xludf.DUMMYFUNCTION("""COMPUTED_VALUE"""),"1 USD = 86.1542 PKR")</f>
        <v>1 USD = 86.1542 PKR</v>
      </c>
      <c r="H4604" s="9" t="str">
        <f ca="1">IFERROR(__xludf.DUMMYFUNCTION("""COMPUTED_VALUE"""),"USD PKR rate for 09/06/2011")</f>
        <v>USD PKR rate for 09/06/2011</v>
      </c>
      <c r="I4604" s="9"/>
    </row>
    <row r="4605" spans="1:9" ht="14.25" customHeight="1" x14ac:dyDescent="0.3">
      <c r="A4605" s="10">
        <v>44322</v>
      </c>
      <c r="B4605" s="7">
        <v>153.28899999999999</v>
      </c>
      <c r="C4605" s="8">
        <f t="shared" si="37"/>
        <v>179.92221302743431</v>
      </c>
      <c r="D4605" s="9">
        <f t="shared" si="36"/>
        <v>74.343111776952043</v>
      </c>
      <c r="E4605" s="9"/>
      <c r="F4605" s="9">
        <f ca="1">IFERROR(__xludf.DUMMYFUNCTION("""COMPUTED_VALUE"""),40702)</f>
        <v>40702</v>
      </c>
      <c r="G4605" s="9" t="str">
        <f ca="1">IFERROR(__xludf.DUMMYFUNCTION("""COMPUTED_VALUE"""),"1 USD = 85.6775 PKR")</f>
        <v>1 USD = 85.6775 PKR</v>
      </c>
      <c r="H4605" s="9" t="str">
        <f ca="1">IFERROR(__xludf.DUMMYFUNCTION("""COMPUTED_VALUE"""),"USD PKR rate for 08/06/2011")</f>
        <v>USD PKR rate for 08/06/2011</v>
      </c>
      <c r="I4605" s="9"/>
    </row>
    <row r="4606" spans="1:9" ht="14.25" customHeight="1" x14ac:dyDescent="0.3">
      <c r="A4606" s="10">
        <v>44323</v>
      </c>
      <c r="B4606" s="7">
        <v>152.67490000000001</v>
      </c>
      <c r="C4606" s="8">
        <f t="shared" si="37"/>
        <v>179.95439207355676</v>
      </c>
      <c r="D4606" s="9">
        <f t="shared" si="36"/>
        <v>74.345849609749308</v>
      </c>
      <c r="E4606" s="9"/>
      <c r="F4606" s="9">
        <f ca="1">IFERROR(__xludf.DUMMYFUNCTION("""COMPUTED_VALUE"""),40701)</f>
        <v>40701</v>
      </c>
      <c r="G4606" s="9" t="str">
        <f ca="1">IFERROR(__xludf.DUMMYFUNCTION("""COMPUTED_VALUE"""),"1 USD = 86.1976 PKR")</f>
        <v>1 USD = 86.1976 PKR</v>
      </c>
      <c r="H4606" s="9" t="str">
        <f ca="1">IFERROR(__xludf.DUMMYFUNCTION("""COMPUTED_VALUE"""),"USD PKR rate for 07/06/2011")</f>
        <v>USD PKR rate for 07/06/2011</v>
      </c>
      <c r="I4606" s="9"/>
    </row>
    <row r="4607" spans="1:9" ht="14.25" customHeight="1" x14ac:dyDescent="0.3">
      <c r="A4607" s="10">
        <v>44324</v>
      </c>
      <c r="B4607" s="7">
        <v>152.24160000000001</v>
      </c>
      <c r="C4607" s="8">
        <f t="shared" si="37"/>
        <v>179.98657687489415</v>
      </c>
      <c r="D4607" s="9">
        <f t="shared" si="36"/>
        <v>74.348587442546574</v>
      </c>
      <c r="E4607" s="9"/>
      <c r="F4607" s="9">
        <f ca="1">IFERROR(__xludf.DUMMYFUNCTION("""COMPUTED_VALUE"""),40700)</f>
        <v>40700</v>
      </c>
      <c r="G4607" s="9" t="str">
        <f ca="1">IFERROR(__xludf.DUMMYFUNCTION("""COMPUTED_VALUE"""),"1 USD = 85.7407 PKR")</f>
        <v>1 USD = 85.7407 PKR</v>
      </c>
      <c r="H4607" s="9" t="str">
        <f ca="1">IFERROR(__xludf.DUMMYFUNCTION("""COMPUTED_VALUE"""),"USD PKR rate for 06/06/2011")</f>
        <v>USD PKR rate for 06/06/2011</v>
      </c>
      <c r="I4607" s="9"/>
    </row>
    <row r="4608" spans="1:9" ht="14.25" customHeight="1" x14ac:dyDescent="0.3">
      <c r="A4608" s="10">
        <v>44325</v>
      </c>
      <c r="B4608" s="7">
        <v>151.1746</v>
      </c>
      <c r="C4608" s="8">
        <f t="shared" si="37"/>
        <v>180.01876743247578</v>
      </c>
      <c r="D4608" s="9">
        <f t="shared" si="36"/>
        <v>74.351325275343839</v>
      </c>
      <c r="E4608" s="9"/>
      <c r="F4608" s="9">
        <f ca="1">IFERROR(__xludf.DUMMYFUNCTION("""COMPUTED_VALUE"""),40699)</f>
        <v>40699</v>
      </c>
      <c r="G4608" s="9" t="str">
        <f ca="1">IFERROR(__xludf.DUMMYFUNCTION("""COMPUTED_VALUE"""),"1 USD = 85.2656 PKR")</f>
        <v>1 USD = 85.2656 PKR</v>
      </c>
      <c r="H4608" s="9" t="str">
        <f ca="1">IFERROR(__xludf.DUMMYFUNCTION("""COMPUTED_VALUE"""),"USD PKR rate for 05/06/2011")</f>
        <v>USD PKR rate for 05/06/2011</v>
      </c>
      <c r="I4608" s="9"/>
    </row>
    <row r="4609" spans="1:9" ht="14.25" customHeight="1" x14ac:dyDescent="0.3">
      <c r="A4609" s="10">
        <v>44326</v>
      </c>
      <c r="B4609" s="7">
        <v>152.23390000000001</v>
      </c>
      <c r="C4609" s="8">
        <f t="shared" si="37"/>
        <v>180.05096374733122</v>
      </c>
      <c r="D4609" s="9">
        <f t="shared" si="36"/>
        <v>74.354063108141105</v>
      </c>
      <c r="E4609" s="9"/>
      <c r="F4609" s="9">
        <f ca="1">IFERROR(__xludf.DUMMYFUNCTION("""COMPUTED_VALUE"""),40698)</f>
        <v>40698</v>
      </c>
      <c r="G4609" s="9" t="str">
        <f ca="1">IFERROR(__xludf.DUMMYFUNCTION("""COMPUTED_VALUE"""),"1 USD = 85.4058 PKR")</f>
        <v>1 USD = 85.4058 PKR</v>
      </c>
      <c r="H4609" s="9" t="str">
        <f ca="1">IFERROR(__xludf.DUMMYFUNCTION("""COMPUTED_VALUE"""),"USD PKR rate for 04/06/2011")</f>
        <v>USD PKR rate for 04/06/2011</v>
      </c>
      <c r="I4609" s="9"/>
    </row>
    <row r="4610" spans="1:9" ht="14.25" customHeight="1" x14ac:dyDescent="0.3">
      <c r="A4610" s="10">
        <v>44327</v>
      </c>
      <c r="B4610" s="7">
        <v>152.43879999999999</v>
      </c>
      <c r="C4610" s="8">
        <f t="shared" si="37"/>
        <v>180.08316582049008</v>
      </c>
      <c r="D4610" s="9">
        <f t="shared" si="36"/>
        <v>74.356800940938371</v>
      </c>
      <c r="E4610" s="9"/>
      <c r="F4610" s="9">
        <f ca="1">IFERROR(__xludf.DUMMYFUNCTION("""COMPUTED_VALUE"""),40697)</f>
        <v>40697</v>
      </c>
      <c r="G4610" s="9" t="str">
        <f ca="1">IFERROR(__xludf.DUMMYFUNCTION("""COMPUTED_VALUE"""),"1 USD = 85.4058 PKR")</f>
        <v>1 USD = 85.4058 PKR</v>
      </c>
      <c r="H4610" s="9" t="str">
        <f ca="1">IFERROR(__xludf.DUMMYFUNCTION("""COMPUTED_VALUE"""),"USD PKR rate for 03/06/2011")</f>
        <v>USD PKR rate for 03/06/2011</v>
      </c>
      <c r="I4610" s="9"/>
    </row>
    <row r="4611" spans="1:9" ht="14.25" customHeight="1" x14ac:dyDescent="0.3">
      <c r="A4611" s="10">
        <v>44328</v>
      </c>
      <c r="B4611" s="7">
        <v>152.12100000000001</v>
      </c>
      <c r="C4611" s="8">
        <f t="shared" si="37"/>
        <v>180.1153736529823</v>
      </c>
      <c r="D4611" s="9">
        <f t="shared" si="36"/>
        <v>74.359538773735636</v>
      </c>
      <c r="E4611" s="9"/>
      <c r="F4611" s="9">
        <f ca="1">IFERROR(__xludf.DUMMYFUNCTION("""COMPUTED_VALUE"""),40696)</f>
        <v>40696</v>
      </c>
      <c r="G4611" s="9" t="str">
        <f ca="1">IFERROR(__xludf.DUMMYFUNCTION("""COMPUTED_VALUE"""),"1 USD = 86.3052 PKR")</f>
        <v>1 USD = 86.3052 PKR</v>
      </c>
      <c r="H4611" s="9" t="str">
        <f ca="1">IFERROR(__xludf.DUMMYFUNCTION("""COMPUTED_VALUE"""),"USD PKR rate for 02/06/2011")</f>
        <v>USD PKR rate for 02/06/2011</v>
      </c>
      <c r="I4611" s="9"/>
    </row>
    <row r="4612" spans="1:9" ht="14.25" customHeight="1" x14ac:dyDescent="0.3">
      <c r="A4612" s="10">
        <v>44329</v>
      </c>
      <c r="B4612" s="11">
        <v>152.0505</v>
      </c>
      <c r="C4612" s="8">
        <f t="shared" si="37"/>
        <v>180.14758724583774</v>
      </c>
      <c r="D4612" s="9">
        <f t="shared" si="36"/>
        <v>74.362276606532902</v>
      </c>
      <c r="E4612" s="9"/>
      <c r="F4612" s="9">
        <f ca="1">IFERROR(__xludf.DUMMYFUNCTION("""COMPUTED_VALUE"""),40695)</f>
        <v>40695</v>
      </c>
      <c r="G4612" s="9" t="str">
        <f ca="1">IFERROR(__xludf.DUMMYFUNCTION("""COMPUTED_VALUE"""),"1 USD = 86.1363 PKR")</f>
        <v>1 USD = 86.1363 PKR</v>
      </c>
      <c r="H4612" s="9" t="str">
        <f ca="1">IFERROR(__xludf.DUMMYFUNCTION("""COMPUTED_VALUE"""),"USD PKR rate for 01/06/2011")</f>
        <v>USD PKR rate for 01/06/2011</v>
      </c>
      <c r="I4612" s="9"/>
    </row>
    <row r="4613" spans="1:9" ht="14.25" customHeight="1" x14ac:dyDescent="0.3">
      <c r="A4613" s="10">
        <v>44330</v>
      </c>
      <c r="B4613" s="11">
        <v>152.251</v>
      </c>
      <c r="C4613" s="8">
        <f t="shared" si="37"/>
        <v>180.17980660008692</v>
      </c>
      <c r="D4613" s="9">
        <f t="shared" si="36"/>
        <v>74.365014439330167</v>
      </c>
      <c r="E4613" s="9"/>
      <c r="F4613" s="9">
        <f ca="1">IFERROR(__xludf.DUMMYFUNCTION("""COMPUTED_VALUE"""),40694)</f>
        <v>40694</v>
      </c>
      <c r="G4613" s="9" t="str">
        <f ca="1">IFERROR(__xludf.DUMMYFUNCTION("""COMPUTED_VALUE"""),"1 USD = 85.6939 PKR")</f>
        <v>1 USD = 85.6939 PKR</v>
      </c>
      <c r="H4613" s="9" t="str">
        <f ca="1">IFERROR(__xludf.DUMMYFUNCTION("""COMPUTED_VALUE"""),"USD PKR rate for 31/05/2011")</f>
        <v>USD PKR rate for 31/05/2011</v>
      </c>
      <c r="I4613" s="9"/>
    </row>
    <row r="4614" spans="1:9" ht="14.25" customHeight="1" x14ac:dyDescent="0.3">
      <c r="A4614" s="10">
        <v>44331</v>
      </c>
      <c r="B4614" s="11">
        <v>152.251</v>
      </c>
      <c r="C4614" s="8">
        <f t="shared" si="37"/>
        <v>180.21203171676015</v>
      </c>
      <c r="D4614" s="9">
        <f t="shared" si="36"/>
        <v>74.367752272127433</v>
      </c>
      <c r="E4614" s="9"/>
      <c r="F4614" s="9">
        <f ca="1">IFERROR(__xludf.DUMMYFUNCTION("""COMPUTED_VALUE"""),40693)</f>
        <v>40693</v>
      </c>
      <c r="G4614" s="9" t="str">
        <f ca="1">IFERROR(__xludf.DUMMYFUNCTION("""COMPUTED_VALUE"""),"1 USD = 85.2904 PKR")</f>
        <v>1 USD = 85.2904 PKR</v>
      </c>
      <c r="H4614" s="9" t="str">
        <f ca="1">IFERROR(__xludf.DUMMYFUNCTION("""COMPUTED_VALUE"""),"USD PKR rate for 30/05/2011")</f>
        <v>USD PKR rate for 30/05/2011</v>
      </c>
      <c r="I4614" s="9"/>
    </row>
    <row r="4615" spans="1:9" ht="14.25" customHeight="1" x14ac:dyDescent="0.3">
      <c r="A4615" s="10">
        <v>44332</v>
      </c>
      <c r="B4615" s="11">
        <v>152.2081</v>
      </c>
      <c r="C4615" s="8">
        <f t="shared" si="37"/>
        <v>180.24426259688806</v>
      </c>
      <c r="D4615" s="9">
        <f t="shared" si="36"/>
        <v>74.370490104924698</v>
      </c>
      <c r="E4615" s="9"/>
      <c r="F4615" s="9">
        <f ca="1">IFERROR(__xludf.DUMMYFUNCTION("""COMPUTED_VALUE"""),40692)</f>
        <v>40692</v>
      </c>
      <c r="G4615" s="9" t="str">
        <f ca="1">IFERROR(__xludf.DUMMYFUNCTION("""COMPUTED_VALUE"""),"1 USD = 85.1768 PKR")</f>
        <v>1 USD = 85.1768 PKR</v>
      </c>
      <c r="H4615" s="9" t="str">
        <f ca="1">IFERROR(__xludf.DUMMYFUNCTION("""COMPUTED_VALUE"""),"USD PKR rate for 29/05/2011")</f>
        <v>USD PKR rate for 29/05/2011</v>
      </c>
      <c r="I4615" s="9"/>
    </row>
    <row r="4616" spans="1:9" ht="14.25" customHeight="1" x14ac:dyDescent="0.3">
      <c r="A4616" s="10">
        <v>44333</v>
      </c>
      <c r="B4616" s="11">
        <v>152.59450000000001</v>
      </c>
      <c r="C4616" s="8">
        <f t="shared" si="37"/>
        <v>180.2764992415014</v>
      </c>
      <c r="D4616" s="9">
        <f t="shared" si="36"/>
        <v>74.373227937721964</v>
      </c>
      <c r="E4616" s="9"/>
      <c r="F4616" s="9">
        <f ca="1">IFERROR(__xludf.DUMMYFUNCTION("""COMPUTED_VALUE"""),40691)</f>
        <v>40691</v>
      </c>
      <c r="G4616" s="9" t="str">
        <f ca="1">IFERROR(__xludf.DUMMYFUNCTION("""COMPUTED_VALUE"""),"1 USD = 85.1768 PKR")</f>
        <v>1 USD = 85.1768 PKR</v>
      </c>
      <c r="H4616" s="9" t="str">
        <f ca="1">IFERROR(__xludf.DUMMYFUNCTION("""COMPUTED_VALUE"""),"USD PKR rate for 28/05/2011")</f>
        <v>USD PKR rate for 28/05/2011</v>
      </c>
      <c r="I4616" s="9"/>
    </row>
    <row r="4617" spans="1:9" ht="14.25" customHeight="1" x14ac:dyDescent="0.3">
      <c r="A4617" s="10">
        <v>44334</v>
      </c>
      <c r="B4617" s="11">
        <v>152.8877</v>
      </c>
      <c r="C4617" s="8">
        <f t="shared" si="37"/>
        <v>180.30874165163118</v>
      </c>
      <c r="D4617" s="9">
        <f t="shared" si="36"/>
        <v>74.37596577051923</v>
      </c>
      <c r="E4617" s="9"/>
      <c r="F4617" s="9">
        <f ca="1">IFERROR(__xludf.DUMMYFUNCTION("""COMPUTED_VALUE"""),40690)</f>
        <v>40690</v>
      </c>
      <c r="G4617" s="9" t="str">
        <f ca="1">IFERROR(__xludf.DUMMYFUNCTION("""COMPUTED_VALUE"""),"1 USD = 85.1768 PKR")</f>
        <v>1 USD = 85.1768 PKR</v>
      </c>
      <c r="H4617" s="9" t="str">
        <f ca="1">IFERROR(__xludf.DUMMYFUNCTION("""COMPUTED_VALUE"""),"USD PKR rate for 27/05/2011")</f>
        <v>USD PKR rate for 27/05/2011</v>
      </c>
      <c r="I4617" s="9"/>
    </row>
    <row r="4618" spans="1:9" ht="14.25" customHeight="1" x14ac:dyDescent="0.3">
      <c r="A4618" s="10">
        <v>44335</v>
      </c>
      <c r="B4618" s="11">
        <v>153.2176</v>
      </c>
      <c r="C4618" s="8">
        <f t="shared" si="37"/>
        <v>180.34098982830852</v>
      </c>
      <c r="D4618" s="9">
        <f t="shared" si="36"/>
        <v>74.378703603316495</v>
      </c>
      <c r="E4618" s="9"/>
      <c r="F4618" s="9">
        <f ca="1">IFERROR(__xludf.DUMMYFUNCTION("""COMPUTED_VALUE"""),40689)</f>
        <v>40689</v>
      </c>
      <c r="G4618" s="9" t="str">
        <f ca="1">IFERROR(__xludf.DUMMYFUNCTION("""COMPUTED_VALUE"""),"1 USD = 85.2507 PKR")</f>
        <v>1 USD = 85.2507 PKR</v>
      </c>
      <c r="H4618" s="9" t="str">
        <f ca="1">IFERROR(__xludf.DUMMYFUNCTION("""COMPUTED_VALUE"""),"USD PKR rate for 26/05/2011")</f>
        <v>USD PKR rate for 26/05/2011</v>
      </c>
      <c r="I4618" s="9"/>
    </row>
    <row r="4619" spans="1:9" ht="14.25" customHeight="1" x14ac:dyDescent="0.3">
      <c r="A4619" s="10">
        <v>44336</v>
      </c>
      <c r="B4619" s="11">
        <v>153.4023</v>
      </c>
      <c r="C4619" s="8">
        <f t="shared" si="37"/>
        <v>180.37324377256479</v>
      </c>
      <c r="D4619" s="9">
        <f t="shared" si="36"/>
        <v>74.381441436113761</v>
      </c>
      <c r="E4619" s="9"/>
      <c r="F4619" s="9">
        <f ca="1">IFERROR(__xludf.DUMMYFUNCTION("""COMPUTED_VALUE"""),40688)</f>
        <v>40688</v>
      </c>
      <c r="G4619" s="9" t="str">
        <f ca="1">IFERROR(__xludf.DUMMYFUNCTION("""COMPUTED_VALUE"""),"1 USD = 85.4971 PKR")</f>
        <v>1 USD = 85.4971 PKR</v>
      </c>
      <c r="H4619" s="9" t="str">
        <f ca="1">IFERROR(__xludf.DUMMYFUNCTION("""COMPUTED_VALUE"""),"USD PKR rate for 25/05/2011")</f>
        <v>USD PKR rate for 25/05/2011</v>
      </c>
      <c r="I4619" s="9"/>
    </row>
    <row r="4620" spans="1:9" ht="14.25" customHeight="1" x14ac:dyDescent="0.3">
      <c r="A4620" s="10">
        <v>44337</v>
      </c>
      <c r="B4620" s="11">
        <v>153.4554</v>
      </c>
      <c r="C4620" s="8">
        <f t="shared" si="37"/>
        <v>180.40550348543155</v>
      </c>
      <c r="D4620" s="9">
        <f t="shared" si="36"/>
        <v>74.384179268911026</v>
      </c>
      <c r="E4620" s="9"/>
      <c r="F4620" s="9">
        <f ca="1">IFERROR(__xludf.DUMMYFUNCTION("""COMPUTED_VALUE"""),40687)</f>
        <v>40687</v>
      </c>
      <c r="G4620" s="9" t="str">
        <f ca="1">IFERROR(__xludf.DUMMYFUNCTION("""COMPUTED_VALUE"""),"1 USD = 85.4161 PKR")</f>
        <v>1 USD = 85.4161 PKR</v>
      </c>
      <c r="H4620" s="9" t="str">
        <f ca="1">IFERROR(__xludf.DUMMYFUNCTION("""COMPUTED_VALUE"""),"USD PKR rate for 24/05/2011")</f>
        <v>USD PKR rate for 24/05/2011</v>
      </c>
      <c r="I4620" s="9"/>
    </row>
    <row r="4621" spans="1:9" ht="14.25" customHeight="1" x14ac:dyDescent="0.3">
      <c r="A4621" s="10">
        <v>44338</v>
      </c>
      <c r="B4621" s="11">
        <v>153.4554</v>
      </c>
      <c r="C4621" s="8">
        <f t="shared" si="37"/>
        <v>180.43776896794029</v>
      </c>
      <c r="D4621" s="9">
        <f t="shared" si="36"/>
        <v>74.386917101708292</v>
      </c>
      <c r="E4621" s="9"/>
      <c r="F4621" s="9">
        <f ca="1">IFERROR(__xludf.DUMMYFUNCTION("""COMPUTED_VALUE"""),40686)</f>
        <v>40686</v>
      </c>
      <c r="G4621" s="9" t="str">
        <f ca="1">IFERROR(__xludf.DUMMYFUNCTION("""COMPUTED_VALUE"""),"1 USD = 85.8117 PKR")</f>
        <v>1 USD = 85.8117 PKR</v>
      </c>
      <c r="H4621" s="9" t="str">
        <f ca="1">IFERROR(__xludf.DUMMYFUNCTION("""COMPUTED_VALUE"""),"USD PKR rate for 23/05/2011")</f>
        <v>USD PKR rate for 23/05/2011</v>
      </c>
      <c r="I4621" s="9"/>
    </row>
    <row r="4622" spans="1:9" ht="14.25" customHeight="1" x14ac:dyDescent="0.3">
      <c r="A4622" s="10">
        <v>44339</v>
      </c>
      <c r="B4622" s="11">
        <v>153.49289999999999</v>
      </c>
      <c r="C4622" s="8">
        <f t="shared" si="37"/>
        <v>180.47004022112327</v>
      </c>
      <c r="D4622" s="9">
        <f t="shared" si="36"/>
        <v>74.389654934505558</v>
      </c>
      <c r="E4622" s="9"/>
      <c r="F4622" s="9">
        <f ca="1">IFERROR(__xludf.DUMMYFUNCTION("""COMPUTED_VALUE"""),40685)</f>
        <v>40685</v>
      </c>
      <c r="G4622" s="9" t="str">
        <f ca="1">IFERROR(__xludf.DUMMYFUNCTION("""COMPUTED_VALUE"""),"1 USD = 86.2527 PKR")</f>
        <v>1 USD = 86.2527 PKR</v>
      </c>
      <c r="H4622" s="9" t="str">
        <f ca="1">IFERROR(__xludf.DUMMYFUNCTION("""COMPUTED_VALUE"""),"USD PKR rate for 22/05/2011")</f>
        <v>USD PKR rate for 22/05/2011</v>
      </c>
      <c r="I4622" s="9"/>
    </row>
    <row r="4623" spans="1:9" ht="14.25" customHeight="1" x14ac:dyDescent="0.3">
      <c r="A4623" s="10">
        <v>44340</v>
      </c>
      <c r="B4623" s="11">
        <v>153.8108</v>
      </c>
      <c r="C4623" s="8">
        <f t="shared" si="37"/>
        <v>180.50231724601238</v>
      </c>
      <c r="D4623" s="9">
        <f t="shared" si="36"/>
        <v>74.392392767302823</v>
      </c>
      <c r="E4623" s="9"/>
      <c r="F4623" s="9">
        <f ca="1">IFERROR(__xludf.DUMMYFUNCTION("""COMPUTED_VALUE"""),40684)</f>
        <v>40684</v>
      </c>
      <c r="G4623" s="9" t="str">
        <f ca="1">IFERROR(__xludf.DUMMYFUNCTION("""COMPUTED_VALUE"""),"1 USD = 86.157 PKR")</f>
        <v>1 USD = 86.157 PKR</v>
      </c>
      <c r="H4623" s="9" t="str">
        <f ca="1">IFERROR(__xludf.DUMMYFUNCTION("""COMPUTED_VALUE"""),"USD PKR rate for 21/05/2011")</f>
        <v>USD PKR rate for 21/05/2011</v>
      </c>
      <c r="I4623" s="9"/>
    </row>
    <row r="4624" spans="1:9" ht="14.25" customHeight="1" x14ac:dyDescent="0.3">
      <c r="A4624" s="10">
        <v>44341</v>
      </c>
      <c r="B4624" s="11">
        <v>154.29050000000001</v>
      </c>
      <c r="C4624" s="8">
        <f t="shared" si="37"/>
        <v>180.53460004363995</v>
      </c>
      <c r="D4624" s="9">
        <f t="shared" si="36"/>
        <v>74.395130600100089</v>
      </c>
      <c r="E4624" s="9"/>
      <c r="F4624" s="9">
        <f ca="1">IFERROR(__xludf.DUMMYFUNCTION("""COMPUTED_VALUE"""),40683)</f>
        <v>40683</v>
      </c>
      <c r="G4624" s="9" t="str">
        <f ca="1">IFERROR(__xludf.DUMMYFUNCTION("""COMPUTED_VALUE"""),"1 USD = 86.157 PKR")</f>
        <v>1 USD = 86.157 PKR</v>
      </c>
      <c r="H4624" s="9" t="str">
        <f ca="1">IFERROR(__xludf.DUMMYFUNCTION("""COMPUTED_VALUE"""),"USD PKR rate for 20/05/2011")</f>
        <v>USD PKR rate for 20/05/2011</v>
      </c>
      <c r="I4624" s="9"/>
    </row>
    <row r="4625" spans="1:9" ht="14.25" customHeight="1" x14ac:dyDescent="0.3">
      <c r="A4625" s="10">
        <v>44342</v>
      </c>
      <c r="B4625" s="11">
        <v>155.09209999999999</v>
      </c>
      <c r="C4625" s="8">
        <f t="shared" si="37"/>
        <v>180.56688861503841</v>
      </c>
      <c r="D4625" s="9">
        <f t="shared" si="36"/>
        <v>74.397868432897354</v>
      </c>
      <c r="E4625" s="9"/>
      <c r="F4625" s="9">
        <f ca="1">IFERROR(__xludf.DUMMYFUNCTION("""COMPUTED_VALUE"""),40682)</f>
        <v>40682</v>
      </c>
      <c r="G4625" s="9" t="str">
        <f ca="1">IFERROR(__xludf.DUMMYFUNCTION("""COMPUTED_VALUE"""),"1 USD = 86.2372 PKR")</f>
        <v>1 USD = 86.2372 PKR</v>
      </c>
      <c r="H4625" s="9" t="str">
        <f ca="1">IFERROR(__xludf.DUMMYFUNCTION("""COMPUTED_VALUE"""),"USD PKR rate for 19/05/2011")</f>
        <v>USD PKR rate for 19/05/2011</v>
      </c>
      <c r="I4625" s="9"/>
    </row>
    <row r="4626" spans="1:9" ht="14.25" customHeight="1" x14ac:dyDescent="0.3">
      <c r="A4626" s="10">
        <v>44343</v>
      </c>
      <c r="B4626" s="11">
        <v>155.2885</v>
      </c>
      <c r="C4626" s="8">
        <f t="shared" si="37"/>
        <v>180.59918296124039</v>
      </c>
      <c r="D4626" s="9">
        <f t="shared" si="36"/>
        <v>74.40060626569462</v>
      </c>
      <c r="E4626" s="9"/>
      <c r="F4626" s="9">
        <f ca="1">IFERROR(__xludf.DUMMYFUNCTION("""COMPUTED_VALUE"""),40681)</f>
        <v>40681</v>
      </c>
      <c r="G4626" s="9" t="str">
        <f ca="1">IFERROR(__xludf.DUMMYFUNCTION("""COMPUTED_VALUE"""),"1 USD = 85.6216 PKR")</f>
        <v>1 USD = 85.6216 PKR</v>
      </c>
      <c r="H4626" s="9" t="str">
        <f ca="1">IFERROR(__xludf.DUMMYFUNCTION("""COMPUTED_VALUE"""),"USD PKR rate for 18/05/2011")</f>
        <v>USD PKR rate for 18/05/2011</v>
      </c>
      <c r="I4626" s="9"/>
    </row>
    <row r="4627" spans="1:9" ht="14.25" customHeight="1" x14ac:dyDescent="0.3">
      <c r="A4627" s="10">
        <v>44344</v>
      </c>
      <c r="B4627" s="11">
        <v>154.6053</v>
      </c>
      <c r="C4627" s="8">
        <f t="shared" si="37"/>
        <v>180.63148308327865</v>
      </c>
      <c r="D4627" s="9">
        <f t="shared" si="36"/>
        <v>74.403344098491885</v>
      </c>
      <c r="E4627" s="9"/>
      <c r="F4627" s="9">
        <f ca="1">IFERROR(__xludf.DUMMYFUNCTION("""COMPUTED_VALUE"""),40680)</f>
        <v>40680</v>
      </c>
      <c r="G4627" s="9" t="str">
        <f ca="1">IFERROR(__xludf.DUMMYFUNCTION("""COMPUTED_VALUE"""),"1 USD = 85.6382 PKR")</f>
        <v>1 USD = 85.6382 PKR</v>
      </c>
      <c r="H4627" s="9" t="str">
        <f ca="1">IFERROR(__xludf.DUMMYFUNCTION("""COMPUTED_VALUE"""),"USD PKR rate for 17/05/2011")</f>
        <v>USD PKR rate for 17/05/2011</v>
      </c>
      <c r="I4627" s="9"/>
    </row>
    <row r="4628" spans="1:9" ht="14.25" customHeight="1" x14ac:dyDescent="0.3">
      <c r="A4628" s="10">
        <v>44345</v>
      </c>
      <c r="B4628" s="11">
        <v>154.6053</v>
      </c>
      <c r="C4628" s="8">
        <f t="shared" si="37"/>
        <v>180.6637889821863</v>
      </c>
      <c r="D4628" s="9">
        <f t="shared" si="36"/>
        <v>74.406081931289151</v>
      </c>
      <c r="E4628" s="9"/>
      <c r="F4628" s="9">
        <f ca="1">IFERROR(__xludf.DUMMYFUNCTION("""COMPUTED_VALUE"""),40679)</f>
        <v>40679</v>
      </c>
      <c r="G4628" s="9" t="str">
        <f ca="1">IFERROR(__xludf.DUMMYFUNCTION("""COMPUTED_VALUE"""),"1 USD = 85.0317 PKR")</f>
        <v>1 USD = 85.0317 PKR</v>
      </c>
      <c r="H4628" s="9" t="str">
        <f ca="1">IFERROR(__xludf.DUMMYFUNCTION("""COMPUTED_VALUE"""),"USD PKR rate for 16/05/2011")</f>
        <v>USD PKR rate for 16/05/2011</v>
      </c>
      <c r="I4628" s="9"/>
    </row>
    <row r="4629" spans="1:9" ht="14.25" customHeight="1" x14ac:dyDescent="0.3">
      <c r="A4629" s="10">
        <v>44346</v>
      </c>
      <c r="B4629" s="11">
        <v>154.93879999999999</v>
      </c>
      <c r="C4629" s="8">
        <f t="shared" si="37"/>
        <v>180.69610065899647</v>
      </c>
      <c r="D4629" s="9">
        <f t="shared" si="36"/>
        <v>74.408819764086417</v>
      </c>
      <c r="E4629" s="9"/>
      <c r="F4629" s="9">
        <f ca="1">IFERROR(__xludf.DUMMYFUNCTION("""COMPUTED_VALUE"""),40678)</f>
        <v>40678</v>
      </c>
      <c r="G4629" s="9" t="str">
        <f ca="1">IFERROR(__xludf.DUMMYFUNCTION("""COMPUTED_VALUE"""),"1 USD = 85.4978 PKR")</f>
        <v>1 USD = 85.4978 PKR</v>
      </c>
      <c r="H4629" s="9" t="str">
        <f ca="1">IFERROR(__xludf.DUMMYFUNCTION("""COMPUTED_VALUE"""),"USD PKR rate for 15/05/2011")</f>
        <v>USD PKR rate for 15/05/2011</v>
      </c>
      <c r="I4629" s="9"/>
    </row>
    <row r="4630" spans="1:9" ht="14.25" customHeight="1" x14ac:dyDescent="0.3">
      <c r="A4630" s="10">
        <v>44347</v>
      </c>
      <c r="B4630" s="11">
        <v>154.1704</v>
      </c>
      <c r="C4630" s="8">
        <f t="shared" si="37"/>
        <v>180.7284181147424</v>
      </c>
      <c r="D4630" s="9">
        <f t="shared" si="36"/>
        <v>74.411557596883682</v>
      </c>
      <c r="E4630" s="9"/>
      <c r="F4630" s="9">
        <f ca="1">IFERROR(__xludf.DUMMYFUNCTION("""COMPUTED_VALUE"""),40677)</f>
        <v>40677</v>
      </c>
      <c r="G4630" s="9" t="str">
        <f ca="1">IFERROR(__xludf.DUMMYFUNCTION("""COMPUTED_VALUE"""),"1 USD = 85.3922 PKR")</f>
        <v>1 USD = 85.3922 PKR</v>
      </c>
      <c r="H4630" s="9" t="str">
        <f ca="1">IFERROR(__xludf.DUMMYFUNCTION("""COMPUTED_VALUE"""),"USD PKR rate for 14/05/2011")</f>
        <v>USD PKR rate for 14/05/2011</v>
      </c>
      <c r="I4630" s="9"/>
    </row>
    <row r="4631" spans="1:9" ht="14.25" customHeight="1" x14ac:dyDescent="0.3">
      <c r="A4631" s="10">
        <v>44348</v>
      </c>
      <c r="B4631" s="11">
        <v>154.40430000000001</v>
      </c>
      <c r="C4631" s="8">
        <f t="shared" si="37"/>
        <v>180.76074135045798</v>
      </c>
      <c r="D4631" s="9">
        <f t="shared" si="36"/>
        <v>74.414295429680948</v>
      </c>
      <c r="E4631" s="9"/>
      <c r="F4631" s="9">
        <f ca="1">IFERROR(__xludf.DUMMYFUNCTION("""COMPUTED_VALUE"""),40676)</f>
        <v>40676</v>
      </c>
      <c r="G4631" s="9" t="str">
        <f ca="1">IFERROR(__xludf.DUMMYFUNCTION("""COMPUTED_VALUE"""),"1 USD = 85.3773 PKR")</f>
        <v>1 USD = 85.3773 PKR</v>
      </c>
      <c r="H4631" s="9" t="str">
        <f ca="1">IFERROR(__xludf.DUMMYFUNCTION("""COMPUTED_VALUE"""),"USD PKR rate for 13/05/2011")</f>
        <v>USD PKR rate for 13/05/2011</v>
      </c>
      <c r="I4631" s="9"/>
    </row>
    <row r="4632" spans="1:9" ht="14.25" customHeight="1" x14ac:dyDescent="0.3">
      <c r="A4632" s="10">
        <v>44349</v>
      </c>
      <c r="B4632" s="11">
        <v>154.98869999999999</v>
      </c>
      <c r="C4632" s="8">
        <f t="shared" si="37"/>
        <v>180.79307036717674</v>
      </c>
      <c r="D4632" s="9">
        <f t="shared" si="36"/>
        <v>74.417033262478213</v>
      </c>
      <c r="E4632" s="9"/>
      <c r="F4632" s="9">
        <f ca="1">IFERROR(__xludf.DUMMYFUNCTION("""COMPUTED_VALUE"""),40675)</f>
        <v>40675</v>
      </c>
      <c r="G4632" s="9" t="str">
        <f ca="1">IFERROR(__xludf.DUMMYFUNCTION("""COMPUTED_VALUE"""),"1 USD = 84.623 PKR")</f>
        <v>1 USD = 84.623 PKR</v>
      </c>
      <c r="H4632" s="9" t="str">
        <f ca="1">IFERROR(__xludf.DUMMYFUNCTION("""COMPUTED_VALUE"""),"USD PKR rate for 12/05/2011")</f>
        <v>USD PKR rate for 12/05/2011</v>
      </c>
      <c r="I4632" s="9"/>
    </row>
    <row r="4633" spans="1:9" ht="14.25" customHeight="1" x14ac:dyDescent="0.3">
      <c r="A4633" s="10">
        <v>44350</v>
      </c>
      <c r="B4633" s="11">
        <v>154.74289999999999</v>
      </c>
      <c r="C4633" s="8">
        <f t="shared" si="37"/>
        <v>180.82540516593266</v>
      </c>
      <c r="D4633" s="9">
        <f t="shared" si="36"/>
        <v>74.419771095275479</v>
      </c>
      <c r="E4633" s="9"/>
      <c r="F4633" s="9">
        <f ca="1">IFERROR(__xludf.DUMMYFUNCTION("""COMPUTED_VALUE"""),40674)</f>
        <v>40674</v>
      </c>
      <c r="G4633" s="9" t="str">
        <f ca="1">IFERROR(__xludf.DUMMYFUNCTION("""COMPUTED_VALUE"""),"1 USD = 84.7776 PKR")</f>
        <v>1 USD = 84.7776 PKR</v>
      </c>
      <c r="H4633" s="9" t="str">
        <f ca="1">IFERROR(__xludf.DUMMYFUNCTION("""COMPUTED_VALUE"""),"USD PKR rate for 11/05/2011")</f>
        <v>USD PKR rate for 11/05/2011</v>
      </c>
      <c r="I4633" s="9"/>
    </row>
    <row r="4634" spans="1:9" ht="14.25" customHeight="1" x14ac:dyDescent="0.3">
      <c r="A4634" s="10">
        <v>44351</v>
      </c>
      <c r="B4634" s="11">
        <v>154.4966</v>
      </c>
      <c r="C4634" s="8">
        <f t="shared" si="37"/>
        <v>180.85774574775988</v>
      </c>
      <c r="D4634" s="9">
        <f t="shared" si="36"/>
        <v>74.422508928072745</v>
      </c>
      <c r="E4634" s="9"/>
      <c r="F4634" s="9">
        <f ca="1">IFERROR(__xludf.DUMMYFUNCTION("""COMPUTED_VALUE"""),40673)</f>
        <v>40673</v>
      </c>
      <c r="G4634" s="9" t="str">
        <f ca="1">IFERROR(__xludf.DUMMYFUNCTION("""COMPUTED_VALUE"""),"1 USD = 84.6461 PKR")</f>
        <v>1 USD = 84.6461 PKR</v>
      </c>
      <c r="H4634" s="9" t="str">
        <f ca="1">IFERROR(__xludf.DUMMYFUNCTION("""COMPUTED_VALUE"""),"USD PKR rate for 10/05/2011")</f>
        <v>USD PKR rate for 10/05/2011</v>
      </c>
      <c r="I4634" s="9"/>
    </row>
    <row r="4635" spans="1:9" ht="14.25" customHeight="1" x14ac:dyDescent="0.3">
      <c r="A4635" s="10">
        <v>44352</v>
      </c>
      <c r="B4635" s="11">
        <v>154.4966</v>
      </c>
      <c r="C4635" s="8">
        <f t="shared" si="37"/>
        <v>180.89009211369265</v>
      </c>
      <c r="D4635" s="9">
        <f t="shared" si="36"/>
        <v>74.42524676087001</v>
      </c>
      <c r="E4635" s="9"/>
      <c r="F4635" s="9">
        <f ca="1">IFERROR(__xludf.DUMMYFUNCTION("""COMPUTED_VALUE"""),40672)</f>
        <v>40672</v>
      </c>
      <c r="G4635" s="9" t="str">
        <f ca="1">IFERROR(__xludf.DUMMYFUNCTION("""COMPUTED_VALUE"""),"1 USD = 84.8851 PKR")</f>
        <v>1 USD = 84.8851 PKR</v>
      </c>
      <c r="H4635" s="9" t="str">
        <f ca="1">IFERROR(__xludf.DUMMYFUNCTION("""COMPUTED_VALUE"""),"USD PKR rate for 09/05/2011")</f>
        <v>USD PKR rate for 09/05/2011</v>
      </c>
      <c r="I4635" s="9"/>
    </row>
    <row r="4636" spans="1:9" ht="14.25" customHeight="1" x14ac:dyDescent="0.3">
      <c r="A4636" s="10">
        <v>44353</v>
      </c>
      <c r="B4636" s="11">
        <v>154.4914</v>
      </c>
      <c r="C4636" s="8">
        <f t="shared" si="37"/>
        <v>180.92244426476549</v>
      </c>
      <c r="D4636" s="9">
        <f t="shared" si="36"/>
        <v>74.427984593667276</v>
      </c>
      <c r="E4636" s="9"/>
      <c r="F4636" s="9">
        <f ca="1">IFERROR(__xludf.DUMMYFUNCTION("""COMPUTED_VALUE"""),40671)</f>
        <v>40671</v>
      </c>
      <c r="G4636" s="9" t="str">
        <f ca="1">IFERROR(__xludf.DUMMYFUNCTION("""COMPUTED_VALUE"""),"1 USD = 85.2458 PKR")</f>
        <v>1 USD = 85.2458 PKR</v>
      </c>
      <c r="H4636" s="9" t="str">
        <f ca="1">IFERROR(__xludf.DUMMYFUNCTION("""COMPUTED_VALUE"""),"USD PKR rate for 08/05/2011")</f>
        <v>USD PKR rate for 08/05/2011</v>
      </c>
      <c r="I4636" s="9"/>
    </row>
    <row r="4637" spans="1:9" ht="14.25" customHeight="1" x14ac:dyDescent="0.3">
      <c r="A4637" s="10">
        <v>44354</v>
      </c>
      <c r="B4637" s="11">
        <v>155.0701</v>
      </c>
      <c r="C4637" s="8">
        <f t="shared" si="37"/>
        <v>180.95480220201301</v>
      </c>
      <c r="D4637" s="9">
        <f t="shared" si="36"/>
        <v>74.430722426464541</v>
      </c>
      <c r="E4637" s="9"/>
      <c r="F4637" s="9">
        <f ca="1">IFERROR(__xludf.DUMMYFUNCTION("""COMPUTED_VALUE"""),40670)</f>
        <v>40670</v>
      </c>
      <c r="G4637" s="9" t="str">
        <f ca="1">IFERROR(__xludf.DUMMYFUNCTION("""COMPUTED_VALUE"""),"1 USD = 85.1624 PKR")</f>
        <v>1 USD = 85.1624 PKR</v>
      </c>
      <c r="H4637" s="9" t="str">
        <f ca="1">IFERROR(__xludf.DUMMYFUNCTION("""COMPUTED_VALUE"""),"USD PKR rate for 07/05/2011")</f>
        <v>USD PKR rate for 07/05/2011</v>
      </c>
      <c r="I4637" s="9"/>
    </row>
    <row r="4638" spans="1:9" ht="14.25" customHeight="1" x14ac:dyDescent="0.3">
      <c r="A4638" s="10">
        <v>44355</v>
      </c>
      <c r="B4638" s="11">
        <v>155.56880000000001</v>
      </c>
      <c r="C4638" s="8">
        <f t="shared" si="37"/>
        <v>180.98716592647017</v>
      </c>
      <c r="D4638" s="9">
        <f t="shared" si="36"/>
        <v>74.433460259261807</v>
      </c>
      <c r="E4638" s="9"/>
      <c r="F4638" s="9">
        <f ca="1">IFERROR(__xludf.DUMMYFUNCTION("""COMPUTED_VALUE"""),40669)</f>
        <v>40669</v>
      </c>
      <c r="G4638" s="9" t="str">
        <f ca="1">IFERROR(__xludf.DUMMYFUNCTION("""COMPUTED_VALUE"""),"1 USD = 85.1624 PKR")</f>
        <v>1 USD = 85.1624 PKR</v>
      </c>
      <c r="H4638" s="9" t="str">
        <f ca="1">IFERROR(__xludf.DUMMYFUNCTION("""COMPUTED_VALUE"""),"USD PKR rate for 06/05/2011")</f>
        <v>USD PKR rate for 06/05/2011</v>
      </c>
      <c r="I4638" s="9"/>
    </row>
    <row r="4639" spans="1:9" ht="14.25" customHeight="1" x14ac:dyDescent="0.3">
      <c r="A4639" s="10">
        <v>44356</v>
      </c>
      <c r="B4639" s="11">
        <v>155.78049999999999</v>
      </c>
      <c r="C4639" s="8">
        <f t="shared" si="37"/>
        <v>181.01953543917176</v>
      </c>
      <c r="D4639" s="9">
        <f t="shared" si="36"/>
        <v>74.436198092059072</v>
      </c>
      <c r="E4639" s="9"/>
      <c r="F4639" s="9">
        <f ca="1">IFERROR(__xludf.DUMMYFUNCTION("""COMPUTED_VALUE"""),40668)</f>
        <v>40668</v>
      </c>
      <c r="G4639" s="9" t="str">
        <f ca="1">IFERROR(__xludf.DUMMYFUNCTION("""COMPUTED_VALUE"""),"1 USD = 84.9142 PKR")</f>
        <v>1 USD = 84.9142 PKR</v>
      </c>
      <c r="H4639" s="9" t="str">
        <f ca="1">IFERROR(__xludf.DUMMYFUNCTION("""COMPUTED_VALUE"""),"USD PKR rate for 05/05/2011")</f>
        <v>USD PKR rate for 05/05/2011</v>
      </c>
      <c r="I4639" s="9"/>
    </row>
    <row r="4640" spans="1:9" ht="14.25" customHeight="1" x14ac:dyDescent="0.3">
      <c r="A4640" s="10">
        <v>44357</v>
      </c>
      <c r="B4640" s="11">
        <v>155.7336</v>
      </c>
      <c r="C4640" s="8">
        <f t="shared" si="37"/>
        <v>181.05191074115334</v>
      </c>
      <c r="D4640" s="9">
        <f t="shared" si="36"/>
        <v>74.438935924856338</v>
      </c>
      <c r="E4640" s="9"/>
      <c r="F4640" s="9">
        <f ca="1">IFERROR(__xludf.DUMMYFUNCTION("""COMPUTED_VALUE"""),40667)</f>
        <v>40667</v>
      </c>
      <c r="G4640" s="9" t="str">
        <f ca="1">IFERROR(__xludf.DUMMYFUNCTION("""COMPUTED_VALUE"""),"1 USD = 84.2856 PKR")</f>
        <v>1 USD = 84.2856 PKR</v>
      </c>
      <c r="H4640" s="9" t="str">
        <f ca="1">IFERROR(__xludf.DUMMYFUNCTION("""COMPUTED_VALUE"""),"USD PKR rate for 04/05/2011")</f>
        <v>USD PKR rate for 04/05/2011</v>
      </c>
      <c r="I4640" s="9"/>
    </row>
    <row r="4641" spans="1:9" ht="14.25" customHeight="1" x14ac:dyDescent="0.3">
      <c r="A4641" s="10">
        <v>44358</v>
      </c>
      <c r="B4641" s="11">
        <v>156.7038</v>
      </c>
      <c r="C4641" s="8">
        <f t="shared" si="37"/>
        <v>181.08429183345021</v>
      </c>
      <c r="D4641" s="9">
        <f t="shared" si="36"/>
        <v>74.441673757653604</v>
      </c>
      <c r="E4641" s="9"/>
      <c r="F4641" s="9">
        <f ca="1">IFERROR(__xludf.DUMMYFUNCTION("""COMPUTED_VALUE"""),40666)</f>
        <v>40666</v>
      </c>
      <c r="G4641" s="9" t="str">
        <f ca="1">IFERROR(__xludf.DUMMYFUNCTION("""COMPUTED_VALUE"""),"1 USD = 84.2755 PKR")</f>
        <v>1 USD = 84.2755 PKR</v>
      </c>
      <c r="H4641" s="9" t="str">
        <f ca="1">IFERROR(__xludf.DUMMYFUNCTION("""COMPUTED_VALUE"""),"USD PKR rate for 03/05/2011")</f>
        <v>USD PKR rate for 03/05/2011</v>
      </c>
      <c r="I4641" s="9"/>
    </row>
    <row r="4642" spans="1:9" ht="14.25" customHeight="1" x14ac:dyDescent="0.3">
      <c r="A4642" s="10">
        <v>44359</v>
      </c>
      <c r="B4642" s="11">
        <v>155.90549999999999</v>
      </c>
      <c r="C4642" s="8">
        <f t="shared" si="37"/>
        <v>181.1166787170979</v>
      </c>
      <c r="D4642" s="9">
        <f t="shared" si="36"/>
        <v>74.444411590450869</v>
      </c>
      <c r="E4642" s="9"/>
      <c r="F4642" s="9">
        <f ca="1">IFERROR(__xludf.DUMMYFUNCTION("""COMPUTED_VALUE"""),40665)</f>
        <v>40665</v>
      </c>
      <c r="G4642" s="9" t="str">
        <f ca="1">IFERROR(__xludf.DUMMYFUNCTION("""COMPUTED_VALUE"""),"1 USD = 84.2913 PKR")</f>
        <v>1 USD = 84.2913 PKR</v>
      </c>
      <c r="H4642" s="9" t="str">
        <f ca="1">IFERROR(__xludf.DUMMYFUNCTION("""COMPUTED_VALUE"""),"USD PKR rate for 02/05/2011")</f>
        <v>USD PKR rate for 02/05/2011</v>
      </c>
      <c r="I4642" s="9"/>
    </row>
    <row r="4643" spans="1:9" ht="14.25" customHeight="1" x14ac:dyDescent="0.3">
      <c r="A4643" s="10">
        <v>44360</v>
      </c>
      <c r="B4643" s="11">
        <v>155.98580000000001</v>
      </c>
      <c r="C4643" s="8">
        <f t="shared" si="37"/>
        <v>181.14907139313226</v>
      </c>
      <c r="D4643" s="9">
        <f t="shared" si="36"/>
        <v>74.447149423248135</v>
      </c>
      <c r="E4643" s="9"/>
      <c r="F4643" s="9">
        <f ca="1">IFERROR(__xludf.DUMMYFUNCTION("""COMPUTED_VALUE"""),40664)</f>
        <v>40664</v>
      </c>
      <c r="G4643" s="9" t="str">
        <f ca="1">IFERROR(__xludf.DUMMYFUNCTION("""COMPUTED_VALUE"""),"1 USD = 84.5119 PKR")</f>
        <v>1 USD = 84.5119 PKR</v>
      </c>
      <c r="H4643" s="9" t="str">
        <f ca="1">IFERROR(__xludf.DUMMYFUNCTION("""COMPUTED_VALUE"""),"USD PKR rate for 01/05/2011")</f>
        <v>USD PKR rate for 01/05/2011</v>
      </c>
      <c r="I4643" s="9"/>
    </row>
    <row r="4644" spans="1:9" ht="14.25" customHeight="1" x14ac:dyDescent="0.3">
      <c r="A4644" s="10">
        <v>44361</v>
      </c>
      <c r="B4644" s="11">
        <v>155.85820000000001</v>
      </c>
      <c r="C4644" s="8">
        <f t="shared" si="37"/>
        <v>181.18146986258921</v>
      </c>
      <c r="D4644" s="9">
        <f t="shared" si="36"/>
        <v>74.4498872560454</v>
      </c>
      <c r="E4644" s="9"/>
      <c r="F4644" s="9">
        <f ca="1">IFERROR(__xludf.DUMMYFUNCTION("""COMPUTED_VALUE"""),40663)</f>
        <v>40663</v>
      </c>
      <c r="G4644" s="9" t="str">
        <f ca="1">IFERROR(__xludf.DUMMYFUNCTION("""COMPUTED_VALUE"""),"1 USD = 84.4107 PKR")</f>
        <v>1 USD = 84.4107 PKR</v>
      </c>
      <c r="H4644" s="9" t="str">
        <f ca="1">IFERROR(__xludf.DUMMYFUNCTION("""COMPUTED_VALUE"""),"USD PKR rate for 30/04/2011")</f>
        <v>USD PKR rate for 30/04/2011</v>
      </c>
      <c r="I4644" s="9"/>
    </row>
    <row r="4645" spans="1:9" ht="14.25" customHeight="1" x14ac:dyDescent="0.3">
      <c r="A4645" s="10">
        <v>44362</v>
      </c>
      <c r="B4645" s="11">
        <v>155.73869999999999</v>
      </c>
      <c r="C4645" s="8">
        <f t="shared" si="37"/>
        <v>181.21387412650495</v>
      </c>
      <c r="D4645" s="9">
        <f t="shared" si="36"/>
        <v>74.452625088842666</v>
      </c>
      <c r="E4645" s="9"/>
      <c r="F4645" s="9">
        <f ca="1">IFERROR(__xludf.DUMMYFUNCTION("""COMPUTED_VALUE"""),40662)</f>
        <v>40662</v>
      </c>
      <c r="G4645" s="9" t="str">
        <f ca="1">IFERROR(__xludf.DUMMYFUNCTION("""COMPUTED_VALUE"""),"1 USD = 84.4107 PKR")</f>
        <v>1 USD = 84.4107 PKR</v>
      </c>
      <c r="H4645" s="9" t="str">
        <f ca="1">IFERROR(__xludf.DUMMYFUNCTION("""COMPUTED_VALUE"""),"USD PKR rate for 29/04/2011")</f>
        <v>USD PKR rate for 29/04/2011</v>
      </c>
      <c r="I4645" s="9"/>
    </row>
    <row r="4646" spans="1:9" ht="14.25" customHeight="1" x14ac:dyDescent="0.3">
      <c r="A4646" s="10">
        <v>44363</v>
      </c>
      <c r="B4646" s="11">
        <v>156.48349999999999</v>
      </c>
      <c r="C4646" s="8">
        <f t="shared" si="37"/>
        <v>181.24628418591578</v>
      </c>
      <c r="D4646" s="9">
        <f t="shared" si="36"/>
        <v>74.455362921639932</v>
      </c>
      <c r="E4646" s="9"/>
      <c r="F4646" s="9">
        <f ca="1">IFERROR(__xludf.DUMMYFUNCTION("""COMPUTED_VALUE"""),40661)</f>
        <v>40661</v>
      </c>
      <c r="G4646" s="9" t="str">
        <f ca="1">IFERROR(__xludf.DUMMYFUNCTION("""COMPUTED_VALUE"""),"1 USD = 84.277 PKR")</f>
        <v>1 USD = 84.277 PKR</v>
      </c>
      <c r="H4646" s="9" t="str">
        <f ca="1">IFERROR(__xludf.DUMMYFUNCTION("""COMPUTED_VALUE"""),"USD PKR rate for 28/04/2011")</f>
        <v>USD PKR rate for 28/04/2011</v>
      </c>
      <c r="I4646" s="9"/>
    </row>
    <row r="4647" spans="1:9" ht="14.25" customHeight="1" x14ac:dyDescent="0.3">
      <c r="A4647" s="10">
        <v>44364</v>
      </c>
      <c r="B4647" s="11">
        <v>157.10650000000001</v>
      </c>
      <c r="C4647" s="8">
        <f t="shared" si="37"/>
        <v>181.27870004185823</v>
      </c>
      <c r="D4647" s="9">
        <f t="shared" si="36"/>
        <v>74.458100754437197</v>
      </c>
      <c r="E4647" s="9"/>
      <c r="F4647" s="9">
        <f ca="1">IFERROR(__xludf.DUMMYFUNCTION("""COMPUTED_VALUE"""),40660)</f>
        <v>40660</v>
      </c>
      <c r="G4647" s="9" t="str">
        <f ca="1">IFERROR(__xludf.DUMMYFUNCTION("""COMPUTED_VALUE"""),"1 USD = 84.5887 PKR")</f>
        <v>1 USD = 84.5887 PKR</v>
      </c>
      <c r="H4647" s="9" t="str">
        <f ca="1">IFERROR(__xludf.DUMMYFUNCTION("""COMPUTED_VALUE"""),"USD PKR rate for 27/04/2011")</f>
        <v>USD PKR rate for 27/04/2011</v>
      </c>
      <c r="I4647" s="9"/>
    </row>
    <row r="4648" spans="1:9" ht="14.25" customHeight="1" x14ac:dyDescent="0.3">
      <c r="A4648" s="10">
        <v>44365</v>
      </c>
      <c r="B4648" s="11">
        <v>156.8552</v>
      </c>
      <c r="C4648" s="8">
        <f t="shared" si="37"/>
        <v>181.31112169536877</v>
      </c>
      <c r="D4648" s="9">
        <f t="shared" si="36"/>
        <v>74.460838587234463</v>
      </c>
      <c r="E4648" s="9"/>
      <c r="F4648" s="9">
        <f ca="1">IFERROR(__xludf.DUMMYFUNCTION("""COMPUTED_VALUE"""),40659)</f>
        <v>40659</v>
      </c>
      <c r="G4648" s="9" t="str">
        <f ca="1">IFERROR(__xludf.DUMMYFUNCTION("""COMPUTED_VALUE"""),"1 USD = 84.1792 PKR")</f>
        <v>1 USD = 84.1792 PKR</v>
      </c>
      <c r="H4648" s="9" t="str">
        <f ca="1">IFERROR(__xludf.DUMMYFUNCTION("""COMPUTED_VALUE"""),"USD PKR rate for 26/04/2011")</f>
        <v>USD PKR rate for 26/04/2011</v>
      </c>
      <c r="I4648" s="9"/>
    </row>
    <row r="4649" spans="1:9" ht="14.25" customHeight="1" x14ac:dyDescent="0.3">
      <c r="A4649" s="10">
        <v>44366</v>
      </c>
      <c r="B4649" s="11">
        <v>156.84440000000001</v>
      </c>
      <c r="C4649" s="8">
        <f t="shared" si="37"/>
        <v>181.34354914748477</v>
      </c>
      <c r="D4649" s="9">
        <f t="shared" si="36"/>
        <v>74.463576420031728</v>
      </c>
      <c r="E4649" s="9"/>
      <c r="F4649" s="9">
        <f ca="1">IFERROR(__xludf.DUMMYFUNCTION("""COMPUTED_VALUE"""),40658)</f>
        <v>40658</v>
      </c>
      <c r="G4649" s="9" t="str">
        <f ca="1">IFERROR(__xludf.DUMMYFUNCTION("""COMPUTED_VALUE"""),"1 USD = 84.6512 PKR")</f>
        <v>1 USD = 84.6512 PKR</v>
      </c>
      <c r="H4649" s="9" t="str">
        <f ca="1">IFERROR(__xludf.DUMMYFUNCTION("""COMPUTED_VALUE"""),"USD PKR rate for 25/04/2011")</f>
        <v>USD PKR rate for 25/04/2011</v>
      </c>
      <c r="I4649" s="9"/>
    </row>
    <row r="4650" spans="1:9" ht="14.25" customHeight="1" x14ac:dyDescent="0.3">
      <c r="A4650" s="10">
        <v>44367</v>
      </c>
      <c r="B4650" s="11">
        <v>157.11859999999999</v>
      </c>
      <c r="C4650" s="8">
        <f t="shared" si="37"/>
        <v>181.37598239924304</v>
      </c>
      <c r="D4650" s="9">
        <f t="shared" si="36"/>
        <v>74.466314252828994</v>
      </c>
      <c r="E4650" s="9"/>
      <c r="F4650" s="9">
        <f ca="1">IFERROR(__xludf.DUMMYFUNCTION("""COMPUTED_VALUE"""),40657)</f>
        <v>40657</v>
      </c>
      <c r="G4650" s="9" t="str">
        <f ca="1">IFERROR(__xludf.DUMMYFUNCTION("""COMPUTED_VALUE"""),"1 USD = 84.6875 PKR")</f>
        <v>1 USD = 84.6875 PKR</v>
      </c>
      <c r="H4650" s="9" t="str">
        <f ca="1">IFERROR(__xludf.DUMMYFUNCTION("""COMPUTED_VALUE"""),"USD PKR rate for 24/04/2011")</f>
        <v>USD PKR rate for 24/04/2011</v>
      </c>
      <c r="I4650" s="9"/>
    </row>
    <row r="4651" spans="1:9" ht="14.25" customHeight="1" x14ac:dyDescent="0.3">
      <c r="A4651" s="10">
        <v>44368</v>
      </c>
      <c r="B4651" s="11">
        <v>157.58170000000001</v>
      </c>
      <c r="C4651" s="8">
        <f t="shared" si="37"/>
        <v>181.40842145168088</v>
      </c>
      <c r="D4651" s="9">
        <f t="shared" si="36"/>
        <v>74.469052085626259</v>
      </c>
      <c r="E4651" s="9"/>
      <c r="F4651" s="9">
        <f ca="1">IFERROR(__xludf.DUMMYFUNCTION("""COMPUTED_VALUE"""),40656)</f>
        <v>40656</v>
      </c>
      <c r="G4651" s="9" t="str">
        <f ca="1">IFERROR(__xludf.DUMMYFUNCTION("""COMPUTED_VALUE"""),"1 USD = 84.7798 PKR")</f>
        <v>1 USD = 84.7798 PKR</v>
      </c>
      <c r="H4651" s="9" t="str">
        <f ca="1">IFERROR(__xludf.DUMMYFUNCTION("""COMPUTED_VALUE"""),"USD PKR rate for 23/04/2011")</f>
        <v>USD PKR rate for 23/04/2011</v>
      </c>
      <c r="I4651" s="9"/>
    </row>
    <row r="4652" spans="1:9" ht="14.25" customHeight="1" x14ac:dyDescent="0.3">
      <c r="A4652" s="10">
        <v>44369</v>
      </c>
      <c r="B4652" s="11">
        <v>157.80770000000001</v>
      </c>
      <c r="C4652" s="8">
        <f t="shared" si="37"/>
        <v>181.44086630583573</v>
      </c>
      <c r="D4652" s="9">
        <f t="shared" si="36"/>
        <v>74.471789918423525</v>
      </c>
      <c r="E4652" s="9"/>
      <c r="F4652" s="9">
        <f ca="1">IFERROR(__xludf.DUMMYFUNCTION("""COMPUTED_VALUE"""),40655)</f>
        <v>40655</v>
      </c>
      <c r="G4652" s="9" t="str">
        <f ca="1">IFERROR(__xludf.DUMMYFUNCTION("""COMPUTED_VALUE"""),"1 USD = 84.7798 PKR")</f>
        <v>1 USD = 84.7798 PKR</v>
      </c>
      <c r="H4652" s="9" t="str">
        <f ca="1">IFERROR(__xludf.DUMMYFUNCTION("""COMPUTED_VALUE"""),"USD PKR rate for 22/04/2011")</f>
        <v>USD PKR rate for 22/04/2011</v>
      </c>
      <c r="I4652" s="9"/>
    </row>
    <row r="4653" spans="1:9" ht="14.25" customHeight="1" x14ac:dyDescent="0.3">
      <c r="A4653" s="10">
        <v>44370</v>
      </c>
      <c r="B4653" s="11">
        <v>158.2398</v>
      </c>
      <c r="C4653" s="8">
        <f t="shared" si="37"/>
        <v>181.47331696274526</v>
      </c>
      <c r="D4653" s="9">
        <f t="shared" si="36"/>
        <v>74.474527751220791</v>
      </c>
      <c r="E4653" s="9"/>
      <c r="F4653" s="9">
        <f ca="1">IFERROR(__xludf.DUMMYFUNCTION("""COMPUTED_VALUE"""),40654)</f>
        <v>40654</v>
      </c>
      <c r="G4653" s="9" t="str">
        <f ca="1">IFERROR(__xludf.DUMMYFUNCTION("""COMPUTED_VALUE"""),"1 USD = 84.8336 PKR")</f>
        <v>1 USD = 84.8336 PKR</v>
      </c>
      <c r="H4653" s="9" t="str">
        <f ca="1">IFERROR(__xludf.DUMMYFUNCTION("""COMPUTED_VALUE"""),"USD PKR rate for 21/04/2011")</f>
        <v>USD PKR rate for 21/04/2011</v>
      </c>
      <c r="I4653" s="9"/>
    </row>
    <row r="4654" spans="1:9" ht="14.25" customHeight="1" x14ac:dyDescent="0.3">
      <c r="A4654" s="10">
        <v>44371</v>
      </c>
      <c r="B4654" s="11">
        <v>157.83799999999999</v>
      </c>
      <c r="C4654" s="8">
        <f t="shared" si="37"/>
        <v>181.50577342344724</v>
      </c>
      <c r="D4654" s="9">
        <f t="shared" si="36"/>
        <v>74.477265584018056</v>
      </c>
      <c r="E4654" s="9"/>
      <c r="F4654" s="9">
        <f ca="1">IFERROR(__xludf.DUMMYFUNCTION("""COMPUTED_VALUE"""),40653)</f>
        <v>40653</v>
      </c>
      <c r="G4654" s="9" t="str">
        <f ca="1">IFERROR(__xludf.DUMMYFUNCTION("""COMPUTED_VALUE"""),"1 USD = 85.0408 PKR")</f>
        <v>1 USD = 85.0408 PKR</v>
      </c>
      <c r="H4654" s="9" t="str">
        <f ca="1">IFERROR(__xludf.DUMMYFUNCTION("""COMPUTED_VALUE"""),"USD PKR rate for 20/04/2011")</f>
        <v>USD PKR rate for 20/04/2011</v>
      </c>
      <c r="I4654" s="9"/>
    </row>
    <row r="4655" spans="1:9" ht="14.25" customHeight="1" x14ac:dyDescent="0.3">
      <c r="A4655" s="10">
        <v>44372</v>
      </c>
      <c r="B4655" s="11">
        <v>157.59989999999999</v>
      </c>
      <c r="C4655" s="8">
        <f t="shared" si="37"/>
        <v>181.53823568897971</v>
      </c>
      <c r="D4655" s="9">
        <f t="shared" si="36"/>
        <v>74.480003416815322</v>
      </c>
      <c r="E4655" s="9"/>
      <c r="F4655" s="9">
        <f ca="1">IFERROR(__xludf.DUMMYFUNCTION("""COMPUTED_VALUE"""),40652)</f>
        <v>40652</v>
      </c>
      <c r="G4655" s="9" t="str">
        <f ca="1">IFERROR(__xludf.DUMMYFUNCTION("""COMPUTED_VALUE"""),"1 USD = 85.0364 PKR")</f>
        <v>1 USD = 85.0364 PKR</v>
      </c>
      <c r="H4655" s="9" t="str">
        <f ca="1">IFERROR(__xludf.DUMMYFUNCTION("""COMPUTED_VALUE"""),"USD PKR rate for 19/04/2011")</f>
        <v>USD PKR rate for 19/04/2011</v>
      </c>
      <c r="I4655" s="9"/>
    </row>
    <row r="4656" spans="1:9" ht="14.25" customHeight="1" x14ac:dyDescent="0.3">
      <c r="A4656" s="10">
        <v>44373</v>
      </c>
      <c r="B4656" s="11">
        <v>157.59989999999999</v>
      </c>
      <c r="C4656" s="8">
        <f t="shared" si="37"/>
        <v>181.57070376038084</v>
      </c>
      <c r="D4656" s="9">
        <f t="shared" si="36"/>
        <v>74.482741249612587</v>
      </c>
      <c r="E4656" s="9"/>
      <c r="F4656" s="9">
        <f ca="1">IFERROR(__xludf.DUMMYFUNCTION("""COMPUTED_VALUE"""),40651)</f>
        <v>40651</v>
      </c>
      <c r="G4656" s="9" t="str">
        <f ca="1">IFERROR(__xludf.DUMMYFUNCTION("""COMPUTED_VALUE"""),"1 USD = 84.7493 PKR")</f>
        <v>1 USD = 84.7493 PKR</v>
      </c>
      <c r="H4656" s="9" t="str">
        <f ca="1">IFERROR(__xludf.DUMMYFUNCTION("""COMPUTED_VALUE"""),"USD PKR rate for 18/04/2011")</f>
        <v>USD PKR rate for 18/04/2011</v>
      </c>
      <c r="I4656" s="9"/>
    </row>
    <row r="4657" spans="1:9" ht="14.25" customHeight="1" x14ac:dyDescent="0.3">
      <c r="A4657" s="10">
        <v>44374</v>
      </c>
      <c r="B4657" s="11">
        <v>157.88999999999999</v>
      </c>
      <c r="C4657" s="8">
        <f t="shared" si="37"/>
        <v>181.60317763868883</v>
      </c>
      <c r="D4657" s="9">
        <f t="shared" si="36"/>
        <v>74.485479082409853</v>
      </c>
      <c r="E4657" s="9"/>
      <c r="F4657" s="9">
        <f ca="1">IFERROR(__xludf.DUMMYFUNCTION("""COMPUTED_VALUE"""),40650)</f>
        <v>40650</v>
      </c>
      <c r="G4657" s="9" t="str">
        <f ca="1">IFERROR(__xludf.DUMMYFUNCTION("""COMPUTED_VALUE"""),"1 USD = 84.5554 PKR")</f>
        <v>1 USD = 84.5554 PKR</v>
      </c>
      <c r="H4657" s="9" t="str">
        <f ca="1">IFERROR(__xludf.DUMMYFUNCTION("""COMPUTED_VALUE"""),"USD PKR rate for 17/04/2011")</f>
        <v>USD PKR rate for 17/04/2011</v>
      </c>
      <c r="I4657" s="9"/>
    </row>
    <row r="4658" spans="1:9" ht="14.25" customHeight="1" x14ac:dyDescent="0.3">
      <c r="A4658" s="10">
        <v>44375</v>
      </c>
      <c r="B4658" s="11">
        <v>157.87190000000001</v>
      </c>
      <c r="C4658" s="8">
        <f t="shared" si="37"/>
        <v>181.63565732494263</v>
      </c>
      <c r="D4658" s="9">
        <f t="shared" si="36"/>
        <v>74.488216915207119</v>
      </c>
      <c r="E4658" s="9"/>
      <c r="F4658" s="9">
        <f ca="1">IFERROR(__xludf.DUMMYFUNCTION("""COMPUTED_VALUE"""),40649)</f>
        <v>40649</v>
      </c>
      <c r="G4658" s="9" t="str">
        <f ca="1">IFERROR(__xludf.DUMMYFUNCTION("""COMPUTED_VALUE"""),"1 USD = 84.4829 PKR")</f>
        <v>1 USD = 84.4829 PKR</v>
      </c>
      <c r="H4658" s="9" t="str">
        <f ca="1">IFERROR(__xludf.DUMMYFUNCTION("""COMPUTED_VALUE"""),"USD PKR rate for 16/04/2011")</f>
        <v>USD PKR rate for 16/04/2011</v>
      </c>
      <c r="I4658" s="9"/>
    </row>
    <row r="4659" spans="1:9" ht="14.25" customHeight="1" x14ac:dyDescent="0.3">
      <c r="A4659" s="10">
        <v>44376</v>
      </c>
      <c r="B4659" s="11">
        <v>157.86850000000001</v>
      </c>
      <c r="C4659" s="8">
        <f t="shared" si="37"/>
        <v>181.66814282018075</v>
      </c>
      <c r="D4659" s="9">
        <f t="shared" si="36"/>
        <v>74.490954748004384</v>
      </c>
      <c r="E4659" s="9"/>
      <c r="F4659" s="9">
        <f ca="1">IFERROR(__xludf.DUMMYFUNCTION("""COMPUTED_VALUE"""),40648)</f>
        <v>40648</v>
      </c>
      <c r="G4659" s="9" t="str">
        <f ca="1">IFERROR(__xludf.DUMMYFUNCTION("""COMPUTED_VALUE"""),"1 USD = 84.4829 PKR")</f>
        <v>1 USD = 84.4829 PKR</v>
      </c>
      <c r="H4659" s="9" t="str">
        <f ca="1">IFERROR(__xludf.DUMMYFUNCTION("""COMPUTED_VALUE"""),"USD PKR rate for 15/04/2011")</f>
        <v>USD PKR rate for 15/04/2011</v>
      </c>
      <c r="I4659" s="9"/>
    </row>
    <row r="4660" spans="1:9" ht="14.25" customHeight="1" x14ac:dyDescent="0.3">
      <c r="A4660" s="10">
        <v>44377</v>
      </c>
      <c r="B4660" s="11">
        <v>157.6574</v>
      </c>
      <c r="C4660" s="8">
        <f t="shared" si="37"/>
        <v>181.70063412544221</v>
      </c>
      <c r="D4660" s="9">
        <f t="shared" si="36"/>
        <v>74.49369258080165</v>
      </c>
      <c r="E4660" s="9"/>
      <c r="F4660" s="9">
        <f ca="1">IFERROR(__xludf.DUMMYFUNCTION("""COMPUTED_VALUE"""),40647)</f>
        <v>40647</v>
      </c>
      <c r="G4660" s="9" t="str">
        <f ca="1">IFERROR(__xludf.DUMMYFUNCTION("""COMPUTED_VALUE"""),"1 USD = 84.1645 PKR")</f>
        <v>1 USD = 84.1645 PKR</v>
      </c>
      <c r="H4660" s="9" t="str">
        <f ca="1">IFERROR(__xludf.DUMMYFUNCTION("""COMPUTED_VALUE"""),"USD PKR rate for 14/04/2011")</f>
        <v>USD PKR rate for 14/04/2011</v>
      </c>
      <c r="I4660" s="9"/>
    </row>
    <row r="4661" spans="1:9" ht="14.25" customHeight="1" x14ac:dyDescent="0.3">
      <c r="A4661" s="10">
        <v>44378</v>
      </c>
      <c r="B4661" s="11">
        <v>158.0685</v>
      </c>
      <c r="C4661" s="8">
        <f t="shared" si="37"/>
        <v>181.73313124176607</v>
      </c>
      <c r="D4661" s="9">
        <f t="shared" si="36"/>
        <v>74.496430413598915</v>
      </c>
      <c r="E4661" s="9"/>
      <c r="F4661" s="9">
        <f ca="1">IFERROR(__xludf.DUMMYFUNCTION("""COMPUTED_VALUE"""),40646)</f>
        <v>40646</v>
      </c>
      <c r="G4661" s="9" t="str">
        <f ca="1">IFERROR(__xludf.DUMMYFUNCTION("""COMPUTED_VALUE"""),"1 USD = 84.4295 PKR")</f>
        <v>1 USD = 84.4295 PKR</v>
      </c>
      <c r="H4661" s="9" t="str">
        <f ca="1">IFERROR(__xludf.DUMMYFUNCTION("""COMPUTED_VALUE"""),"USD PKR rate for 13/04/2011")</f>
        <v>USD PKR rate for 13/04/2011</v>
      </c>
      <c r="I4661" s="9"/>
    </row>
    <row r="4662" spans="1:9" ht="14.25" customHeight="1" x14ac:dyDescent="0.3">
      <c r="A4662" s="10">
        <v>44379</v>
      </c>
      <c r="B4662" s="11">
        <v>157.75049999999999</v>
      </c>
      <c r="C4662" s="8">
        <f t="shared" si="37"/>
        <v>181.76563417019167</v>
      </c>
      <c r="D4662" s="9">
        <f t="shared" si="36"/>
        <v>74.499168246396181</v>
      </c>
      <c r="E4662" s="9"/>
      <c r="F4662" s="9">
        <f ca="1">IFERROR(__xludf.DUMMYFUNCTION("""COMPUTED_VALUE"""),40645)</f>
        <v>40645</v>
      </c>
      <c r="G4662" s="9" t="str">
        <f ca="1">IFERROR(__xludf.DUMMYFUNCTION("""COMPUTED_VALUE"""),"1 USD = 84.2419 PKR")</f>
        <v>1 USD = 84.2419 PKR</v>
      </c>
      <c r="H4662" s="9" t="str">
        <f ca="1">IFERROR(__xludf.DUMMYFUNCTION("""COMPUTED_VALUE"""),"USD PKR rate for 12/04/2011")</f>
        <v>USD PKR rate for 12/04/2011</v>
      </c>
      <c r="I4662" s="9"/>
    </row>
    <row r="4663" spans="1:9" ht="14.25" customHeight="1" x14ac:dyDescent="0.3">
      <c r="A4663" s="10">
        <v>44380</v>
      </c>
      <c r="B4663" s="11">
        <v>158.01929999999999</v>
      </c>
      <c r="C4663" s="8">
        <f t="shared" si="37"/>
        <v>181.79814291175848</v>
      </c>
      <c r="D4663" s="9">
        <f t="shared" si="36"/>
        <v>74.501906079193446</v>
      </c>
      <c r="E4663" s="9"/>
      <c r="F4663" s="9">
        <f ca="1">IFERROR(__xludf.DUMMYFUNCTION("""COMPUTED_VALUE"""),40644)</f>
        <v>40644</v>
      </c>
      <c r="G4663" s="9" t="str">
        <f ca="1">IFERROR(__xludf.DUMMYFUNCTION("""COMPUTED_VALUE"""),"1 USD = 84.4869 PKR")</f>
        <v>1 USD = 84.4869 PKR</v>
      </c>
      <c r="H4663" s="9" t="str">
        <f ca="1">IFERROR(__xludf.DUMMYFUNCTION("""COMPUTED_VALUE"""),"USD PKR rate for 11/04/2011")</f>
        <v>USD PKR rate for 11/04/2011</v>
      </c>
      <c r="I4663" s="9"/>
    </row>
    <row r="4664" spans="1:9" ht="14.25" customHeight="1" x14ac:dyDescent="0.3">
      <c r="A4664" s="10">
        <v>44381</v>
      </c>
      <c r="B4664" s="11">
        <v>157.0609</v>
      </c>
      <c r="C4664" s="8">
        <f t="shared" si="37"/>
        <v>181.83065746750623</v>
      </c>
      <c r="D4664" s="9">
        <f t="shared" si="36"/>
        <v>74.504643911990712</v>
      </c>
      <c r="E4664" s="9"/>
      <c r="F4664" s="9">
        <f ca="1">IFERROR(__xludf.DUMMYFUNCTION("""COMPUTED_VALUE"""),40643)</f>
        <v>40643</v>
      </c>
      <c r="G4664" s="9" t="str">
        <f ca="1">IFERROR(__xludf.DUMMYFUNCTION("""COMPUTED_VALUE"""),"1 USD = 85.288 PKR")</f>
        <v>1 USD = 85.288 PKR</v>
      </c>
      <c r="H4664" s="9" t="str">
        <f ca="1">IFERROR(__xludf.DUMMYFUNCTION("""COMPUTED_VALUE"""),"USD PKR rate for 10/04/2011")</f>
        <v>USD PKR rate for 10/04/2011</v>
      </c>
      <c r="I4664" s="9"/>
    </row>
    <row r="4665" spans="1:9" ht="14.25" customHeight="1" x14ac:dyDescent="0.3">
      <c r="A4665" s="10">
        <v>44382</v>
      </c>
      <c r="B4665" s="11">
        <v>158.04669999999999</v>
      </c>
      <c r="C4665" s="8">
        <f t="shared" si="37"/>
        <v>181.86317783847468</v>
      </c>
      <c r="D4665" s="9">
        <f t="shared" si="36"/>
        <v>74.507381744787978</v>
      </c>
      <c r="E4665" s="9"/>
      <c r="F4665" s="9">
        <f ca="1">IFERROR(__xludf.DUMMYFUNCTION("""COMPUTED_VALUE"""),40642)</f>
        <v>40642</v>
      </c>
      <c r="G4665" s="9" t="str">
        <f ca="1">IFERROR(__xludf.DUMMYFUNCTION("""COMPUTED_VALUE"""),"1 USD = 85.2307 PKR")</f>
        <v>1 USD = 85.2307 PKR</v>
      </c>
      <c r="H4665" s="9" t="str">
        <f ca="1">IFERROR(__xludf.DUMMYFUNCTION("""COMPUTED_VALUE"""),"USD PKR rate for 09/04/2011")</f>
        <v>USD PKR rate for 09/04/2011</v>
      </c>
      <c r="I4665" s="9"/>
    </row>
    <row r="4666" spans="1:9" ht="14.25" customHeight="1" x14ac:dyDescent="0.3">
      <c r="A4666" s="10">
        <v>44383</v>
      </c>
      <c r="B4666" s="11">
        <v>158.8433</v>
      </c>
      <c r="C4666" s="8">
        <f t="shared" si="37"/>
        <v>181.89570402570382</v>
      </c>
      <c r="D4666" s="9">
        <f t="shared" si="36"/>
        <v>74.510119577585243</v>
      </c>
      <c r="E4666" s="9"/>
      <c r="F4666" s="9">
        <f ca="1">IFERROR(__xludf.DUMMYFUNCTION("""COMPUTED_VALUE"""),40641)</f>
        <v>40641</v>
      </c>
      <c r="G4666" s="9" t="str">
        <f ca="1">IFERROR(__xludf.DUMMYFUNCTION("""COMPUTED_VALUE"""),"1 USD = 85.2156 PKR")</f>
        <v>1 USD = 85.2156 PKR</v>
      </c>
      <c r="H4666" s="9" t="str">
        <f ca="1">IFERROR(__xludf.DUMMYFUNCTION("""COMPUTED_VALUE"""),"USD PKR rate for 08/04/2011")</f>
        <v>USD PKR rate for 08/04/2011</v>
      </c>
      <c r="I4666" s="9"/>
    </row>
    <row r="4667" spans="1:9" ht="14.25" customHeight="1" x14ac:dyDescent="0.3">
      <c r="A4667" s="10">
        <v>44384</v>
      </c>
      <c r="B4667" s="11">
        <v>158.9049</v>
      </c>
      <c r="C4667" s="8">
        <f t="shared" si="37"/>
        <v>181.92823603023419</v>
      </c>
      <c r="D4667" s="9">
        <f t="shared" si="36"/>
        <v>74.512857410382509</v>
      </c>
      <c r="E4667" s="9"/>
      <c r="F4667" s="9">
        <f ca="1">IFERROR(__xludf.DUMMYFUNCTION("""COMPUTED_VALUE"""),40640)</f>
        <v>40640</v>
      </c>
      <c r="G4667" s="9" t="str">
        <f ca="1">IFERROR(__xludf.DUMMYFUNCTION("""COMPUTED_VALUE"""),"1 USD = 85.2836 PKR")</f>
        <v>1 USD = 85.2836 PKR</v>
      </c>
      <c r="H4667" s="9" t="str">
        <f ca="1">IFERROR(__xludf.DUMMYFUNCTION("""COMPUTED_VALUE"""),"USD PKR rate for 07/04/2011")</f>
        <v>USD PKR rate for 07/04/2011</v>
      </c>
      <c r="I4667" s="9"/>
    </row>
    <row r="4668" spans="1:9" ht="14.25" customHeight="1" x14ac:dyDescent="0.3">
      <c r="A4668" s="10">
        <v>44385</v>
      </c>
      <c r="B4668" s="11">
        <v>159.2199</v>
      </c>
      <c r="C4668" s="8">
        <f t="shared" si="37"/>
        <v>181.96077385310602</v>
      </c>
      <c r="D4668" s="9">
        <f t="shared" si="36"/>
        <v>74.515595243179774</v>
      </c>
      <c r="E4668" s="9"/>
      <c r="F4668" s="9">
        <f ca="1">IFERROR(__xludf.DUMMYFUNCTION("""COMPUTED_VALUE"""),40639)</f>
        <v>40639</v>
      </c>
      <c r="G4668" s="9" t="str">
        <f ca="1">IFERROR(__xludf.DUMMYFUNCTION("""COMPUTED_VALUE"""),"1 USD = 85.1185 PKR")</f>
        <v>1 USD = 85.1185 PKR</v>
      </c>
      <c r="H4668" s="9" t="str">
        <f ca="1">IFERROR(__xludf.DUMMYFUNCTION("""COMPUTED_VALUE"""),"USD PKR rate for 06/04/2011")</f>
        <v>USD PKR rate for 06/04/2011</v>
      </c>
      <c r="I4668" s="9"/>
    </row>
    <row r="4669" spans="1:9" ht="14.25" customHeight="1" x14ac:dyDescent="0.3">
      <c r="A4669" s="10">
        <v>44386</v>
      </c>
      <c r="B4669" s="11">
        <v>159.4023</v>
      </c>
      <c r="C4669" s="8">
        <f t="shared" si="37"/>
        <v>181.99331749535989</v>
      </c>
      <c r="D4669" s="9">
        <f t="shared" si="36"/>
        <v>74.51833307597704</v>
      </c>
      <c r="E4669" s="9"/>
      <c r="F4669" s="9">
        <f ca="1">IFERROR(__xludf.DUMMYFUNCTION("""COMPUTED_VALUE"""),40638)</f>
        <v>40638</v>
      </c>
      <c r="G4669" s="9" t="str">
        <f ca="1">IFERROR(__xludf.DUMMYFUNCTION("""COMPUTED_VALUE"""),"1 USD = 85.7976 PKR")</f>
        <v>1 USD = 85.7976 PKR</v>
      </c>
      <c r="H4669" s="9" t="str">
        <f ca="1">IFERROR(__xludf.DUMMYFUNCTION("""COMPUTED_VALUE"""),"USD PKR rate for 05/04/2011")</f>
        <v>USD PKR rate for 05/04/2011</v>
      </c>
      <c r="I4669" s="9"/>
    </row>
    <row r="4670" spans="1:9" ht="14.25" customHeight="1" x14ac:dyDescent="0.3">
      <c r="A4670" s="10">
        <v>44387</v>
      </c>
      <c r="B4670" s="11">
        <v>159.32480000000001</v>
      </c>
      <c r="C4670" s="8">
        <f t="shared" si="37"/>
        <v>182.02586695803669</v>
      </c>
      <c r="D4670" s="9">
        <f t="shared" si="36"/>
        <v>74.521070908774306</v>
      </c>
      <c r="E4670" s="9"/>
      <c r="F4670" s="9">
        <f ca="1">IFERROR(__xludf.DUMMYFUNCTION("""COMPUTED_VALUE"""),40637)</f>
        <v>40637</v>
      </c>
      <c r="G4670" s="9" t="str">
        <f ca="1">IFERROR(__xludf.DUMMYFUNCTION("""COMPUTED_VALUE"""),"1 USD = 85.7643 PKR")</f>
        <v>1 USD = 85.7643 PKR</v>
      </c>
      <c r="H4670" s="9" t="str">
        <f ca="1">IFERROR(__xludf.DUMMYFUNCTION("""COMPUTED_VALUE"""),"USD PKR rate for 04/04/2011")</f>
        <v>USD PKR rate for 04/04/2011</v>
      </c>
      <c r="I4670" s="9"/>
    </row>
    <row r="4671" spans="1:9" ht="14.25" customHeight="1" x14ac:dyDescent="0.3">
      <c r="A4671" s="10">
        <v>44388</v>
      </c>
      <c r="B4671" s="11">
        <v>159.30940000000001</v>
      </c>
      <c r="C4671" s="8">
        <f t="shared" si="37"/>
        <v>182.0584222421773</v>
      </c>
      <c r="D4671" s="9">
        <f t="shared" si="36"/>
        <v>74.523808741571571</v>
      </c>
      <c r="E4671" s="9"/>
      <c r="F4671" s="9">
        <f ca="1">IFERROR(__xludf.DUMMYFUNCTION("""COMPUTED_VALUE"""),40636)</f>
        <v>40636</v>
      </c>
      <c r="G4671" s="9" t="str">
        <f ca="1">IFERROR(__xludf.DUMMYFUNCTION("""COMPUTED_VALUE"""),"1 USD = 85.6284 PKR")</f>
        <v>1 USD = 85.6284 PKR</v>
      </c>
      <c r="H4671" s="9" t="str">
        <f ca="1">IFERROR(__xludf.DUMMYFUNCTION("""COMPUTED_VALUE"""),"USD PKR rate for 03/04/2011")</f>
        <v>USD PKR rate for 03/04/2011</v>
      </c>
      <c r="I4671" s="9"/>
    </row>
    <row r="4672" spans="1:9" ht="14.25" customHeight="1" x14ac:dyDescent="0.3">
      <c r="A4672" s="10">
        <v>44389</v>
      </c>
      <c r="B4672" s="11">
        <v>159.58160000000001</v>
      </c>
      <c r="C4672" s="8">
        <f t="shared" si="37"/>
        <v>182.09098334882299</v>
      </c>
      <c r="D4672" s="9">
        <f t="shared" si="36"/>
        <v>74.526546574368837</v>
      </c>
      <c r="E4672" s="9"/>
      <c r="F4672" s="9">
        <f ca="1">IFERROR(__xludf.DUMMYFUNCTION("""COMPUTED_VALUE"""),40635)</f>
        <v>40635</v>
      </c>
      <c r="G4672" s="9" t="str">
        <f ca="1">IFERROR(__xludf.DUMMYFUNCTION("""COMPUTED_VALUE"""),"1 USD = 85.6656 PKR")</f>
        <v>1 USD = 85.6656 PKR</v>
      </c>
      <c r="H4672" s="9" t="str">
        <f ca="1">IFERROR(__xludf.DUMMYFUNCTION("""COMPUTED_VALUE"""),"USD PKR rate for 02/04/2011")</f>
        <v>USD PKR rate for 02/04/2011</v>
      </c>
      <c r="I4672" s="9"/>
    </row>
    <row r="4673" spans="1:9" ht="14.25" customHeight="1" x14ac:dyDescent="0.3">
      <c r="A4673" s="10">
        <v>44390</v>
      </c>
      <c r="B4673" s="11">
        <v>159.6542</v>
      </c>
      <c r="C4673" s="8">
        <f t="shared" si="37"/>
        <v>182.12355027901503</v>
      </c>
      <c r="D4673" s="9">
        <f t="shared" si="36"/>
        <v>74.529284407166102</v>
      </c>
      <c r="E4673" s="9"/>
      <c r="F4673" s="9">
        <f ca="1">IFERROR(__xludf.DUMMYFUNCTION("""COMPUTED_VALUE"""),40634)</f>
        <v>40634</v>
      </c>
      <c r="G4673" s="9" t="str">
        <f ca="1">IFERROR(__xludf.DUMMYFUNCTION("""COMPUTED_VALUE"""),"1 USD = 85.6732 PKR")</f>
        <v>1 USD = 85.6732 PKR</v>
      </c>
      <c r="H4673" s="9" t="str">
        <f ca="1">IFERROR(__xludf.DUMMYFUNCTION("""COMPUTED_VALUE"""),"USD PKR rate for 01/04/2011")</f>
        <v>USD PKR rate for 01/04/2011</v>
      </c>
      <c r="I4673" s="9"/>
    </row>
    <row r="4674" spans="1:9" ht="14.25" customHeight="1" x14ac:dyDescent="0.3">
      <c r="A4674" s="10">
        <v>44391</v>
      </c>
      <c r="B4674" s="11">
        <v>159.4247</v>
      </c>
      <c r="C4674" s="8">
        <f t="shared" si="37"/>
        <v>182.15612303379501</v>
      </c>
      <c r="D4674" s="9">
        <f t="shared" si="36"/>
        <v>74.532022239963368</v>
      </c>
      <c r="E4674" s="9"/>
      <c r="F4674" s="9">
        <f ca="1">IFERROR(__xludf.DUMMYFUNCTION("""COMPUTED_VALUE"""),40633)</f>
        <v>40633</v>
      </c>
      <c r="G4674" s="9" t="str">
        <f ca="1">IFERROR(__xludf.DUMMYFUNCTION("""COMPUTED_VALUE"""),"1 USD = 85.058 PKR")</f>
        <v>1 USD = 85.058 PKR</v>
      </c>
      <c r="H4674" s="9" t="str">
        <f ca="1">IFERROR(__xludf.DUMMYFUNCTION("""COMPUTED_VALUE"""),"USD PKR rate for 31/03/2011")</f>
        <v>USD PKR rate for 31/03/2011</v>
      </c>
      <c r="I4674" s="9"/>
    </row>
    <row r="4675" spans="1:9" ht="14.25" customHeight="1" x14ac:dyDescent="0.3">
      <c r="A4675" s="10">
        <v>44392</v>
      </c>
      <c r="B4675" s="11">
        <v>159.464</v>
      </c>
      <c r="C4675" s="8">
        <f t="shared" si="37"/>
        <v>182.18870161420446</v>
      </c>
      <c r="D4675" s="9">
        <f t="shared" si="36"/>
        <v>74.534760072760633</v>
      </c>
      <c r="E4675" s="9"/>
      <c r="F4675" s="9">
        <f ca="1">IFERROR(__xludf.DUMMYFUNCTION("""COMPUTED_VALUE"""),40632)</f>
        <v>40632</v>
      </c>
      <c r="G4675" s="9" t="str">
        <f ca="1">IFERROR(__xludf.DUMMYFUNCTION("""COMPUTED_VALUE"""),"1 USD = 85.3314 PKR")</f>
        <v>1 USD = 85.3314 PKR</v>
      </c>
      <c r="H4675" s="9" t="str">
        <f ca="1">IFERROR(__xludf.DUMMYFUNCTION("""COMPUTED_VALUE"""),"USD PKR rate for 30/03/2011")</f>
        <v>USD PKR rate for 30/03/2011</v>
      </c>
      <c r="I4675" s="9"/>
    </row>
    <row r="4676" spans="1:9" ht="14.25" customHeight="1" x14ac:dyDescent="0.3">
      <c r="A4676" s="10">
        <v>44393</v>
      </c>
      <c r="B4676" s="11">
        <v>159.51490000000001</v>
      </c>
      <c r="C4676" s="8">
        <f t="shared" si="37"/>
        <v>182.22128602128564</v>
      </c>
      <c r="D4676" s="9">
        <f t="shared" si="36"/>
        <v>74.537497905557899</v>
      </c>
      <c r="E4676" s="9"/>
      <c r="F4676" s="9">
        <f ca="1">IFERROR(__xludf.DUMMYFUNCTION("""COMPUTED_VALUE"""),40631)</f>
        <v>40631</v>
      </c>
      <c r="G4676" s="9" t="str">
        <f ca="1">IFERROR(__xludf.DUMMYFUNCTION("""COMPUTED_VALUE"""),"1 USD = 85.379 PKR")</f>
        <v>1 USD = 85.379 PKR</v>
      </c>
      <c r="H4676" s="9" t="str">
        <f ca="1">IFERROR(__xludf.DUMMYFUNCTION("""COMPUTED_VALUE"""),"USD PKR rate for 29/03/2011")</f>
        <v>USD PKR rate for 29/03/2011</v>
      </c>
      <c r="I4676" s="9"/>
    </row>
    <row r="4677" spans="1:9" ht="14.25" customHeight="1" x14ac:dyDescent="0.3">
      <c r="A4677" s="10">
        <v>44394</v>
      </c>
      <c r="B4677" s="11">
        <v>159.4581</v>
      </c>
      <c r="C4677" s="8">
        <f t="shared" si="37"/>
        <v>182.25387625608047</v>
      </c>
      <c r="D4677" s="9">
        <f t="shared" si="36"/>
        <v>74.540235738355165</v>
      </c>
      <c r="E4677" s="9"/>
      <c r="F4677" s="9">
        <f ca="1">IFERROR(__xludf.DUMMYFUNCTION("""COMPUTED_VALUE"""),40630)</f>
        <v>40630</v>
      </c>
      <c r="G4677" s="9" t="str">
        <f ca="1">IFERROR(__xludf.DUMMYFUNCTION("""COMPUTED_VALUE"""),"1 USD = 85.5709 PKR")</f>
        <v>1 USD = 85.5709 PKR</v>
      </c>
      <c r="H4677" s="9" t="str">
        <f ca="1">IFERROR(__xludf.DUMMYFUNCTION("""COMPUTED_VALUE"""),"USD PKR rate for 28/03/2011")</f>
        <v>USD PKR rate for 28/03/2011</v>
      </c>
      <c r="I4677" s="9"/>
    </row>
    <row r="4678" spans="1:9" ht="14.25" customHeight="1" x14ac:dyDescent="0.3">
      <c r="A4678" s="10">
        <v>44395</v>
      </c>
      <c r="B4678" s="11">
        <v>159.47739999999999</v>
      </c>
      <c r="C4678" s="8">
        <f t="shared" si="37"/>
        <v>182.28647231963123</v>
      </c>
      <c r="D4678" s="9">
        <f t="shared" si="36"/>
        <v>74.54297357115243</v>
      </c>
      <c r="E4678" s="9"/>
      <c r="F4678" s="9">
        <f ca="1">IFERROR(__xludf.DUMMYFUNCTION("""COMPUTED_VALUE"""),40629)</f>
        <v>40629</v>
      </c>
      <c r="G4678" s="9" t="str">
        <f ca="1">IFERROR(__xludf.DUMMYFUNCTION("""COMPUTED_VALUE"""),"1 USD = 84.7088 PKR")</f>
        <v>1 USD = 84.7088 PKR</v>
      </c>
      <c r="H4678" s="9" t="str">
        <f ca="1">IFERROR(__xludf.DUMMYFUNCTION("""COMPUTED_VALUE"""),"USD PKR rate for 27/03/2011")</f>
        <v>USD PKR rate for 27/03/2011</v>
      </c>
      <c r="I4678" s="9"/>
    </row>
    <row r="4679" spans="1:9" ht="14.25" customHeight="1" x14ac:dyDescent="0.3">
      <c r="A4679" s="10">
        <v>44396</v>
      </c>
      <c r="B4679" s="11">
        <v>160.5847</v>
      </c>
      <c r="C4679" s="8">
        <f t="shared" si="37"/>
        <v>182.31907421298047</v>
      </c>
      <c r="D4679" s="9">
        <f t="shared" si="36"/>
        <v>74.545711403949696</v>
      </c>
      <c r="E4679" s="9"/>
      <c r="F4679" s="9">
        <f ca="1">IFERROR(__xludf.DUMMYFUNCTION("""COMPUTED_VALUE"""),40628)</f>
        <v>40628</v>
      </c>
      <c r="G4679" s="9" t="str">
        <f ca="1">IFERROR(__xludf.DUMMYFUNCTION("""COMPUTED_VALUE"""),"1 USD = 84.5029 PKR")</f>
        <v>1 USD = 84.5029 PKR</v>
      </c>
      <c r="H4679" s="9" t="str">
        <f ca="1">IFERROR(__xludf.DUMMYFUNCTION("""COMPUTED_VALUE"""),"USD PKR rate for 26/03/2011")</f>
        <v>USD PKR rate for 26/03/2011</v>
      </c>
      <c r="I4679" s="9"/>
    </row>
    <row r="4680" spans="1:9" ht="14.25" customHeight="1" x14ac:dyDescent="0.3">
      <c r="A4680" s="10">
        <v>44397</v>
      </c>
      <c r="B4680" s="11">
        <v>160.89609999999999</v>
      </c>
      <c r="C4680" s="8">
        <f t="shared" si="37"/>
        <v>182.3516819371707</v>
      </c>
      <c r="D4680" s="9">
        <f t="shared" si="36"/>
        <v>74.548449236746961</v>
      </c>
      <c r="E4680" s="9"/>
      <c r="F4680" s="9">
        <f ca="1">IFERROR(__xludf.DUMMYFUNCTION("""COMPUTED_VALUE"""),40627)</f>
        <v>40627</v>
      </c>
      <c r="G4680" s="9" t="str">
        <f ca="1">IFERROR(__xludf.DUMMYFUNCTION("""COMPUTED_VALUE"""),"1 USD = 84.5029 PKR")</f>
        <v>1 USD = 84.5029 PKR</v>
      </c>
      <c r="H4680" s="9" t="str">
        <f ca="1">IFERROR(__xludf.DUMMYFUNCTION("""COMPUTED_VALUE"""),"USD PKR rate for 25/03/2011")</f>
        <v>USD PKR rate for 25/03/2011</v>
      </c>
      <c r="I4680" s="9"/>
    </row>
    <row r="4681" spans="1:9" ht="14.25" customHeight="1" x14ac:dyDescent="0.3">
      <c r="A4681" s="10">
        <v>44398</v>
      </c>
      <c r="B4681" s="11">
        <v>160.81469999999999</v>
      </c>
      <c r="C4681" s="8">
        <f t="shared" si="37"/>
        <v>182.38429549324491</v>
      </c>
      <c r="D4681" s="9">
        <f t="shared" si="36"/>
        <v>74.551187069544227</v>
      </c>
      <c r="E4681" s="9"/>
      <c r="F4681" s="9">
        <f ca="1">IFERROR(__xludf.DUMMYFUNCTION("""COMPUTED_VALUE"""),40626)</f>
        <v>40626</v>
      </c>
      <c r="G4681" s="9" t="str">
        <f ca="1">IFERROR(__xludf.DUMMYFUNCTION("""COMPUTED_VALUE"""),"1 USD = 84.9801 PKR")</f>
        <v>1 USD = 84.9801 PKR</v>
      </c>
      <c r="H4681" s="9" t="str">
        <f ca="1">IFERROR(__xludf.DUMMYFUNCTION("""COMPUTED_VALUE"""),"USD PKR rate for 24/03/2011")</f>
        <v>USD PKR rate for 24/03/2011</v>
      </c>
      <c r="I4681" s="9"/>
    </row>
    <row r="4682" spans="1:9" ht="14.25" customHeight="1" x14ac:dyDescent="0.3">
      <c r="A4682" s="10">
        <v>44399</v>
      </c>
      <c r="B4682" s="11">
        <v>160.85050000000001</v>
      </c>
      <c r="C4682" s="8">
        <f t="shared" si="37"/>
        <v>182.41691488224603</v>
      </c>
      <c r="D4682" s="9">
        <f t="shared" si="36"/>
        <v>74.553924902341492</v>
      </c>
      <c r="E4682" s="9"/>
      <c r="F4682" s="9">
        <f ca="1">IFERROR(__xludf.DUMMYFUNCTION("""COMPUTED_VALUE"""),40625)</f>
        <v>40625</v>
      </c>
      <c r="G4682" s="9" t="str">
        <f ca="1">IFERROR(__xludf.DUMMYFUNCTION("""COMPUTED_VALUE"""),"1 USD = 85.4177 PKR")</f>
        <v>1 USD = 85.4177 PKR</v>
      </c>
      <c r="H4682" s="9" t="str">
        <f ca="1">IFERROR(__xludf.DUMMYFUNCTION("""COMPUTED_VALUE"""),"USD PKR rate for 23/03/2011")</f>
        <v>USD PKR rate for 23/03/2011</v>
      </c>
      <c r="I4682" s="9"/>
    </row>
    <row r="4683" spans="1:9" ht="14.25" customHeight="1" x14ac:dyDescent="0.3">
      <c r="A4683" s="10">
        <v>44400</v>
      </c>
      <c r="B4683" s="11">
        <v>162.35050000000001</v>
      </c>
      <c r="C4683" s="8">
        <f t="shared" si="37"/>
        <v>182.44954010521732</v>
      </c>
      <c r="D4683" s="9">
        <f t="shared" si="36"/>
        <v>74.556662735138758</v>
      </c>
      <c r="E4683" s="9"/>
      <c r="F4683" s="9">
        <f ca="1">IFERROR(__xludf.DUMMYFUNCTION("""COMPUTED_VALUE"""),40624)</f>
        <v>40624</v>
      </c>
      <c r="G4683" s="9" t="str">
        <f ca="1">IFERROR(__xludf.DUMMYFUNCTION("""COMPUTED_VALUE"""),"1 USD = 84.9759 PKR")</f>
        <v>1 USD = 84.9759 PKR</v>
      </c>
      <c r="H4683" s="9" t="str">
        <f ca="1">IFERROR(__xludf.DUMMYFUNCTION("""COMPUTED_VALUE"""),"USD PKR rate for 22/03/2011")</f>
        <v>USD PKR rate for 22/03/2011</v>
      </c>
      <c r="I4683" s="9"/>
    </row>
    <row r="4684" spans="1:9" ht="14.25" customHeight="1" x14ac:dyDescent="0.3">
      <c r="A4684" s="10">
        <v>44401</v>
      </c>
      <c r="B4684" s="11">
        <v>160.739</v>
      </c>
      <c r="C4684" s="8">
        <f t="shared" si="37"/>
        <v>182.48217116320237</v>
      </c>
      <c r="D4684" s="9">
        <f t="shared" si="36"/>
        <v>74.559400567936038</v>
      </c>
      <c r="E4684" s="9"/>
      <c r="F4684" s="9">
        <f ca="1">IFERROR(__xludf.DUMMYFUNCTION("""COMPUTED_VALUE"""),40623)</f>
        <v>40623</v>
      </c>
      <c r="G4684" s="9" t="str">
        <f ca="1">IFERROR(__xludf.DUMMYFUNCTION("""COMPUTED_VALUE"""),"1 USD = 85.7779 PKR")</f>
        <v>1 USD = 85.7779 PKR</v>
      </c>
      <c r="H4684" s="9" t="str">
        <f ca="1">IFERROR(__xludf.DUMMYFUNCTION("""COMPUTED_VALUE"""),"USD PKR rate for 21/03/2011")</f>
        <v>USD PKR rate for 21/03/2011</v>
      </c>
      <c r="I4684" s="9"/>
    </row>
    <row r="4685" spans="1:9" ht="14.25" customHeight="1" x14ac:dyDescent="0.3">
      <c r="A4685" s="10">
        <v>44402</v>
      </c>
      <c r="B4685" s="11">
        <v>161.06129999999999</v>
      </c>
      <c r="C4685" s="8">
        <f t="shared" si="37"/>
        <v>182.51480805724427</v>
      </c>
      <c r="D4685" s="9">
        <f t="shared" si="36"/>
        <v>74.562138400733303</v>
      </c>
      <c r="E4685" s="9"/>
      <c r="F4685" s="9">
        <f ca="1">IFERROR(__xludf.DUMMYFUNCTION("""COMPUTED_VALUE"""),40622)</f>
        <v>40622</v>
      </c>
      <c r="G4685" s="9" t="str">
        <f ca="1">IFERROR(__xludf.DUMMYFUNCTION("""COMPUTED_VALUE"""),"1 USD = 84.9976 PKR")</f>
        <v>1 USD = 84.9976 PKR</v>
      </c>
      <c r="H4685" s="9" t="str">
        <f ca="1">IFERROR(__xludf.DUMMYFUNCTION("""COMPUTED_VALUE"""),"USD PKR rate for 20/03/2011")</f>
        <v>USD PKR rate for 20/03/2011</v>
      </c>
      <c r="I4685" s="9"/>
    </row>
    <row r="4686" spans="1:9" ht="14.25" customHeight="1" x14ac:dyDescent="0.3">
      <c r="A4686" s="10">
        <v>44403</v>
      </c>
      <c r="B4686" s="11">
        <v>161.99250000000001</v>
      </c>
      <c r="C4686" s="8">
        <f t="shared" si="37"/>
        <v>182.54745078838724</v>
      </c>
      <c r="D4686" s="9">
        <f t="shared" si="36"/>
        <v>74.564876233530569</v>
      </c>
      <c r="E4686" s="9"/>
      <c r="F4686" s="9">
        <f ca="1">IFERROR(__xludf.DUMMYFUNCTION("""COMPUTED_VALUE"""),40621)</f>
        <v>40621</v>
      </c>
      <c r="G4686" s="9" t="str">
        <f ca="1">IFERROR(__xludf.DUMMYFUNCTION("""COMPUTED_VALUE"""),"1 USD = 84.94 PKR")</f>
        <v>1 USD = 84.94 PKR</v>
      </c>
      <c r="H4686" s="9" t="str">
        <f ca="1">IFERROR(__xludf.DUMMYFUNCTION("""COMPUTED_VALUE"""),"USD PKR rate for 19/03/2011")</f>
        <v>USD PKR rate for 19/03/2011</v>
      </c>
      <c r="I4686" s="9"/>
    </row>
    <row r="4687" spans="1:9" ht="14.25" customHeight="1" x14ac:dyDescent="0.3">
      <c r="A4687" s="10">
        <v>44404</v>
      </c>
      <c r="B4687" s="11">
        <v>161.76410000000001</v>
      </c>
      <c r="C4687" s="8">
        <f t="shared" si="37"/>
        <v>182.5800993576751</v>
      </c>
      <c r="D4687" s="9">
        <f t="shared" si="36"/>
        <v>74.567614066327835</v>
      </c>
      <c r="E4687" s="9"/>
      <c r="F4687" s="9">
        <f ca="1">IFERROR(__xludf.DUMMYFUNCTION("""COMPUTED_VALUE"""),40620)</f>
        <v>40620</v>
      </c>
      <c r="G4687" s="9" t="str">
        <f ca="1">IFERROR(__xludf.DUMMYFUNCTION("""COMPUTED_VALUE"""),"1 USD = 84.9474 PKR")</f>
        <v>1 USD = 84.9474 PKR</v>
      </c>
      <c r="H4687" s="9" t="str">
        <f ca="1">IFERROR(__xludf.DUMMYFUNCTION("""COMPUTED_VALUE"""),"USD PKR rate for 18/03/2011")</f>
        <v>USD PKR rate for 18/03/2011</v>
      </c>
      <c r="I4687" s="9"/>
    </row>
    <row r="4688" spans="1:9" ht="14.25" customHeight="1" x14ac:dyDescent="0.3">
      <c r="A4688" s="10">
        <v>44405</v>
      </c>
      <c r="B4688" s="11">
        <v>162.05690000000001</v>
      </c>
      <c r="C4688" s="8">
        <f t="shared" si="37"/>
        <v>182.61275376615205</v>
      </c>
      <c r="D4688" s="9">
        <f t="shared" si="36"/>
        <v>74.5703518991251</v>
      </c>
      <c r="E4688" s="9"/>
      <c r="F4688" s="9">
        <f ca="1">IFERROR(__xludf.DUMMYFUNCTION("""COMPUTED_VALUE"""),40619)</f>
        <v>40619</v>
      </c>
      <c r="G4688" s="9" t="str">
        <f ca="1">IFERROR(__xludf.DUMMYFUNCTION("""COMPUTED_VALUE"""),"1 USD = 84.9234 PKR")</f>
        <v>1 USD = 84.9234 PKR</v>
      </c>
      <c r="H4688" s="9" t="str">
        <f ca="1">IFERROR(__xludf.DUMMYFUNCTION("""COMPUTED_VALUE"""),"USD PKR rate for 17/03/2011")</f>
        <v>USD PKR rate for 17/03/2011</v>
      </c>
      <c r="I4688" s="9"/>
    </row>
    <row r="4689" spans="1:9" ht="14.25" customHeight="1" x14ac:dyDescent="0.3">
      <c r="A4689" s="10">
        <v>44406</v>
      </c>
      <c r="B4689" s="11">
        <v>162.27600000000001</v>
      </c>
      <c r="C4689" s="8">
        <f t="shared" si="37"/>
        <v>182.64541401486235</v>
      </c>
      <c r="D4689" s="9">
        <f t="shared" si="36"/>
        <v>74.573089731922366</v>
      </c>
      <c r="E4689" s="9"/>
      <c r="F4689" s="9">
        <f ca="1">IFERROR(__xludf.DUMMYFUNCTION("""COMPUTED_VALUE"""),40618)</f>
        <v>40618</v>
      </c>
      <c r="G4689" s="9" t="str">
        <f ca="1">IFERROR(__xludf.DUMMYFUNCTION("""COMPUTED_VALUE"""),"1 USD = 85.6318 PKR")</f>
        <v>1 USD = 85.6318 PKR</v>
      </c>
      <c r="H4689" s="9" t="str">
        <f ca="1">IFERROR(__xludf.DUMMYFUNCTION("""COMPUTED_VALUE"""),"USD PKR rate for 16/03/2011")</f>
        <v>USD PKR rate for 16/03/2011</v>
      </c>
      <c r="I4689" s="9"/>
    </row>
    <row r="4690" spans="1:9" ht="14.25" customHeight="1" x14ac:dyDescent="0.3">
      <c r="A4690" s="10">
        <v>44407</v>
      </c>
      <c r="B4690" s="11">
        <v>162.589</v>
      </c>
      <c r="C4690" s="8">
        <f t="shared" si="37"/>
        <v>182.67808010485061</v>
      </c>
      <c r="D4690" s="9">
        <f t="shared" si="36"/>
        <v>74.575827564719631</v>
      </c>
      <c r="E4690" s="9"/>
      <c r="F4690" s="9">
        <f ca="1">IFERROR(__xludf.DUMMYFUNCTION("""COMPUTED_VALUE"""),40617)</f>
        <v>40617</v>
      </c>
      <c r="G4690" s="9" t="str">
        <f ca="1">IFERROR(__xludf.DUMMYFUNCTION("""COMPUTED_VALUE"""),"1 USD = 85.1896 PKR")</f>
        <v>1 USD = 85.1896 PKR</v>
      </c>
      <c r="H4690" s="9" t="str">
        <f ca="1">IFERROR(__xludf.DUMMYFUNCTION("""COMPUTED_VALUE"""),"USD PKR rate for 15/03/2011")</f>
        <v>USD PKR rate for 15/03/2011</v>
      </c>
      <c r="I4690" s="9"/>
    </row>
    <row r="4691" spans="1:9" ht="14.25" customHeight="1" x14ac:dyDescent="0.3">
      <c r="A4691" s="10">
        <v>44408</v>
      </c>
      <c r="B4691" s="11">
        <v>162.589</v>
      </c>
      <c r="C4691" s="8">
        <f t="shared" si="37"/>
        <v>182.71075203716146</v>
      </c>
      <c r="D4691" s="9">
        <f t="shared" si="36"/>
        <v>74.578565397516897</v>
      </c>
      <c r="E4691" s="9"/>
      <c r="F4691" s="9">
        <f ca="1">IFERROR(__xludf.DUMMYFUNCTION("""COMPUTED_VALUE"""),40616)</f>
        <v>40616</v>
      </c>
      <c r="G4691" s="9" t="str">
        <f ca="1">IFERROR(__xludf.DUMMYFUNCTION("""COMPUTED_VALUE"""),"1 USD = 85.1024 PKR")</f>
        <v>1 USD = 85.1024 PKR</v>
      </c>
      <c r="H4691" s="9" t="str">
        <f ca="1">IFERROR(__xludf.DUMMYFUNCTION("""COMPUTED_VALUE"""),"USD PKR rate for 14/03/2011")</f>
        <v>USD PKR rate for 14/03/2011</v>
      </c>
      <c r="I4691" s="9"/>
    </row>
    <row r="4692" spans="1:9" ht="14.25" customHeight="1" x14ac:dyDescent="0.3">
      <c r="A4692" s="10">
        <v>44409</v>
      </c>
      <c r="B4692" s="11">
        <v>162.6156</v>
      </c>
      <c r="C4692" s="8">
        <f t="shared" si="37"/>
        <v>182.74342981283985</v>
      </c>
      <c r="D4692" s="9">
        <f t="shared" si="36"/>
        <v>74.581303230314163</v>
      </c>
      <c r="E4692" s="9"/>
      <c r="F4692" s="9">
        <f ca="1">IFERROR(__xludf.DUMMYFUNCTION("""COMPUTED_VALUE"""),40615)</f>
        <v>40615</v>
      </c>
      <c r="G4692" s="9" t="str">
        <f ca="1">IFERROR(__xludf.DUMMYFUNCTION("""COMPUTED_VALUE"""),"1 USD = 85.669 PKR")</f>
        <v>1 USD = 85.669 PKR</v>
      </c>
      <c r="H4692" s="9" t="str">
        <f ca="1">IFERROR(__xludf.DUMMYFUNCTION("""COMPUTED_VALUE"""),"USD PKR rate for 13/03/2011")</f>
        <v>USD PKR rate for 13/03/2011</v>
      </c>
      <c r="I4692" s="9"/>
    </row>
    <row r="4693" spans="1:9" ht="14.25" customHeight="1" x14ac:dyDescent="0.3">
      <c r="A4693" s="10">
        <v>44410</v>
      </c>
      <c r="B4693" s="11">
        <v>163.47839999999999</v>
      </c>
      <c r="C4693" s="8">
        <f t="shared" si="37"/>
        <v>182.77611343293088</v>
      </c>
      <c r="D4693" s="9">
        <f t="shared" si="36"/>
        <v>74.584041063111428</v>
      </c>
      <c r="E4693" s="9"/>
      <c r="F4693" s="9">
        <f ca="1">IFERROR(__xludf.DUMMYFUNCTION("""COMPUTED_VALUE"""),40614)</f>
        <v>40614</v>
      </c>
      <c r="G4693" s="9" t="str">
        <f ca="1">IFERROR(__xludf.DUMMYFUNCTION("""COMPUTED_VALUE"""),"1 USD = 85.621 PKR")</f>
        <v>1 USD = 85.621 PKR</v>
      </c>
      <c r="H4693" s="9" t="str">
        <f ca="1">IFERROR(__xludf.DUMMYFUNCTION("""COMPUTED_VALUE"""),"USD PKR rate for 12/03/2011")</f>
        <v>USD PKR rate for 12/03/2011</v>
      </c>
      <c r="I4693" s="9"/>
    </row>
    <row r="4694" spans="1:9" ht="14.25" customHeight="1" x14ac:dyDescent="0.3">
      <c r="A4694" s="10">
        <v>44411</v>
      </c>
      <c r="B4694" s="11">
        <v>164.3947</v>
      </c>
      <c r="C4694" s="8">
        <f t="shared" si="37"/>
        <v>182.8088028984796</v>
      </c>
      <c r="D4694" s="9">
        <f t="shared" si="36"/>
        <v>74.586778895908694</v>
      </c>
      <c r="E4694" s="9"/>
      <c r="F4694" s="9">
        <f ca="1">IFERROR(__xludf.DUMMYFUNCTION("""COMPUTED_VALUE"""),40613)</f>
        <v>40613</v>
      </c>
      <c r="G4694" s="9" t="str">
        <f ca="1">IFERROR(__xludf.DUMMYFUNCTION("""COMPUTED_VALUE"""),"1 USD = 85.621 PKR")</f>
        <v>1 USD = 85.621 PKR</v>
      </c>
      <c r="H4694" s="9" t="str">
        <f ca="1">IFERROR(__xludf.DUMMYFUNCTION("""COMPUTED_VALUE"""),"USD PKR rate for 11/03/2011")</f>
        <v>USD PKR rate for 11/03/2011</v>
      </c>
      <c r="I4694" s="9"/>
    </row>
    <row r="4695" spans="1:9" ht="14.25" customHeight="1" x14ac:dyDescent="0.3">
      <c r="A4695" s="10">
        <v>44412</v>
      </c>
      <c r="B4695" s="11">
        <v>163.20099999999999</v>
      </c>
      <c r="C4695" s="8">
        <f t="shared" si="37"/>
        <v>182.84149821053182</v>
      </c>
      <c r="D4695" s="9">
        <f t="shared" si="36"/>
        <v>74.589516728705959</v>
      </c>
      <c r="E4695" s="9"/>
      <c r="F4695" s="9">
        <f ca="1">IFERROR(__xludf.DUMMYFUNCTION("""COMPUTED_VALUE"""),40612)</f>
        <v>40612</v>
      </c>
      <c r="G4695" s="9" t="str">
        <f ca="1">IFERROR(__xludf.DUMMYFUNCTION("""COMPUTED_VALUE"""),"1 USD = 85.2126 PKR")</f>
        <v>1 USD = 85.2126 PKR</v>
      </c>
      <c r="H4695" s="9" t="str">
        <f ca="1">IFERROR(__xludf.DUMMYFUNCTION("""COMPUTED_VALUE"""),"USD PKR rate for 10/03/2011")</f>
        <v>USD PKR rate for 10/03/2011</v>
      </c>
      <c r="I4695" s="9"/>
    </row>
    <row r="4696" spans="1:9" ht="14.25" customHeight="1" x14ac:dyDescent="0.3">
      <c r="A4696" s="10">
        <v>44413</v>
      </c>
      <c r="B4696" s="11">
        <v>163.9179</v>
      </c>
      <c r="C4696" s="8">
        <f t="shared" si="37"/>
        <v>182.87419937013303</v>
      </c>
      <c r="D4696" s="9">
        <f t="shared" si="36"/>
        <v>74.592254561503225</v>
      </c>
      <c r="E4696" s="9"/>
      <c r="F4696" s="9">
        <f ca="1">IFERROR(__xludf.DUMMYFUNCTION("""COMPUTED_VALUE"""),40611)</f>
        <v>40611</v>
      </c>
      <c r="G4696" s="9" t="str">
        <f ca="1">IFERROR(__xludf.DUMMYFUNCTION("""COMPUTED_VALUE"""),"1 USD = 85.6241 PKR")</f>
        <v>1 USD = 85.6241 PKR</v>
      </c>
      <c r="H4696" s="9" t="str">
        <f ca="1">IFERROR(__xludf.DUMMYFUNCTION("""COMPUTED_VALUE"""),"USD PKR rate for 09/03/2011")</f>
        <v>USD PKR rate for 09/03/2011</v>
      </c>
      <c r="I4696" s="9"/>
    </row>
    <row r="4697" spans="1:9" ht="14.25" customHeight="1" x14ac:dyDescent="0.3">
      <c r="A4697" s="10">
        <v>44414</v>
      </c>
      <c r="B4697" s="11">
        <v>164.1694</v>
      </c>
      <c r="C4697" s="8">
        <f t="shared" si="37"/>
        <v>182.9069063783291</v>
      </c>
      <c r="D4697" s="9">
        <f t="shared" si="36"/>
        <v>74.59499239430049</v>
      </c>
      <c r="E4697" s="9"/>
      <c r="F4697" s="9">
        <f ca="1">IFERROR(__xludf.DUMMYFUNCTION("""COMPUTED_VALUE"""),40610)</f>
        <v>40610</v>
      </c>
      <c r="G4697" s="9" t="str">
        <f ca="1">IFERROR(__xludf.DUMMYFUNCTION("""COMPUTED_VALUE"""),"1 USD = 85.6233 PKR")</f>
        <v>1 USD = 85.6233 PKR</v>
      </c>
      <c r="H4697" s="9" t="str">
        <f ca="1">IFERROR(__xludf.DUMMYFUNCTION("""COMPUTED_VALUE"""),"USD PKR rate for 08/03/2011")</f>
        <v>USD PKR rate for 08/03/2011</v>
      </c>
      <c r="I4697" s="9"/>
    </row>
    <row r="4698" spans="1:9" ht="14.25" customHeight="1" x14ac:dyDescent="0.3">
      <c r="A4698" s="10">
        <v>44415</v>
      </c>
      <c r="B4698" s="11">
        <v>164.76570000000001</v>
      </c>
      <c r="C4698" s="8">
        <f t="shared" si="37"/>
        <v>182.93961923616598</v>
      </c>
      <c r="D4698" s="9">
        <f t="shared" si="36"/>
        <v>74.597730227097756</v>
      </c>
      <c r="E4698" s="9"/>
      <c r="F4698" s="9">
        <f ca="1">IFERROR(__xludf.DUMMYFUNCTION("""COMPUTED_VALUE"""),40609)</f>
        <v>40609</v>
      </c>
      <c r="G4698" s="9" t="str">
        <f ca="1">IFERROR(__xludf.DUMMYFUNCTION("""COMPUTED_VALUE"""),"1 USD = 85.2597 PKR")</f>
        <v>1 USD = 85.2597 PKR</v>
      </c>
      <c r="H4698" s="9" t="str">
        <f ca="1">IFERROR(__xludf.DUMMYFUNCTION("""COMPUTED_VALUE"""),"USD PKR rate for 07/03/2011")</f>
        <v>USD PKR rate for 07/03/2011</v>
      </c>
      <c r="I4698" s="9"/>
    </row>
    <row r="4699" spans="1:9" ht="14.25" customHeight="1" x14ac:dyDescent="0.3">
      <c r="A4699" s="10">
        <v>44416</v>
      </c>
      <c r="B4699" s="11">
        <v>164.76929999999999</v>
      </c>
      <c r="C4699" s="8">
        <f t="shared" si="37"/>
        <v>182.97233794468985</v>
      </c>
      <c r="D4699" s="9">
        <f t="shared" si="36"/>
        <v>74.600468059895022</v>
      </c>
      <c r="E4699" s="9"/>
      <c r="F4699" s="9">
        <f ca="1">IFERROR(__xludf.DUMMYFUNCTION("""COMPUTED_VALUE"""),40608)</f>
        <v>40608</v>
      </c>
      <c r="G4699" s="9" t="str">
        <f ca="1">IFERROR(__xludf.DUMMYFUNCTION("""COMPUTED_VALUE"""),"1 USD = 85.125 PKR")</f>
        <v>1 USD = 85.125 PKR</v>
      </c>
      <c r="H4699" s="9" t="str">
        <f ca="1">IFERROR(__xludf.DUMMYFUNCTION("""COMPUTED_VALUE"""),"USD PKR rate for 06/03/2011")</f>
        <v>USD PKR rate for 06/03/2011</v>
      </c>
      <c r="I4699" s="9"/>
    </row>
    <row r="4700" spans="1:9" ht="14.25" customHeight="1" x14ac:dyDescent="0.3">
      <c r="A4700" s="10">
        <v>44417</v>
      </c>
      <c r="B4700" s="11">
        <v>164.33940000000001</v>
      </c>
      <c r="C4700" s="8">
        <f t="shared" si="37"/>
        <v>183.00506250494723</v>
      </c>
      <c r="D4700" s="9">
        <f t="shared" si="36"/>
        <v>74.603205892692287</v>
      </c>
      <c r="E4700" s="9"/>
      <c r="F4700" s="9">
        <f ca="1">IFERROR(__xludf.DUMMYFUNCTION("""COMPUTED_VALUE"""),40607)</f>
        <v>40607</v>
      </c>
      <c r="G4700" s="9" t="str">
        <f ca="1">IFERROR(__xludf.DUMMYFUNCTION("""COMPUTED_VALUE"""),"1 USD = 85.1041 PKR")</f>
        <v>1 USD = 85.1041 PKR</v>
      </c>
      <c r="H4700" s="9" t="str">
        <f ca="1">IFERROR(__xludf.DUMMYFUNCTION("""COMPUTED_VALUE"""),"USD PKR rate for 05/03/2011")</f>
        <v>USD PKR rate for 05/03/2011</v>
      </c>
      <c r="I4700" s="9"/>
    </row>
    <row r="4701" spans="1:9" ht="14.25" customHeight="1" x14ac:dyDescent="0.3">
      <c r="A4701" s="10">
        <v>44418</v>
      </c>
      <c r="B4701" s="11">
        <v>164.3612</v>
      </c>
      <c r="C4701" s="8">
        <f t="shared" si="37"/>
        <v>183.03779291798463</v>
      </c>
      <c r="D4701" s="9">
        <f t="shared" si="36"/>
        <v>74.605943725489553</v>
      </c>
      <c r="E4701" s="9"/>
      <c r="F4701" s="9">
        <f ca="1">IFERROR(__xludf.DUMMYFUNCTION("""COMPUTED_VALUE"""),40606)</f>
        <v>40606</v>
      </c>
      <c r="G4701" s="9" t="str">
        <f ca="1">IFERROR(__xludf.DUMMYFUNCTION("""COMPUTED_VALUE"""),"1 USD = 85.1041 PKR")</f>
        <v>1 USD = 85.1041 PKR</v>
      </c>
      <c r="H4701" s="9" t="str">
        <f ca="1">IFERROR(__xludf.DUMMYFUNCTION("""COMPUTED_VALUE"""),"USD PKR rate for 04/03/2011")</f>
        <v>USD PKR rate for 04/03/2011</v>
      </c>
      <c r="I4701" s="9"/>
    </row>
    <row r="4702" spans="1:9" ht="14.25" customHeight="1" x14ac:dyDescent="0.3">
      <c r="A4702" s="10">
        <v>44419</v>
      </c>
      <c r="B4702" s="11">
        <v>163.5668</v>
      </c>
      <c r="C4702" s="8">
        <f t="shared" si="37"/>
        <v>183.07052918484879</v>
      </c>
      <c r="D4702" s="9">
        <f t="shared" si="36"/>
        <v>74.608681558286818</v>
      </c>
      <c r="E4702" s="9"/>
      <c r="F4702" s="9">
        <f ca="1">IFERROR(__xludf.DUMMYFUNCTION("""COMPUTED_VALUE"""),40605)</f>
        <v>40605</v>
      </c>
      <c r="G4702" s="9" t="str">
        <f ca="1">IFERROR(__xludf.DUMMYFUNCTION("""COMPUTED_VALUE"""),"1 USD = 85.2733 PKR")</f>
        <v>1 USD = 85.2733 PKR</v>
      </c>
      <c r="H4702" s="9" t="str">
        <f ca="1">IFERROR(__xludf.DUMMYFUNCTION("""COMPUTED_VALUE"""),"USD PKR rate for 03/03/2011")</f>
        <v>USD PKR rate for 03/03/2011</v>
      </c>
      <c r="I4702" s="9"/>
    </row>
    <row r="4703" spans="1:9" ht="14.25" customHeight="1" x14ac:dyDescent="0.3">
      <c r="A4703" s="10">
        <v>44420</v>
      </c>
      <c r="B4703" s="11">
        <v>164.39830000000001</v>
      </c>
      <c r="C4703" s="8">
        <f t="shared" si="37"/>
        <v>183.10327130658655</v>
      </c>
      <c r="D4703" s="9">
        <f t="shared" si="36"/>
        <v>74.611419391084084</v>
      </c>
      <c r="E4703" s="9"/>
      <c r="F4703" s="9">
        <f ca="1">IFERROR(__xludf.DUMMYFUNCTION("""COMPUTED_VALUE"""),40604)</f>
        <v>40604</v>
      </c>
      <c r="G4703" s="9" t="str">
        <f ca="1">IFERROR(__xludf.DUMMYFUNCTION("""COMPUTED_VALUE"""),"1 USD = 85.8484 PKR")</f>
        <v>1 USD = 85.8484 PKR</v>
      </c>
      <c r="H4703" s="9" t="str">
        <f ca="1">IFERROR(__xludf.DUMMYFUNCTION("""COMPUTED_VALUE"""),"USD PKR rate for 02/03/2011")</f>
        <v>USD PKR rate for 02/03/2011</v>
      </c>
      <c r="I4703" s="9"/>
    </row>
    <row r="4704" spans="1:9" ht="14.25" customHeight="1" x14ac:dyDescent="0.3">
      <c r="A4704" s="10">
        <v>44421</v>
      </c>
      <c r="B4704" s="11">
        <v>164.42189999999999</v>
      </c>
      <c r="C4704" s="8">
        <f t="shared" si="37"/>
        <v>183.13601928424538</v>
      </c>
      <c r="D4704" s="9">
        <f t="shared" si="36"/>
        <v>74.61415722388135</v>
      </c>
      <c r="E4704" s="9"/>
      <c r="F4704" s="9">
        <f ca="1">IFERROR(__xludf.DUMMYFUNCTION("""COMPUTED_VALUE"""),40603)</f>
        <v>40603</v>
      </c>
      <c r="G4704" s="9" t="str">
        <f ca="1">IFERROR(__xludf.DUMMYFUNCTION("""COMPUTED_VALUE"""),"1 USD = 86.218 PKR")</f>
        <v>1 USD = 86.218 PKR</v>
      </c>
      <c r="H4704" s="9" t="str">
        <f ca="1">IFERROR(__xludf.DUMMYFUNCTION("""COMPUTED_VALUE"""),"USD PKR rate for 01/03/2011")</f>
        <v>USD PKR rate for 01/03/2011</v>
      </c>
      <c r="I4704" s="9"/>
    </row>
    <row r="4705" spans="1:9" ht="14.25" customHeight="1" x14ac:dyDescent="0.3">
      <c r="A4705" s="10">
        <v>44422</v>
      </c>
      <c r="B4705" s="11">
        <v>164.42189999999999</v>
      </c>
      <c r="C4705" s="8">
        <f t="shared" si="37"/>
        <v>183.16877311887237</v>
      </c>
      <c r="D4705" s="9">
        <f t="shared" si="36"/>
        <v>74.616895056678615</v>
      </c>
      <c r="E4705" s="9"/>
      <c r="F4705" s="9">
        <f ca="1">IFERROR(__xludf.DUMMYFUNCTION("""COMPUTED_VALUE"""),40602)</f>
        <v>40602</v>
      </c>
      <c r="G4705" s="9" t="str">
        <f ca="1">IFERROR(__xludf.DUMMYFUNCTION("""COMPUTED_VALUE"""),"1 USD = 86.1923 PKR")</f>
        <v>1 USD = 86.1923 PKR</v>
      </c>
      <c r="H4705" s="9" t="str">
        <f ca="1">IFERROR(__xludf.DUMMYFUNCTION("""COMPUTED_VALUE"""),"USD PKR rate for 28/02/2011")</f>
        <v>USD PKR rate for 28/02/2011</v>
      </c>
      <c r="I4705" s="9"/>
    </row>
    <row r="4706" spans="1:9" ht="14.25" customHeight="1" x14ac:dyDescent="0.3">
      <c r="A4706" s="10">
        <v>44423</v>
      </c>
      <c r="B4706" s="11">
        <v>164.43719999999999</v>
      </c>
      <c r="C4706" s="8">
        <f t="shared" si="37"/>
        <v>183.20153281151516</v>
      </c>
      <c r="D4706" s="9">
        <f t="shared" si="36"/>
        <v>74.619632889475881</v>
      </c>
      <c r="E4706" s="9"/>
      <c r="F4706" s="9">
        <f ca="1">IFERROR(__xludf.DUMMYFUNCTION("""COMPUTED_VALUE"""),40601)</f>
        <v>40601</v>
      </c>
      <c r="G4706" s="9" t="str">
        <f ca="1">IFERROR(__xludf.DUMMYFUNCTION("""COMPUTED_VALUE"""),"1 USD = 85.6519 PKR")</f>
        <v>1 USD = 85.6519 PKR</v>
      </c>
      <c r="H4706" s="9" t="str">
        <f ca="1">IFERROR(__xludf.DUMMYFUNCTION("""COMPUTED_VALUE"""),"USD PKR rate for 27/02/2011")</f>
        <v>USD PKR rate for 27/02/2011</v>
      </c>
      <c r="I4706" s="9"/>
    </row>
    <row r="4707" spans="1:9" ht="14.25" customHeight="1" x14ac:dyDescent="0.3">
      <c r="A4707" s="10">
        <v>44424</v>
      </c>
      <c r="B4707" s="7">
        <v>164.54849999999999</v>
      </c>
      <c r="C4707" s="8">
        <f t="shared" si="37"/>
        <v>183.23429836322137</v>
      </c>
      <c r="D4707" s="9">
        <f t="shared" si="36"/>
        <v>74.622370722273146</v>
      </c>
      <c r="E4707" s="9"/>
      <c r="F4707" s="9">
        <f ca="1">IFERROR(__xludf.DUMMYFUNCTION("""COMPUTED_VALUE"""),40600)</f>
        <v>40600</v>
      </c>
      <c r="G4707" s="9" t="str">
        <f ca="1">IFERROR(__xludf.DUMMYFUNCTION("""COMPUTED_VALUE"""),"1 USD = 85.5383 PKR")</f>
        <v>1 USD = 85.5383 PKR</v>
      </c>
      <c r="H4707" s="9" t="str">
        <f ca="1">IFERROR(__xludf.DUMMYFUNCTION("""COMPUTED_VALUE"""),"USD PKR rate for 26/02/2011")</f>
        <v>USD PKR rate for 26/02/2011</v>
      </c>
      <c r="I4707" s="9"/>
    </row>
    <row r="4708" spans="1:9" ht="14.25" customHeight="1" x14ac:dyDescent="0.3">
      <c r="A4708" s="10">
        <v>44425</v>
      </c>
      <c r="B4708" s="7">
        <v>164.54730000000001</v>
      </c>
      <c r="C4708" s="8">
        <f t="shared" si="37"/>
        <v>183.26706977503889</v>
      </c>
      <c r="D4708" s="9">
        <f t="shared" si="36"/>
        <v>74.625108555070412</v>
      </c>
      <c r="E4708" s="9"/>
      <c r="F4708" s="9">
        <f ca="1">IFERROR(__xludf.DUMMYFUNCTION("""COMPUTED_VALUE"""),40599)</f>
        <v>40599</v>
      </c>
      <c r="G4708" s="9" t="str">
        <f ca="1">IFERROR(__xludf.DUMMYFUNCTION("""COMPUTED_VALUE"""),"1 USD = 85.5383 PKR")</f>
        <v>1 USD = 85.5383 PKR</v>
      </c>
      <c r="H4708" s="9" t="str">
        <f ca="1">IFERROR(__xludf.DUMMYFUNCTION("""COMPUTED_VALUE"""),"USD PKR rate for 25/02/2011")</f>
        <v>USD PKR rate for 25/02/2011</v>
      </c>
      <c r="I4708" s="9"/>
    </row>
    <row r="4709" spans="1:9" ht="14.25" customHeight="1" x14ac:dyDescent="0.3">
      <c r="A4709" s="10">
        <v>44426</v>
      </c>
      <c r="B4709" s="7">
        <v>164.30600000000001</v>
      </c>
      <c r="C4709" s="8">
        <f t="shared" si="37"/>
        <v>183.29984704801586</v>
      </c>
      <c r="D4709" s="9">
        <f t="shared" si="36"/>
        <v>74.627846387867677</v>
      </c>
      <c r="E4709" s="9"/>
      <c r="F4709" s="9">
        <f ca="1">IFERROR(__xludf.DUMMYFUNCTION("""COMPUTED_VALUE"""),40598)</f>
        <v>40598</v>
      </c>
      <c r="G4709" s="9" t="str">
        <f ca="1">IFERROR(__xludf.DUMMYFUNCTION("""COMPUTED_VALUE"""),"1 USD = 85.2183 PKR")</f>
        <v>1 USD = 85.2183 PKR</v>
      </c>
      <c r="H4709" s="9" t="str">
        <f ca="1">IFERROR(__xludf.DUMMYFUNCTION("""COMPUTED_VALUE"""),"USD PKR rate for 24/02/2011")</f>
        <v>USD PKR rate for 24/02/2011</v>
      </c>
      <c r="I4709" s="9"/>
    </row>
    <row r="4710" spans="1:9" ht="14.25" customHeight="1" x14ac:dyDescent="0.3">
      <c r="A4710" s="10">
        <v>44427</v>
      </c>
      <c r="B4710" s="7">
        <v>164.22380000000001</v>
      </c>
      <c r="C4710" s="8">
        <f t="shared" si="37"/>
        <v>183.33263018320045</v>
      </c>
      <c r="D4710" s="9">
        <f t="shared" si="36"/>
        <v>74.630584220664943</v>
      </c>
      <c r="E4710" s="9"/>
      <c r="F4710" s="9">
        <f ca="1">IFERROR(__xludf.DUMMYFUNCTION("""COMPUTED_VALUE"""),40597)</f>
        <v>40597</v>
      </c>
      <c r="G4710" s="9" t="str">
        <f ca="1">IFERROR(__xludf.DUMMYFUNCTION("""COMPUTED_VALUE"""),"1 USD = 85.4758 PKR")</f>
        <v>1 USD = 85.4758 PKR</v>
      </c>
      <c r="H4710" s="9" t="str">
        <f ca="1">IFERROR(__xludf.DUMMYFUNCTION("""COMPUTED_VALUE"""),"USD PKR rate for 23/02/2011")</f>
        <v>USD PKR rate for 23/02/2011</v>
      </c>
      <c r="I4710" s="9"/>
    </row>
    <row r="4711" spans="1:9" ht="14.25" customHeight="1" x14ac:dyDescent="0.3">
      <c r="A4711" s="10">
        <v>44428</v>
      </c>
      <c r="B4711" s="7">
        <v>164.5882</v>
      </c>
      <c r="C4711" s="8">
        <f t="shared" si="37"/>
        <v>183.36541918164122</v>
      </c>
      <c r="D4711" s="9">
        <f t="shared" si="36"/>
        <v>74.633322053462209</v>
      </c>
      <c r="E4711" s="9"/>
      <c r="F4711" s="9">
        <f ca="1">IFERROR(__xludf.DUMMYFUNCTION("""COMPUTED_VALUE"""),40596)</f>
        <v>40596</v>
      </c>
      <c r="G4711" s="9" t="str">
        <f ca="1">IFERROR(__xludf.DUMMYFUNCTION("""COMPUTED_VALUE"""),"1 USD = 85.0487 PKR")</f>
        <v>1 USD = 85.0487 PKR</v>
      </c>
      <c r="H4711" s="9" t="str">
        <f ca="1">IFERROR(__xludf.DUMMYFUNCTION("""COMPUTED_VALUE"""),"USD PKR rate for 22/02/2011")</f>
        <v>USD PKR rate for 22/02/2011</v>
      </c>
      <c r="I4711" s="9"/>
    </row>
    <row r="4712" spans="1:9" ht="14.25" customHeight="1" x14ac:dyDescent="0.3">
      <c r="A4712" s="10">
        <v>44429</v>
      </c>
      <c r="B4712" s="7">
        <v>164.30019999999999</v>
      </c>
      <c r="C4712" s="8">
        <f t="shared" si="37"/>
        <v>183.39821404438661</v>
      </c>
      <c r="D4712" s="9">
        <f t="shared" si="36"/>
        <v>74.636059886259474</v>
      </c>
      <c r="E4712" s="9"/>
      <c r="F4712" s="9">
        <f ca="1">IFERROR(__xludf.DUMMYFUNCTION("""COMPUTED_VALUE"""),40595)</f>
        <v>40595</v>
      </c>
      <c r="G4712" s="9" t="str">
        <f ca="1">IFERROR(__xludf.DUMMYFUNCTION("""COMPUTED_VALUE"""),"1 USD = 86.0097 PKR")</f>
        <v>1 USD = 86.0097 PKR</v>
      </c>
      <c r="H4712" s="9" t="str">
        <f ca="1">IFERROR(__xludf.DUMMYFUNCTION("""COMPUTED_VALUE"""),"USD PKR rate for 21/02/2011")</f>
        <v>USD PKR rate for 21/02/2011</v>
      </c>
      <c r="I4712" s="9"/>
    </row>
    <row r="4713" spans="1:9" ht="14.25" customHeight="1" x14ac:dyDescent="0.3">
      <c r="A4713" s="10">
        <v>44430</v>
      </c>
      <c r="B4713" s="7">
        <v>164.25890000000001</v>
      </c>
      <c r="C4713" s="8">
        <f t="shared" si="37"/>
        <v>183.43101477248575</v>
      </c>
      <c r="D4713" s="9">
        <f t="shared" si="36"/>
        <v>74.63879771905674</v>
      </c>
      <c r="E4713" s="9"/>
      <c r="F4713" s="9">
        <f ca="1">IFERROR(__xludf.DUMMYFUNCTION("""COMPUTED_VALUE"""),40594)</f>
        <v>40594</v>
      </c>
      <c r="G4713" s="9" t="str">
        <f ca="1">IFERROR(__xludf.DUMMYFUNCTION("""COMPUTED_VALUE"""),"1 USD = 85.9347 PKR")</f>
        <v>1 USD = 85.9347 PKR</v>
      </c>
      <c r="H4713" s="9" t="str">
        <f ca="1">IFERROR(__xludf.DUMMYFUNCTION("""COMPUTED_VALUE"""),"USD PKR rate for 20/02/2011")</f>
        <v>USD PKR rate for 20/02/2011</v>
      </c>
      <c r="I4713" s="9"/>
    </row>
    <row r="4714" spans="1:9" ht="14.25" customHeight="1" x14ac:dyDescent="0.3">
      <c r="A4714" s="10">
        <v>44431</v>
      </c>
      <c r="B4714" s="7">
        <v>164.3477</v>
      </c>
      <c r="C4714" s="8">
        <f t="shared" si="37"/>
        <v>183.4638213669875</v>
      </c>
      <c r="D4714" s="9">
        <f t="shared" si="36"/>
        <v>74.641535551854005</v>
      </c>
      <c r="E4714" s="9"/>
      <c r="F4714" s="9">
        <f ca="1">IFERROR(__xludf.DUMMYFUNCTION("""COMPUTED_VALUE"""),40593)</f>
        <v>40593</v>
      </c>
      <c r="G4714" s="9" t="str">
        <f ca="1">IFERROR(__xludf.DUMMYFUNCTION("""COMPUTED_VALUE"""),"1 USD = 85.9136 PKR")</f>
        <v>1 USD = 85.9136 PKR</v>
      </c>
      <c r="H4714" s="9" t="str">
        <f ca="1">IFERROR(__xludf.DUMMYFUNCTION("""COMPUTED_VALUE"""),"USD PKR rate for 19/02/2011")</f>
        <v>USD PKR rate for 19/02/2011</v>
      </c>
      <c r="I4714" s="9"/>
    </row>
    <row r="4715" spans="1:9" ht="14.25" customHeight="1" x14ac:dyDescent="0.3">
      <c r="A4715" s="10">
        <v>44432</v>
      </c>
      <c r="B4715" s="7">
        <v>165.21610000000001</v>
      </c>
      <c r="C4715" s="8">
        <f t="shared" si="37"/>
        <v>183.49663382894107</v>
      </c>
      <c r="D4715" s="9">
        <f t="shared" si="36"/>
        <v>74.644273384651271</v>
      </c>
      <c r="E4715" s="9"/>
      <c r="F4715" s="9">
        <f ca="1">IFERROR(__xludf.DUMMYFUNCTION("""COMPUTED_VALUE"""),40592)</f>
        <v>40592</v>
      </c>
      <c r="G4715" s="9" t="str">
        <f ca="1">IFERROR(__xludf.DUMMYFUNCTION("""COMPUTED_VALUE"""),"1 USD = 85.9136 PKR")</f>
        <v>1 USD = 85.9136 PKR</v>
      </c>
      <c r="H4715" s="9" t="str">
        <f ca="1">IFERROR(__xludf.DUMMYFUNCTION("""COMPUTED_VALUE"""),"USD PKR rate for 18/02/2011")</f>
        <v>USD PKR rate for 18/02/2011</v>
      </c>
      <c r="I4715" s="9"/>
    </row>
    <row r="4716" spans="1:9" ht="14.25" customHeight="1" x14ac:dyDescent="0.3">
      <c r="A4716" s="10">
        <v>44433</v>
      </c>
      <c r="B4716" s="7">
        <v>165.9802</v>
      </c>
      <c r="C4716" s="8">
        <f t="shared" si="37"/>
        <v>183.52945215939593</v>
      </c>
      <c r="D4716" s="9">
        <f t="shared" si="36"/>
        <v>74.647011217448537</v>
      </c>
      <c r="E4716" s="9"/>
      <c r="F4716" s="9">
        <f ca="1">IFERROR(__xludf.DUMMYFUNCTION("""COMPUTED_VALUE"""),40591)</f>
        <v>40591</v>
      </c>
      <c r="G4716" s="9" t="str">
        <f ca="1">IFERROR(__xludf.DUMMYFUNCTION("""COMPUTED_VALUE"""),"1 USD = 85.4357 PKR")</f>
        <v>1 USD = 85.4357 PKR</v>
      </c>
      <c r="H4716" s="9" t="str">
        <f ca="1">IFERROR(__xludf.DUMMYFUNCTION("""COMPUTED_VALUE"""),"USD PKR rate for 17/02/2011")</f>
        <v>USD PKR rate for 17/02/2011</v>
      </c>
      <c r="I4716" s="9"/>
    </row>
    <row r="4717" spans="1:9" ht="14.25" customHeight="1" x14ac:dyDescent="0.3">
      <c r="A4717" s="10">
        <v>44434</v>
      </c>
      <c r="B4717" s="7">
        <v>166.4923</v>
      </c>
      <c r="C4717" s="8">
        <f t="shared" si="37"/>
        <v>183.56227635940152</v>
      </c>
      <c r="D4717" s="9">
        <f t="shared" si="36"/>
        <v>74.649749050245802</v>
      </c>
      <c r="E4717" s="9"/>
      <c r="F4717" s="9">
        <f ca="1">IFERROR(__xludf.DUMMYFUNCTION("""COMPUTED_VALUE"""),40590)</f>
        <v>40590</v>
      </c>
      <c r="G4717" s="9" t="str">
        <f ca="1">IFERROR(__xludf.DUMMYFUNCTION("""COMPUTED_VALUE"""),"1 USD = 85.7261 PKR")</f>
        <v>1 USD = 85.7261 PKR</v>
      </c>
      <c r="H4717" s="9" t="str">
        <f ca="1">IFERROR(__xludf.DUMMYFUNCTION("""COMPUTED_VALUE"""),"USD PKR rate for 16/02/2011")</f>
        <v>USD PKR rate for 16/02/2011</v>
      </c>
      <c r="I4717" s="9"/>
    </row>
    <row r="4718" spans="1:9" ht="14.25" customHeight="1" x14ac:dyDescent="0.3">
      <c r="A4718" s="10">
        <v>44435</v>
      </c>
      <c r="B4718" s="7">
        <v>166.58949999999999</v>
      </c>
      <c r="C4718" s="8">
        <f t="shared" si="37"/>
        <v>183.59510643000772</v>
      </c>
      <c r="D4718" s="9">
        <f t="shared" si="36"/>
        <v>74.652486883043068</v>
      </c>
      <c r="E4718" s="9"/>
      <c r="F4718" s="9">
        <f ca="1">IFERROR(__xludf.DUMMYFUNCTION("""COMPUTED_VALUE"""),40589)</f>
        <v>40589</v>
      </c>
      <c r="G4718" s="9" t="str">
        <f ca="1">IFERROR(__xludf.DUMMYFUNCTION("""COMPUTED_VALUE"""),"1 USD = 85.1244 PKR")</f>
        <v>1 USD = 85.1244 PKR</v>
      </c>
      <c r="H4718" s="9" t="str">
        <f ca="1">IFERROR(__xludf.DUMMYFUNCTION("""COMPUTED_VALUE"""),"USD PKR rate for 15/02/2011")</f>
        <v>USD PKR rate for 15/02/2011</v>
      </c>
      <c r="I4718" s="9"/>
    </row>
    <row r="4719" spans="1:9" ht="14.25" customHeight="1" x14ac:dyDescent="0.3">
      <c r="A4719" s="10">
        <v>44436</v>
      </c>
      <c r="B4719" s="7">
        <v>166.58949999999999</v>
      </c>
      <c r="C4719" s="8">
        <f t="shared" si="37"/>
        <v>183.62794237226441</v>
      </c>
      <c r="D4719" s="9">
        <f t="shared" si="36"/>
        <v>74.655224715840333</v>
      </c>
      <c r="E4719" s="9"/>
      <c r="F4719" s="9">
        <f ca="1">IFERROR(__xludf.DUMMYFUNCTION("""COMPUTED_VALUE"""),40588)</f>
        <v>40588</v>
      </c>
      <c r="G4719" s="9" t="str">
        <f ca="1">IFERROR(__xludf.DUMMYFUNCTION("""COMPUTED_VALUE"""),"1 USD = 85.2619 PKR")</f>
        <v>1 USD = 85.2619 PKR</v>
      </c>
      <c r="H4719" s="9" t="str">
        <f ca="1">IFERROR(__xludf.DUMMYFUNCTION("""COMPUTED_VALUE"""),"USD PKR rate for 14/02/2011")</f>
        <v>USD PKR rate for 14/02/2011</v>
      </c>
      <c r="I4719" s="9"/>
    </row>
    <row r="4720" spans="1:9" ht="14.25" customHeight="1" x14ac:dyDescent="0.3">
      <c r="A4720" s="10">
        <v>44437</v>
      </c>
      <c r="B4720" s="7">
        <v>166.58840000000001</v>
      </c>
      <c r="C4720" s="8">
        <f t="shared" si="37"/>
        <v>183.66078418722176</v>
      </c>
      <c r="D4720" s="9">
        <f t="shared" si="36"/>
        <v>74.657962548637599</v>
      </c>
      <c r="E4720" s="9"/>
      <c r="F4720" s="9">
        <f ca="1">IFERROR(__xludf.DUMMYFUNCTION("""COMPUTED_VALUE"""),40587)</f>
        <v>40587</v>
      </c>
      <c r="G4720" s="9" t="str">
        <f ca="1">IFERROR(__xludf.DUMMYFUNCTION("""COMPUTED_VALUE"""),"1 USD = 84.9157 PKR")</f>
        <v>1 USD = 84.9157 PKR</v>
      </c>
      <c r="H4720" s="9" t="str">
        <f ca="1">IFERROR(__xludf.DUMMYFUNCTION("""COMPUTED_VALUE"""),"USD PKR rate for 13/02/2011")</f>
        <v>USD PKR rate for 13/02/2011</v>
      </c>
      <c r="I4720" s="9"/>
    </row>
    <row r="4721" spans="1:9" ht="14.25" customHeight="1" x14ac:dyDescent="0.3">
      <c r="A4721" s="10">
        <v>44438</v>
      </c>
      <c r="B4721" s="7">
        <v>166.63030000000001</v>
      </c>
      <c r="C4721" s="8">
        <f t="shared" si="37"/>
        <v>183.69363187592995</v>
      </c>
      <c r="D4721" s="9">
        <f t="shared" si="36"/>
        <v>74.660700381434864</v>
      </c>
      <c r="E4721" s="9"/>
      <c r="F4721" s="9">
        <f ca="1">IFERROR(__xludf.DUMMYFUNCTION("""COMPUTED_VALUE"""),40586)</f>
        <v>40586</v>
      </c>
      <c r="G4721" s="9" t="str">
        <f ca="1">IFERROR(__xludf.DUMMYFUNCTION("""COMPUTED_VALUE"""),"1 USD = 84.8786 PKR")</f>
        <v>1 USD = 84.8786 PKR</v>
      </c>
      <c r="H4721" s="9" t="str">
        <f ca="1">IFERROR(__xludf.DUMMYFUNCTION("""COMPUTED_VALUE"""),"USD PKR rate for 12/02/2011")</f>
        <v>USD PKR rate for 12/02/2011</v>
      </c>
      <c r="I4721" s="9"/>
    </row>
    <row r="4722" spans="1:9" ht="14.25" customHeight="1" x14ac:dyDescent="0.3">
      <c r="A4722" s="10">
        <v>44439</v>
      </c>
      <c r="B4722" s="7">
        <v>166.73490000000001</v>
      </c>
      <c r="C4722" s="8">
        <f t="shared" si="37"/>
        <v>183.72648543943987</v>
      </c>
      <c r="D4722" s="9">
        <f t="shared" si="36"/>
        <v>74.66343821423213</v>
      </c>
      <c r="E4722" s="9"/>
      <c r="F4722" s="9">
        <f ca="1">IFERROR(__xludf.DUMMYFUNCTION("""COMPUTED_VALUE"""),40585)</f>
        <v>40585</v>
      </c>
      <c r="G4722" s="9" t="str">
        <f ca="1">IFERROR(__xludf.DUMMYFUNCTION("""COMPUTED_VALUE"""),"1 USD = 84.8786 PKR")</f>
        <v>1 USD = 84.8786 PKR</v>
      </c>
      <c r="H4722" s="9" t="str">
        <f ca="1">IFERROR(__xludf.DUMMYFUNCTION("""COMPUTED_VALUE"""),"USD PKR rate for 11/02/2011")</f>
        <v>USD PKR rate for 11/02/2011</v>
      </c>
      <c r="I4722" s="9"/>
    </row>
    <row r="4723" spans="1:9" ht="14.25" customHeight="1" x14ac:dyDescent="0.3">
      <c r="A4723" s="10">
        <v>44440</v>
      </c>
      <c r="B4723" s="7">
        <v>167.14400000000001</v>
      </c>
      <c r="C4723" s="8">
        <f t="shared" si="37"/>
        <v>183.75934487880195</v>
      </c>
      <c r="D4723" s="9">
        <f t="shared" si="36"/>
        <v>74.666176047029396</v>
      </c>
      <c r="E4723" s="9"/>
      <c r="F4723" s="9">
        <f ca="1">IFERROR(__xludf.DUMMYFUNCTION("""COMPUTED_VALUE"""),40584)</f>
        <v>40584</v>
      </c>
      <c r="G4723" s="9" t="str">
        <f ca="1">IFERROR(__xludf.DUMMYFUNCTION("""COMPUTED_VALUE"""),"1 USD = 84.5054 PKR")</f>
        <v>1 USD = 84.5054 PKR</v>
      </c>
      <c r="H4723" s="9" t="str">
        <f ca="1">IFERROR(__xludf.DUMMYFUNCTION("""COMPUTED_VALUE"""),"USD PKR rate for 10/02/2011")</f>
        <v>USD PKR rate for 10/02/2011</v>
      </c>
      <c r="I4723" s="9"/>
    </row>
    <row r="4724" spans="1:9" ht="14.25" customHeight="1" x14ac:dyDescent="0.3">
      <c r="A4724" s="10">
        <v>44441</v>
      </c>
      <c r="B4724" s="7">
        <v>167.28890000000001</v>
      </c>
      <c r="C4724" s="8">
        <f t="shared" si="37"/>
        <v>183.79221019506716</v>
      </c>
      <c r="D4724" s="9">
        <f t="shared" si="36"/>
        <v>74.668913879826661</v>
      </c>
      <c r="E4724" s="9"/>
      <c r="F4724" s="9">
        <f ca="1">IFERROR(__xludf.DUMMYFUNCTION("""COMPUTED_VALUE"""),40583)</f>
        <v>40583</v>
      </c>
      <c r="G4724" s="9" t="str">
        <f ca="1">IFERROR(__xludf.DUMMYFUNCTION("""COMPUTED_VALUE"""),"1 USD = 84.7176 PKR")</f>
        <v>1 USD = 84.7176 PKR</v>
      </c>
      <c r="H4724" s="9" t="str">
        <f ca="1">IFERROR(__xludf.DUMMYFUNCTION("""COMPUTED_VALUE"""),"USD PKR rate for 09/02/2011")</f>
        <v>USD PKR rate for 09/02/2011</v>
      </c>
      <c r="I4724" s="9"/>
    </row>
    <row r="4725" spans="1:9" ht="14.25" customHeight="1" x14ac:dyDescent="0.3">
      <c r="A4725" s="10">
        <v>44442</v>
      </c>
      <c r="B4725" s="7">
        <v>167.22069999999999</v>
      </c>
      <c r="C4725" s="8">
        <f t="shared" si="37"/>
        <v>183.82508138928659</v>
      </c>
      <c r="D4725" s="9">
        <f t="shared" si="36"/>
        <v>74.671651712623927</v>
      </c>
      <c r="E4725" s="9"/>
      <c r="F4725" s="9">
        <f ca="1">IFERROR(__xludf.DUMMYFUNCTION("""COMPUTED_VALUE"""),40582)</f>
        <v>40582</v>
      </c>
      <c r="G4725" s="9" t="str">
        <f ca="1">IFERROR(__xludf.DUMMYFUNCTION("""COMPUTED_VALUE"""),"1 USD = 85.3437 PKR")</f>
        <v>1 USD = 85.3437 PKR</v>
      </c>
      <c r="H4725" s="9" t="str">
        <f ca="1">IFERROR(__xludf.DUMMYFUNCTION("""COMPUTED_VALUE"""),"USD PKR rate for 08/02/2011")</f>
        <v>USD PKR rate for 08/02/2011</v>
      </c>
      <c r="I4725" s="9"/>
    </row>
    <row r="4726" spans="1:9" ht="14.25" customHeight="1" x14ac:dyDescent="0.3">
      <c r="A4726" s="10">
        <v>44443</v>
      </c>
      <c r="B4726" s="7">
        <v>167.21549999999999</v>
      </c>
      <c r="C4726" s="8">
        <f t="shared" si="37"/>
        <v>183.8579584625115</v>
      </c>
      <c r="D4726" s="9">
        <f t="shared" si="36"/>
        <v>74.674389545421192</v>
      </c>
      <c r="E4726" s="9"/>
      <c r="F4726" s="9">
        <f ca="1">IFERROR(__xludf.DUMMYFUNCTION("""COMPUTED_VALUE"""),40581)</f>
        <v>40581</v>
      </c>
      <c r="G4726" s="9" t="str">
        <f ca="1">IFERROR(__xludf.DUMMYFUNCTION("""COMPUTED_VALUE"""),"1 USD = 85.5438 PKR")</f>
        <v>1 USD = 85.5438 PKR</v>
      </c>
      <c r="H4726" s="9" t="str">
        <f ca="1">IFERROR(__xludf.DUMMYFUNCTION("""COMPUTED_VALUE"""),"USD PKR rate for 07/02/2011")</f>
        <v>USD PKR rate for 07/02/2011</v>
      </c>
      <c r="I4726" s="9"/>
    </row>
    <row r="4727" spans="1:9" ht="14.25" customHeight="1" x14ac:dyDescent="0.3">
      <c r="A4727" s="10">
        <v>44444</v>
      </c>
      <c r="B4727" s="7">
        <v>167.2362</v>
      </c>
      <c r="C4727" s="8">
        <f t="shared" si="37"/>
        <v>183.89084141579332</v>
      </c>
      <c r="D4727" s="9">
        <f t="shared" si="36"/>
        <v>74.677127378218458</v>
      </c>
      <c r="E4727" s="9"/>
      <c r="F4727" s="9">
        <f ca="1">IFERROR(__xludf.DUMMYFUNCTION("""COMPUTED_VALUE"""),40580)</f>
        <v>40580</v>
      </c>
      <c r="G4727" s="9" t="str">
        <f ca="1">IFERROR(__xludf.DUMMYFUNCTION("""COMPUTED_VALUE"""),"1 USD = 85.66 PKR")</f>
        <v>1 USD = 85.66 PKR</v>
      </c>
      <c r="H4727" s="9" t="str">
        <f ca="1">IFERROR(__xludf.DUMMYFUNCTION("""COMPUTED_VALUE"""),"USD PKR rate for 06/02/2011")</f>
        <v>USD PKR rate for 06/02/2011</v>
      </c>
      <c r="I4727" s="9"/>
    </row>
    <row r="4728" spans="1:9" ht="14.25" customHeight="1" x14ac:dyDescent="0.3">
      <c r="A4728" s="10">
        <v>44445</v>
      </c>
      <c r="B4728" s="7">
        <v>167.089</v>
      </c>
      <c r="C4728" s="8">
        <f t="shared" si="37"/>
        <v>183.92373025018372</v>
      </c>
      <c r="D4728" s="9">
        <f t="shared" si="36"/>
        <v>74.679865211015724</v>
      </c>
      <c r="E4728" s="9"/>
      <c r="F4728" s="9">
        <f ca="1">IFERROR(__xludf.DUMMYFUNCTION("""COMPUTED_VALUE"""),40579)</f>
        <v>40579</v>
      </c>
      <c r="G4728" s="9" t="str">
        <f ca="1">IFERROR(__xludf.DUMMYFUNCTION("""COMPUTED_VALUE"""),"1 USD = 85.5962 PKR")</f>
        <v>1 USD = 85.5962 PKR</v>
      </c>
      <c r="H4728" s="9" t="str">
        <f ca="1">IFERROR(__xludf.DUMMYFUNCTION("""COMPUTED_VALUE"""),"USD PKR rate for 05/02/2011")</f>
        <v>USD PKR rate for 05/02/2011</v>
      </c>
      <c r="I4728" s="9"/>
    </row>
    <row r="4729" spans="1:9" ht="14.25" customHeight="1" x14ac:dyDescent="0.3">
      <c r="A4729" s="10">
        <v>44446</v>
      </c>
      <c r="B4729" s="7">
        <v>167.9777</v>
      </c>
      <c r="C4729" s="8">
        <f t="shared" si="37"/>
        <v>183.95662496673458</v>
      </c>
      <c r="D4729" s="9">
        <f t="shared" si="36"/>
        <v>74.682603043812989</v>
      </c>
      <c r="E4729" s="9"/>
      <c r="F4729" s="9">
        <f ca="1">IFERROR(__xludf.DUMMYFUNCTION("""COMPUTED_VALUE"""),40578)</f>
        <v>40578</v>
      </c>
      <c r="G4729" s="9" t="str">
        <f ca="1">IFERROR(__xludf.DUMMYFUNCTION("""COMPUTED_VALUE"""),"1 USD = 85.6322 PKR")</f>
        <v>1 USD = 85.6322 PKR</v>
      </c>
      <c r="H4729" s="9" t="str">
        <f ca="1">IFERROR(__xludf.DUMMYFUNCTION("""COMPUTED_VALUE"""),"USD PKR rate for 04/02/2011")</f>
        <v>USD PKR rate for 04/02/2011</v>
      </c>
      <c r="I4729" s="9"/>
    </row>
    <row r="4730" spans="1:9" ht="14.25" customHeight="1" x14ac:dyDescent="0.3">
      <c r="A4730" s="10">
        <v>44447</v>
      </c>
      <c r="B4730" s="7">
        <v>167.75890000000001</v>
      </c>
      <c r="C4730" s="8">
        <f t="shared" si="37"/>
        <v>183.98952556649766</v>
      </c>
      <c r="D4730" s="9">
        <f t="shared" si="36"/>
        <v>74.685340876610255</v>
      </c>
      <c r="E4730" s="9"/>
      <c r="F4730" s="9">
        <f ca="1">IFERROR(__xludf.DUMMYFUNCTION("""COMPUTED_VALUE"""),40577)</f>
        <v>40577</v>
      </c>
      <c r="G4730" s="9" t="str">
        <f ca="1">IFERROR(__xludf.DUMMYFUNCTION("""COMPUTED_VALUE"""),"1 USD = 85.3444 PKR")</f>
        <v>1 USD = 85.3444 PKR</v>
      </c>
      <c r="H4730" s="9" t="str">
        <f ca="1">IFERROR(__xludf.DUMMYFUNCTION("""COMPUTED_VALUE"""),"USD PKR rate for 03/02/2011")</f>
        <v>USD PKR rate for 03/02/2011</v>
      </c>
      <c r="I4730" s="9"/>
    </row>
    <row r="4731" spans="1:9" ht="14.25" customHeight="1" x14ac:dyDescent="0.3">
      <c r="A4731" s="10">
        <v>44448</v>
      </c>
      <c r="B4731" s="7">
        <v>168.04050000000001</v>
      </c>
      <c r="C4731" s="8">
        <f t="shared" si="37"/>
        <v>184.02243205052557</v>
      </c>
      <c r="D4731" s="9">
        <f t="shared" si="36"/>
        <v>74.68807870940752</v>
      </c>
      <c r="E4731" s="9"/>
      <c r="F4731" s="9">
        <f ca="1">IFERROR(__xludf.DUMMYFUNCTION("""COMPUTED_VALUE"""),40576)</f>
        <v>40576</v>
      </c>
      <c r="G4731" s="9" t="str">
        <f ca="1">IFERROR(__xludf.DUMMYFUNCTION("""COMPUTED_VALUE"""),"1 USD = 85.1384 PKR")</f>
        <v>1 USD = 85.1384 PKR</v>
      </c>
      <c r="H4731" s="9" t="str">
        <f ca="1">IFERROR(__xludf.DUMMYFUNCTION("""COMPUTED_VALUE"""),"USD PKR rate for 02/02/2011")</f>
        <v>USD PKR rate for 02/02/2011</v>
      </c>
      <c r="I4731" s="9"/>
    </row>
    <row r="4732" spans="1:9" ht="14.25" customHeight="1" x14ac:dyDescent="0.3">
      <c r="A4732" s="10">
        <v>44449</v>
      </c>
      <c r="B4732" s="7">
        <v>168.18940000000001</v>
      </c>
      <c r="C4732" s="8">
        <f t="shared" si="37"/>
        <v>184.05534441987049</v>
      </c>
      <c r="D4732" s="9">
        <f t="shared" si="36"/>
        <v>74.690816542204786</v>
      </c>
      <c r="E4732" s="9"/>
      <c r="F4732" s="9">
        <f ca="1">IFERROR(__xludf.DUMMYFUNCTION("""COMPUTED_VALUE"""),40575)</f>
        <v>40575</v>
      </c>
      <c r="G4732" s="9" t="str">
        <f ca="1">IFERROR(__xludf.DUMMYFUNCTION("""COMPUTED_VALUE"""),"1 USD = 86.0965 PKR")</f>
        <v>1 USD = 86.0965 PKR</v>
      </c>
      <c r="H4732" s="9" t="str">
        <f ca="1">IFERROR(__xludf.DUMMYFUNCTION("""COMPUTED_VALUE"""),"USD PKR rate for 01/02/2011")</f>
        <v>USD PKR rate for 01/02/2011</v>
      </c>
      <c r="I4732" s="9"/>
    </row>
    <row r="4733" spans="1:9" ht="14.25" customHeight="1" x14ac:dyDescent="0.3">
      <c r="A4733" s="10">
        <v>44450</v>
      </c>
      <c r="B4733" s="7">
        <v>168.1893</v>
      </c>
      <c r="C4733" s="8">
        <f t="shared" si="37"/>
        <v>184.08826267558507</v>
      </c>
      <c r="D4733" s="9">
        <f t="shared" si="36"/>
        <v>74.693554375002051</v>
      </c>
      <c r="E4733" s="9"/>
      <c r="F4733" s="9">
        <f ca="1">IFERROR(__xludf.DUMMYFUNCTION("""COMPUTED_VALUE"""),40574)</f>
        <v>40574</v>
      </c>
      <c r="G4733" s="9" t="str">
        <f ca="1">IFERROR(__xludf.DUMMYFUNCTION("""COMPUTED_VALUE"""),"1 USD = 85.8364 PKR")</f>
        <v>1 USD = 85.8364 PKR</v>
      </c>
      <c r="H4733" s="9" t="str">
        <f ca="1">IFERROR(__xludf.DUMMYFUNCTION("""COMPUTED_VALUE"""),"USD PKR rate for 31/01/2011")</f>
        <v>USD PKR rate for 31/01/2011</v>
      </c>
      <c r="I4733" s="9"/>
    </row>
    <row r="4734" spans="1:9" ht="14.25" customHeight="1" x14ac:dyDescent="0.3">
      <c r="A4734" s="10">
        <v>44451</v>
      </c>
      <c r="B4734" s="7">
        <v>168.19749999999999</v>
      </c>
      <c r="C4734" s="8">
        <f t="shared" si="37"/>
        <v>184.12118681872204</v>
      </c>
      <c r="D4734" s="9">
        <f t="shared" si="36"/>
        <v>74.696292207799317</v>
      </c>
      <c r="E4734" s="9"/>
      <c r="F4734" s="9">
        <f ca="1">IFERROR(__xludf.DUMMYFUNCTION("""COMPUTED_VALUE"""),40573)</f>
        <v>40573</v>
      </c>
      <c r="G4734" s="9" t="str">
        <f ca="1">IFERROR(__xludf.DUMMYFUNCTION("""COMPUTED_VALUE"""),"1 USD = 85.6553 PKR")</f>
        <v>1 USD = 85.6553 PKR</v>
      </c>
      <c r="H4734" s="9" t="str">
        <f ca="1">IFERROR(__xludf.DUMMYFUNCTION("""COMPUTED_VALUE"""),"USD PKR rate for 30/01/2011")</f>
        <v>USD PKR rate for 30/01/2011</v>
      </c>
      <c r="I4734" s="9"/>
    </row>
    <row r="4735" spans="1:9" ht="14.25" customHeight="1" x14ac:dyDescent="0.3">
      <c r="A4735" s="10">
        <v>44452</v>
      </c>
      <c r="B4735" s="7">
        <v>168.23830000000001</v>
      </c>
      <c r="C4735" s="8">
        <f t="shared" si="37"/>
        <v>184.15411685033439</v>
      </c>
      <c r="D4735" s="9">
        <f t="shared" si="36"/>
        <v>74.699030040596583</v>
      </c>
      <c r="E4735" s="9"/>
      <c r="F4735" s="9">
        <f ca="1">IFERROR(__xludf.DUMMYFUNCTION("""COMPUTED_VALUE"""),40572)</f>
        <v>40572</v>
      </c>
      <c r="G4735" s="9" t="str">
        <f ca="1">IFERROR(__xludf.DUMMYFUNCTION("""COMPUTED_VALUE"""),"1 USD = 85.4555 PKR")</f>
        <v>1 USD = 85.4555 PKR</v>
      </c>
      <c r="H4735" s="9" t="str">
        <f ca="1">IFERROR(__xludf.DUMMYFUNCTION("""COMPUTED_VALUE"""),"USD PKR rate for 29/01/2011")</f>
        <v>USD PKR rate for 29/01/2011</v>
      </c>
      <c r="I4735" s="9"/>
    </row>
    <row r="4736" spans="1:9" ht="14.25" customHeight="1" x14ac:dyDescent="0.3">
      <c r="A4736" s="10">
        <v>44453</v>
      </c>
      <c r="B4736" s="7">
        <v>168.42920000000001</v>
      </c>
      <c r="C4736" s="8">
        <f t="shared" si="37"/>
        <v>184.18705277147529</v>
      </c>
      <c r="D4736" s="9">
        <f t="shared" si="36"/>
        <v>74.701767873393848</v>
      </c>
      <c r="E4736" s="9"/>
      <c r="F4736" s="9">
        <f ca="1">IFERROR(__xludf.DUMMYFUNCTION("""COMPUTED_VALUE"""),40571)</f>
        <v>40571</v>
      </c>
      <c r="G4736" s="9" t="str">
        <f ca="1">IFERROR(__xludf.DUMMYFUNCTION("""COMPUTED_VALUE"""),"1 USD = 85.4116 PKR")</f>
        <v>1 USD = 85.4116 PKR</v>
      </c>
      <c r="H4736" s="9" t="str">
        <f ca="1">IFERROR(__xludf.DUMMYFUNCTION("""COMPUTED_VALUE"""),"USD PKR rate for 28/01/2011")</f>
        <v>USD PKR rate for 28/01/2011</v>
      </c>
      <c r="I4736" s="9"/>
    </row>
    <row r="4737" spans="1:9" ht="14.25" customHeight="1" x14ac:dyDescent="0.3">
      <c r="A4737" s="10">
        <v>44454</v>
      </c>
      <c r="B4737" s="7">
        <v>169.5848</v>
      </c>
      <c r="C4737" s="8">
        <f t="shared" si="37"/>
        <v>184.21999458319803</v>
      </c>
      <c r="D4737" s="9">
        <f t="shared" si="36"/>
        <v>74.704505706191114</v>
      </c>
      <c r="E4737" s="9"/>
      <c r="F4737" s="9">
        <f ca="1">IFERROR(__xludf.DUMMYFUNCTION("""COMPUTED_VALUE"""),40570)</f>
        <v>40570</v>
      </c>
      <c r="G4737" s="9" t="str">
        <f ca="1">IFERROR(__xludf.DUMMYFUNCTION("""COMPUTED_VALUE"""),"1 USD = 85.718 PKR")</f>
        <v>1 USD = 85.718 PKR</v>
      </c>
      <c r="H4737" s="9" t="str">
        <f ca="1">IFERROR(__xludf.DUMMYFUNCTION("""COMPUTED_VALUE"""),"USD PKR rate for 27/01/2011")</f>
        <v>USD PKR rate for 27/01/2011</v>
      </c>
      <c r="I4737" s="9"/>
    </row>
    <row r="4738" spans="1:9" ht="14.25" customHeight="1" x14ac:dyDescent="0.3">
      <c r="A4738" s="10">
        <v>44455</v>
      </c>
      <c r="B4738" s="7">
        <v>168.21019999999999</v>
      </c>
      <c r="C4738" s="8">
        <f t="shared" si="37"/>
        <v>184.25294228655619</v>
      </c>
      <c r="D4738" s="9">
        <f t="shared" si="36"/>
        <v>74.707243538988379</v>
      </c>
      <c r="E4738" s="9"/>
      <c r="F4738" s="9">
        <f ca="1">IFERROR(__xludf.DUMMYFUNCTION("""COMPUTED_VALUE"""),40569)</f>
        <v>40569</v>
      </c>
      <c r="G4738" s="9" t="str">
        <f ca="1">IFERROR(__xludf.DUMMYFUNCTION("""COMPUTED_VALUE"""),"1 USD = 85.7871 PKR")</f>
        <v>1 USD = 85.7871 PKR</v>
      </c>
      <c r="H4738" s="9" t="str">
        <f ca="1">IFERROR(__xludf.DUMMYFUNCTION("""COMPUTED_VALUE"""),"USD PKR rate for 26/01/2011")</f>
        <v>USD PKR rate for 26/01/2011</v>
      </c>
      <c r="I4738" s="9"/>
    </row>
    <row r="4739" spans="1:9" ht="14.25" customHeight="1" x14ac:dyDescent="0.3">
      <c r="A4739" s="10">
        <v>44456</v>
      </c>
      <c r="B4739" s="7">
        <v>168.10980000000001</v>
      </c>
      <c r="C4739" s="8">
        <f t="shared" si="37"/>
        <v>184.28589588260331</v>
      </c>
      <c r="D4739" s="9">
        <f t="shared" si="36"/>
        <v>74.709981371785645</v>
      </c>
      <c r="E4739" s="9"/>
      <c r="F4739" s="9">
        <f ca="1">IFERROR(__xludf.DUMMYFUNCTION("""COMPUTED_VALUE"""),40568)</f>
        <v>40568</v>
      </c>
      <c r="G4739" s="9" t="str">
        <f ca="1">IFERROR(__xludf.DUMMYFUNCTION("""COMPUTED_VALUE"""),"1 USD = 86.0058 PKR")</f>
        <v>1 USD = 86.0058 PKR</v>
      </c>
      <c r="H4739" s="9" t="str">
        <f ca="1">IFERROR(__xludf.DUMMYFUNCTION("""COMPUTED_VALUE"""),"USD PKR rate for 25/01/2011")</f>
        <v>USD PKR rate for 25/01/2011</v>
      </c>
      <c r="I4739" s="9"/>
    </row>
    <row r="4740" spans="1:9" ht="14.25" customHeight="1" x14ac:dyDescent="0.3">
      <c r="A4740" s="10">
        <v>44457</v>
      </c>
      <c r="B4740" s="7">
        <v>168.10599999999999</v>
      </c>
      <c r="C4740" s="8">
        <f t="shared" si="37"/>
        <v>184.31885537239359</v>
      </c>
      <c r="D4740" s="9">
        <f t="shared" si="36"/>
        <v>74.71271920458291</v>
      </c>
      <c r="E4740" s="9"/>
      <c r="F4740" s="9">
        <f ca="1">IFERROR(__xludf.DUMMYFUNCTION("""COMPUTED_VALUE"""),40567)</f>
        <v>40567</v>
      </c>
      <c r="G4740" s="9" t="str">
        <f ca="1">IFERROR(__xludf.DUMMYFUNCTION("""COMPUTED_VALUE"""),"1 USD = 86.2421 PKR")</f>
        <v>1 USD = 86.2421 PKR</v>
      </c>
      <c r="H4740" s="9" t="str">
        <f ca="1">IFERROR(__xludf.DUMMYFUNCTION("""COMPUTED_VALUE"""),"USD PKR rate for 24/01/2011")</f>
        <v>USD PKR rate for 24/01/2011</v>
      </c>
      <c r="I4740" s="9"/>
    </row>
    <row r="4741" spans="1:9" ht="14.25" customHeight="1" x14ac:dyDescent="0.3">
      <c r="A4741" s="10">
        <v>44458</v>
      </c>
      <c r="B4741" s="7">
        <v>167.9169</v>
      </c>
      <c r="C4741" s="8">
        <f t="shared" si="37"/>
        <v>184.351820756981</v>
      </c>
      <c r="D4741" s="9">
        <f t="shared" si="36"/>
        <v>74.715457037380176</v>
      </c>
      <c r="E4741" s="9"/>
      <c r="F4741" s="9">
        <f ca="1">IFERROR(__xludf.DUMMYFUNCTION("""COMPUTED_VALUE"""),40566)</f>
        <v>40566</v>
      </c>
      <c r="G4741" s="9" t="str">
        <f ca="1">IFERROR(__xludf.DUMMYFUNCTION("""COMPUTED_VALUE"""),"1 USD = 86.376 PKR")</f>
        <v>1 USD = 86.376 PKR</v>
      </c>
      <c r="H4741" s="9" t="str">
        <f ca="1">IFERROR(__xludf.DUMMYFUNCTION("""COMPUTED_VALUE"""),"USD PKR rate for 23/01/2011")</f>
        <v>USD PKR rate for 23/01/2011</v>
      </c>
      <c r="I4741" s="9"/>
    </row>
    <row r="4742" spans="1:9" ht="14.25" customHeight="1" x14ac:dyDescent="0.3">
      <c r="A4742" s="10">
        <v>44459</v>
      </c>
      <c r="B4742" s="7">
        <v>168.67619999999999</v>
      </c>
      <c r="C4742" s="8">
        <f t="shared" si="37"/>
        <v>184.38479203741977</v>
      </c>
      <c r="D4742" s="9">
        <f t="shared" si="36"/>
        <v>74.718194870177442</v>
      </c>
      <c r="E4742" s="9"/>
      <c r="F4742" s="9">
        <f ca="1">IFERROR(__xludf.DUMMYFUNCTION("""COMPUTED_VALUE"""),40565)</f>
        <v>40565</v>
      </c>
      <c r="G4742" s="9" t="str">
        <f ca="1">IFERROR(__xludf.DUMMYFUNCTION("""COMPUTED_VALUE"""),"1 USD = 86.3162 PKR")</f>
        <v>1 USD = 86.3162 PKR</v>
      </c>
      <c r="H4742" s="9" t="str">
        <f ca="1">IFERROR(__xludf.DUMMYFUNCTION("""COMPUTED_VALUE"""),"USD PKR rate for 22/01/2011")</f>
        <v>USD PKR rate for 22/01/2011</v>
      </c>
      <c r="I4742" s="9"/>
    </row>
    <row r="4743" spans="1:9" ht="14.25" customHeight="1" x14ac:dyDescent="0.3">
      <c r="A4743" s="10">
        <v>44460</v>
      </c>
      <c r="B4743" s="7">
        <v>168.9545</v>
      </c>
      <c r="C4743" s="8">
        <f t="shared" si="37"/>
        <v>184.41776921476446</v>
      </c>
      <c r="D4743" s="9">
        <f t="shared" si="36"/>
        <v>74.720932702974707</v>
      </c>
      <c r="E4743" s="9"/>
      <c r="F4743" s="9">
        <f ca="1">IFERROR(__xludf.DUMMYFUNCTION("""COMPUTED_VALUE"""),40564)</f>
        <v>40564</v>
      </c>
      <c r="G4743" s="9" t="str">
        <f ca="1">IFERROR(__xludf.DUMMYFUNCTION("""COMPUTED_VALUE"""),"1 USD = 86.3676 PKR")</f>
        <v>1 USD = 86.3676 PKR</v>
      </c>
      <c r="H4743" s="9" t="str">
        <f ca="1">IFERROR(__xludf.DUMMYFUNCTION("""COMPUTED_VALUE"""),"USD PKR rate for 21/01/2011")</f>
        <v>USD PKR rate for 21/01/2011</v>
      </c>
      <c r="I4743" s="9"/>
    </row>
    <row r="4744" spans="1:9" ht="14.25" customHeight="1" x14ac:dyDescent="0.3">
      <c r="A4744" s="10">
        <v>44461</v>
      </c>
      <c r="B4744" s="7">
        <v>168.48759999999999</v>
      </c>
      <c r="C4744" s="8">
        <f t="shared" si="37"/>
        <v>184.45075229006963</v>
      </c>
      <c r="D4744" s="9">
        <f t="shared" si="36"/>
        <v>74.723670535771973</v>
      </c>
      <c r="E4744" s="9"/>
      <c r="F4744" s="9">
        <f ca="1">IFERROR(__xludf.DUMMYFUNCTION("""COMPUTED_VALUE"""),40563)</f>
        <v>40563</v>
      </c>
      <c r="G4744" s="9" t="str">
        <f ca="1">IFERROR(__xludf.DUMMYFUNCTION("""COMPUTED_VALUE"""),"1 USD = 85.3272 PKR")</f>
        <v>1 USD = 85.3272 PKR</v>
      </c>
      <c r="H4744" s="9" t="str">
        <f ca="1">IFERROR(__xludf.DUMMYFUNCTION("""COMPUTED_VALUE"""),"USD PKR rate for 20/01/2011")</f>
        <v>USD PKR rate for 20/01/2011</v>
      </c>
      <c r="I4744" s="9"/>
    </row>
    <row r="4745" spans="1:9" ht="14.25" customHeight="1" x14ac:dyDescent="0.3">
      <c r="A4745" s="10">
        <v>44462</v>
      </c>
      <c r="B4745" s="7">
        <v>168.94829999999999</v>
      </c>
      <c r="C4745" s="8">
        <f t="shared" si="37"/>
        <v>184.4837412643902</v>
      </c>
      <c r="D4745" s="9">
        <f t="shared" si="36"/>
        <v>74.726408368569238</v>
      </c>
      <c r="E4745" s="9"/>
      <c r="F4745" s="9">
        <f ca="1">IFERROR(__xludf.DUMMYFUNCTION("""COMPUTED_VALUE"""),40562)</f>
        <v>40562</v>
      </c>
      <c r="G4745" s="9" t="str">
        <f ca="1">IFERROR(__xludf.DUMMYFUNCTION("""COMPUTED_VALUE"""),"1 USD = 85.4478 PKR")</f>
        <v>1 USD = 85.4478 PKR</v>
      </c>
      <c r="H4745" s="9" t="str">
        <f ca="1">IFERROR(__xludf.DUMMYFUNCTION("""COMPUTED_VALUE"""),"USD PKR rate for 19/01/2011")</f>
        <v>USD PKR rate for 19/01/2011</v>
      </c>
      <c r="I4745" s="9"/>
    </row>
    <row r="4746" spans="1:9" ht="14.25" customHeight="1" x14ac:dyDescent="0.3">
      <c r="A4746" s="10">
        <v>44463</v>
      </c>
      <c r="B4746" s="7">
        <v>169.10830000000001</v>
      </c>
      <c r="C4746" s="8">
        <f t="shared" si="37"/>
        <v>184.5167361387812</v>
      </c>
      <c r="D4746" s="9">
        <f t="shared" si="36"/>
        <v>74.729146201366504</v>
      </c>
      <c r="E4746" s="9"/>
      <c r="F4746" s="9">
        <f ca="1">IFERROR(__xludf.DUMMYFUNCTION("""COMPUTED_VALUE"""),40561)</f>
        <v>40561</v>
      </c>
      <c r="G4746" s="9" t="str">
        <f ca="1">IFERROR(__xludf.DUMMYFUNCTION("""COMPUTED_VALUE"""),"1 USD = 85.8882 PKR")</f>
        <v>1 USD = 85.8882 PKR</v>
      </c>
      <c r="H4746" s="9" t="str">
        <f ca="1">IFERROR(__xludf.DUMMYFUNCTION("""COMPUTED_VALUE"""),"USD PKR rate for 18/01/2011")</f>
        <v>USD PKR rate for 18/01/2011</v>
      </c>
      <c r="I4746" s="9"/>
    </row>
    <row r="4747" spans="1:9" ht="14.25" customHeight="1" x14ac:dyDescent="0.3">
      <c r="A4747" s="10">
        <v>44464</v>
      </c>
      <c r="B4747" s="7">
        <v>169.1</v>
      </c>
      <c r="C4747" s="8">
        <f t="shared" si="37"/>
        <v>184.54973691429782</v>
      </c>
      <c r="D4747" s="9">
        <f t="shared" si="36"/>
        <v>74.73188403416377</v>
      </c>
      <c r="E4747" s="9"/>
      <c r="F4747" s="9">
        <f ca="1">IFERROR(__xludf.DUMMYFUNCTION("""COMPUTED_VALUE"""),40560)</f>
        <v>40560</v>
      </c>
      <c r="G4747" s="9" t="str">
        <f ca="1">IFERROR(__xludf.DUMMYFUNCTION("""COMPUTED_VALUE"""),"1 USD = 85.5239 PKR")</f>
        <v>1 USD = 85.5239 PKR</v>
      </c>
      <c r="H4747" s="9" t="str">
        <f ca="1">IFERROR(__xludf.DUMMYFUNCTION("""COMPUTED_VALUE"""),"USD PKR rate for 17/01/2011")</f>
        <v>USD PKR rate for 17/01/2011</v>
      </c>
      <c r="I4747" s="9"/>
    </row>
    <row r="4748" spans="1:9" ht="14.25" customHeight="1" x14ac:dyDescent="0.3">
      <c r="A4748" s="10">
        <v>44465</v>
      </c>
      <c r="B4748" s="7">
        <v>169.2621</v>
      </c>
      <c r="C4748" s="8">
        <f t="shared" si="37"/>
        <v>184.58274359199535</v>
      </c>
      <c r="D4748" s="9">
        <f t="shared" si="36"/>
        <v>74.734621866961035</v>
      </c>
      <c r="E4748" s="9"/>
      <c r="F4748" s="9">
        <f ca="1">IFERROR(__xludf.DUMMYFUNCTION("""COMPUTED_VALUE"""),40559)</f>
        <v>40559</v>
      </c>
      <c r="G4748" s="9" t="str">
        <f ca="1">IFERROR(__xludf.DUMMYFUNCTION("""COMPUTED_VALUE"""),"1 USD = 85.7871 PKR")</f>
        <v>1 USD = 85.7871 PKR</v>
      </c>
      <c r="H4748" s="9" t="str">
        <f ca="1">IFERROR(__xludf.DUMMYFUNCTION("""COMPUTED_VALUE"""),"USD PKR rate for 16/01/2011")</f>
        <v>USD PKR rate for 16/01/2011</v>
      </c>
      <c r="I4748" s="9"/>
    </row>
    <row r="4749" spans="1:9" ht="14.25" customHeight="1" x14ac:dyDescent="0.3">
      <c r="A4749" s="10">
        <v>44466</v>
      </c>
      <c r="B4749" s="7">
        <v>169.672</v>
      </c>
      <c r="C4749" s="8">
        <f t="shared" si="37"/>
        <v>184.61575617292971</v>
      </c>
      <c r="D4749" s="9">
        <f t="shared" si="36"/>
        <v>74.737359699758301</v>
      </c>
      <c r="E4749" s="9"/>
      <c r="F4749" s="9">
        <f ca="1">IFERROR(__xludf.DUMMYFUNCTION("""COMPUTED_VALUE"""),40558)</f>
        <v>40558</v>
      </c>
      <c r="G4749" s="9" t="str">
        <f ca="1">IFERROR(__xludf.DUMMYFUNCTION("""COMPUTED_VALUE"""),"1 USD = 85.852 PKR")</f>
        <v>1 USD = 85.852 PKR</v>
      </c>
      <c r="H4749" s="9" t="str">
        <f ca="1">IFERROR(__xludf.DUMMYFUNCTION("""COMPUTED_VALUE"""),"USD PKR rate for 15/01/2011")</f>
        <v>USD PKR rate for 15/01/2011</v>
      </c>
      <c r="I4749" s="9"/>
    </row>
    <row r="4750" spans="1:9" ht="14.25" customHeight="1" x14ac:dyDescent="0.3">
      <c r="A4750" s="10">
        <v>44467</v>
      </c>
      <c r="B4750" s="7">
        <v>170.19560000000001</v>
      </c>
      <c r="C4750" s="8">
        <f t="shared" si="37"/>
        <v>184.6487746581565</v>
      </c>
      <c r="D4750" s="9">
        <f t="shared" si="36"/>
        <v>74.740097532555566</v>
      </c>
      <c r="E4750" s="9"/>
      <c r="F4750" s="9">
        <f ca="1">IFERROR(__xludf.DUMMYFUNCTION("""COMPUTED_VALUE"""),40557)</f>
        <v>40557</v>
      </c>
      <c r="G4750" s="9" t="str">
        <f ca="1">IFERROR(__xludf.DUMMYFUNCTION("""COMPUTED_VALUE"""),"1 USD = 85.8592 PKR")</f>
        <v>1 USD = 85.8592 PKR</v>
      </c>
      <c r="H4750" s="9" t="str">
        <f ca="1">IFERROR(__xludf.DUMMYFUNCTION("""COMPUTED_VALUE"""),"USD PKR rate for 14/01/2011")</f>
        <v>USD PKR rate for 14/01/2011</v>
      </c>
      <c r="I4750" s="9"/>
    </row>
    <row r="4751" spans="1:9" ht="14.25" customHeight="1" x14ac:dyDescent="0.3">
      <c r="A4751" s="10">
        <v>44468</v>
      </c>
      <c r="B4751" s="7">
        <v>170.46629999999999</v>
      </c>
      <c r="C4751" s="8">
        <f t="shared" si="37"/>
        <v>184.6817990487317</v>
      </c>
      <c r="D4751" s="9">
        <f t="shared" si="36"/>
        <v>74.742835365352832</v>
      </c>
      <c r="E4751" s="9"/>
      <c r="F4751" s="9">
        <f ca="1">IFERROR(__xludf.DUMMYFUNCTION("""COMPUTED_VALUE"""),40556)</f>
        <v>40556</v>
      </c>
      <c r="G4751" s="9" t="str">
        <f ca="1">IFERROR(__xludf.DUMMYFUNCTION("""COMPUTED_VALUE"""),"1 USD = 86.0563 PKR")</f>
        <v>1 USD = 86.0563 PKR</v>
      </c>
      <c r="H4751" s="9" t="str">
        <f ca="1">IFERROR(__xludf.DUMMYFUNCTION("""COMPUTED_VALUE"""),"USD PKR rate for 13/01/2011")</f>
        <v>USD PKR rate for 13/01/2011</v>
      </c>
      <c r="I4751" s="9"/>
    </row>
    <row r="4752" spans="1:9" ht="14.25" customHeight="1" x14ac:dyDescent="0.3">
      <c r="A4752" s="10">
        <v>44469</v>
      </c>
      <c r="B4752" s="7">
        <v>170.67859999999999</v>
      </c>
      <c r="C4752" s="8">
        <f t="shared" si="37"/>
        <v>184.71482934571156</v>
      </c>
      <c r="D4752" s="9">
        <f t="shared" si="36"/>
        <v>74.745573198150097</v>
      </c>
      <c r="E4752" s="9"/>
      <c r="F4752" s="9">
        <f ca="1">IFERROR(__xludf.DUMMYFUNCTION("""COMPUTED_VALUE"""),40555)</f>
        <v>40555</v>
      </c>
      <c r="G4752" s="9" t="str">
        <f ca="1">IFERROR(__xludf.DUMMYFUNCTION("""COMPUTED_VALUE"""),"1 USD = 85.5968 PKR")</f>
        <v>1 USD = 85.5968 PKR</v>
      </c>
      <c r="H4752" s="9" t="str">
        <f ca="1">IFERROR(__xludf.DUMMYFUNCTION("""COMPUTED_VALUE"""),"USD PKR rate for 12/01/2011")</f>
        <v>USD PKR rate for 12/01/2011</v>
      </c>
      <c r="I4752" s="9"/>
    </row>
    <row r="4753" spans="1:9" ht="14.25" customHeight="1" x14ac:dyDescent="0.3">
      <c r="A4753" s="10">
        <v>44470</v>
      </c>
      <c r="B4753" s="7">
        <v>170.75030000000001</v>
      </c>
      <c r="C4753" s="8">
        <f t="shared" si="37"/>
        <v>184.74786555015234</v>
      </c>
      <c r="D4753" s="9">
        <f t="shared" si="36"/>
        <v>74.748311030947363</v>
      </c>
      <c r="E4753" s="9"/>
      <c r="F4753" s="9">
        <f ca="1">IFERROR(__xludf.DUMMYFUNCTION("""COMPUTED_VALUE"""),40554)</f>
        <v>40554</v>
      </c>
      <c r="G4753" s="9" t="str">
        <f ca="1">IFERROR(__xludf.DUMMYFUNCTION("""COMPUTED_VALUE"""),"1 USD = 85.6437 PKR")</f>
        <v>1 USD = 85.6437 PKR</v>
      </c>
      <c r="H4753" s="9" t="str">
        <f ca="1">IFERROR(__xludf.DUMMYFUNCTION("""COMPUTED_VALUE"""),"USD PKR rate for 11/01/2011")</f>
        <v>USD PKR rate for 11/01/2011</v>
      </c>
      <c r="I4753" s="9"/>
    </row>
    <row r="4754" spans="1:9" ht="14.25" customHeight="1" x14ac:dyDescent="0.3">
      <c r="A4754" s="10">
        <v>44471</v>
      </c>
      <c r="B4754" s="7">
        <v>170.7499</v>
      </c>
      <c r="C4754" s="8">
        <f t="shared" si="37"/>
        <v>184.78090766311067</v>
      </c>
      <c r="D4754" s="9">
        <f t="shared" si="36"/>
        <v>74.751048863744629</v>
      </c>
      <c r="E4754" s="9"/>
      <c r="F4754" s="9">
        <f ca="1">IFERROR(__xludf.DUMMYFUNCTION("""COMPUTED_VALUE"""),40553)</f>
        <v>40553</v>
      </c>
      <c r="G4754" s="9" t="str">
        <f ca="1">IFERROR(__xludf.DUMMYFUNCTION("""COMPUTED_VALUE"""),"1 USD = 85.7283 PKR")</f>
        <v>1 USD = 85.7283 PKR</v>
      </c>
      <c r="H4754" s="9" t="str">
        <f ca="1">IFERROR(__xludf.DUMMYFUNCTION("""COMPUTED_VALUE"""),"USD PKR rate for 10/01/2011")</f>
        <v>USD PKR rate for 10/01/2011</v>
      </c>
      <c r="I4754" s="9"/>
    </row>
    <row r="4755" spans="1:9" ht="14.25" customHeight="1" x14ac:dyDescent="0.3">
      <c r="A4755" s="10">
        <v>44472</v>
      </c>
      <c r="B4755" s="7">
        <v>170.6943</v>
      </c>
      <c r="C4755" s="8">
        <f t="shared" si="37"/>
        <v>184.81395568564324</v>
      </c>
      <c r="D4755" s="9">
        <f t="shared" si="36"/>
        <v>74.753786696541894</v>
      </c>
      <c r="E4755" s="9"/>
      <c r="F4755" s="9">
        <f ca="1">IFERROR(__xludf.DUMMYFUNCTION("""COMPUTED_VALUE"""),40552)</f>
        <v>40552</v>
      </c>
      <c r="G4755" s="9" t="str">
        <f ca="1">IFERROR(__xludf.DUMMYFUNCTION("""COMPUTED_VALUE"""),"1 USD = 86.1163 PKR")</f>
        <v>1 USD = 86.1163 PKR</v>
      </c>
      <c r="H4755" s="9" t="str">
        <f ca="1">IFERROR(__xludf.DUMMYFUNCTION("""COMPUTED_VALUE"""),"USD PKR rate for 09/01/2011")</f>
        <v>USD PKR rate for 09/01/2011</v>
      </c>
      <c r="I4755" s="9"/>
    </row>
    <row r="4756" spans="1:9" ht="14.25" customHeight="1" x14ac:dyDescent="0.3">
      <c r="A4756" s="10">
        <v>44473</v>
      </c>
      <c r="B4756" s="7">
        <v>170.8922</v>
      </c>
      <c r="C4756" s="8">
        <f t="shared" si="37"/>
        <v>184.84700961880696</v>
      </c>
      <c r="D4756" s="9">
        <f t="shared" si="36"/>
        <v>74.75652452933916</v>
      </c>
      <c r="E4756" s="9"/>
      <c r="F4756" s="9">
        <f ca="1">IFERROR(__xludf.DUMMYFUNCTION("""COMPUTED_VALUE"""),40551)</f>
        <v>40551</v>
      </c>
      <c r="G4756" s="9" t="str">
        <f ca="1">IFERROR(__xludf.DUMMYFUNCTION("""COMPUTED_VALUE"""),"1 USD = 86.0886 PKR")</f>
        <v>1 USD = 86.0886 PKR</v>
      </c>
      <c r="H4756" s="9" t="str">
        <f ca="1">IFERROR(__xludf.DUMMYFUNCTION("""COMPUTED_VALUE"""),"USD PKR rate for 08/01/2011")</f>
        <v>USD PKR rate for 08/01/2011</v>
      </c>
      <c r="I4756" s="9"/>
    </row>
    <row r="4757" spans="1:9" ht="14.25" customHeight="1" x14ac:dyDescent="0.3">
      <c r="A4757" s="10">
        <v>44474</v>
      </c>
      <c r="B4757" s="7">
        <v>170.9066</v>
      </c>
      <c r="C4757" s="8">
        <f t="shared" si="37"/>
        <v>184.8800694636588</v>
      </c>
      <c r="D4757" s="9">
        <f t="shared" si="36"/>
        <v>74.759262362136425</v>
      </c>
      <c r="E4757" s="9"/>
      <c r="F4757" s="9">
        <f ca="1">IFERROR(__xludf.DUMMYFUNCTION("""COMPUTED_VALUE"""),40550)</f>
        <v>40550</v>
      </c>
      <c r="G4757" s="9" t="str">
        <f ca="1">IFERROR(__xludf.DUMMYFUNCTION("""COMPUTED_VALUE"""),"1 USD = 86.0886 PKR")</f>
        <v>1 USD = 86.0886 PKR</v>
      </c>
      <c r="H4757" s="9" t="str">
        <f ca="1">IFERROR(__xludf.DUMMYFUNCTION("""COMPUTED_VALUE"""),"USD PKR rate for 07/01/2011")</f>
        <v>USD PKR rate for 07/01/2011</v>
      </c>
      <c r="I4757" s="9"/>
    </row>
    <row r="4758" spans="1:9" ht="14.25" customHeight="1" x14ac:dyDescent="0.3">
      <c r="A4758" s="10">
        <v>44475</v>
      </c>
      <c r="B4758" s="7">
        <v>170.85120000000001</v>
      </c>
      <c r="C4758" s="8">
        <f t="shared" si="37"/>
        <v>184.91313522125643</v>
      </c>
      <c r="D4758" s="9">
        <f t="shared" si="36"/>
        <v>74.762000194933691</v>
      </c>
      <c r="E4758" s="9"/>
      <c r="F4758" s="9">
        <f ca="1">IFERROR(__xludf.DUMMYFUNCTION("""COMPUTED_VALUE"""),40549)</f>
        <v>40549</v>
      </c>
      <c r="G4758" s="9" t="str">
        <f ca="1">IFERROR(__xludf.DUMMYFUNCTION("""COMPUTED_VALUE"""),"1 USD = 85.5016 PKR")</f>
        <v>1 USD = 85.5016 PKR</v>
      </c>
      <c r="H4758" s="9" t="str">
        <f ca="1">IFERROR(__xludf.DUMMYFUNCTION("""COMPUTED_VALUE"""),"USD PKR rate for 06/01/2011")</f>
        <v>USD PKR rate for 06/01/2011</v>
      </c>
      <c r="I4758" s="9"/>
    </row>
    <row r="4759" spans="1:9" ht="14.25" customHeight="1" x14ac:dyDescent="0.3">
      <c r="A4759" s="10">
        <v>44476</v>
      </c>
      <c r="B4759" s="7">
        <v>171.0402</v>
      </c>
      <c r="C4759" s="8">
        <f t="shared" si="37"/>
        <v>184.94620689265716</v>
      </c>
      <c r="D4759" s="9">
        <f t="shared" si="36"/>
        <v>74.764738027730957</v>
      </c>
      <c r="E4759" s="9"/>
      <c r="F4759" s="9">
        <f ca="1">IFERROR(__xludf.DUMMYFUNCTION("""COMPUTED_VALUE"""),40548)</f>
        <v>40548</v>
      </c>
      <c r="G4759" s="9" t="str">
        <f ca="1">IFERROR(__xludf.DUMMYFUNCTION("""COMPUTED_VALUE"""),"1 USD = 85.3138 PKR")</f>
        <v>1 USD = 85.3138 PKR</v>
      </c>
      <c r="H4759" s="9" t="str">
        <f ca="1">IFERROR(__xludf.DUMMYFUNCTION("""COMPUTED_VALUE"""),"USD PKR rate for 05/01/2011")</f>
        <v>USD PKR rate for 05/01/2011</v>
      </c>
      <c r="I4759" s="9"/>
    </row>
    <row r="4760" spans="1:9" ht="14.25" customHeight="1" x14ac:dyDescent="0.3">
      <c r="A4760" s="10">
        <v>44477</v>
      </c>
      <c r="B4760" s="7">
        <v>170.51</v>
      </c>
      <c r="C4760" s="8">
        <f t="shared" si="37"/>
        <v>184.97928447891863</v>
      </c>
      <c r="D4760" s="9">
        <f t="shared" si="36"/>
        <v>74.767475860528222</v>
      </c>
      <c r="E4760" s="9"/>
      <c r="F4760" s="9">
        <f ca="1">IFERROR(__xludf.DUMMYFUNCTION("""COMPUTED_VALUE"""),40547)</f>
        <v>40547</v>
      </c>
      <c r="G4760" s="9" t="str">
        <f ca="1">IFERROR(__xludf.DUMMYFUNCTION("""COMPUTED_VALUE"""),"1 USD = 85.3548 PKR")</f>
        <v>1 USD = 85.3548 PKR</v>
      </c>
      <c r="H4760" s="9" t="str">
        <f ca="1">IFERROR(__xludf.DUMMYFUNCTION("""COMPUTED_VALUE"""),"USD PKR rate for 04/01/2011")</f>
        <v>USD PKR rate for 04/01/2011</v>
      </c>
      <c r="I4760" s="9"/>
    </row>
    <row r="4761" spans="1:9" ht="14.25" customHeight="1" x14ac:dyDescent="0.3">
      <c r="A4761" s="10">
        <v>44478</v>
      </c>
      <c r="B4761" s="7">
        <v>170.8133</v>
      </c>
      <c r="C4761" s="8">
        <f t="shared" si="37"/>
        <v>185.01236798109872</v>
      </c>
      <c r="D4761" s="9">
        <f t="shared" si="36"/>
        <v>74.770213693325488</v>
      </c>
      <c r="E4761" s="9"/>
      <c r="F4761" s="9">
        <f ca="1">IFERROR(__xludf.DUMMYFUNCTION("""COMPUTED_VALUE"""),40546)</f>
        <v>40546</v>
      </c>
      <c r="G4761" s="9" t="str">
        <f ca="1">IFERROR(__xludf.DUMMYFUNCTION("""COMPUTED_VALUE"""),"1 USD = 86.0362 PKR")</f>
        <v>1 USD = 86.0362 PKR</v>
      </c>
      <c r="H4761" s="9" t="str">
        <f ca="1">IFERROR(__xludf.DUMMYFUNCTION("""COMPUTED_VALUE"""),"USD PKR rate for 03/01/2011")</f>
        <v>USD PKR rate for 03/01/2011</v>
      </c>
      <c r="I4761" s="9"/>
    </row>
    <row r="4762" spans="1:9" ht="14.25" customHeight="1" x14ac:dyDescent="0.3">
      <c r="A4762" s="10">
        <v>44479</v>
      </c>
      <c r="B4762" s="7">
        <v>170.8098</v>
      </c>
      <c r="C4762" s="8">
        <f t="shared" si="37"/>
        <v>185.04545740025557</v>
      </c>
      <c r="D4762" s="9">
        <f t="shared" si="36"/>
        <v>74.772951526122753</v>
      </c>
      <c r="E4762" s="9"/>
      <c r="F4762" s="9">
        <f ca="1">IFERROR(__xludf.DUMMYFUNCTION("""COMPUTED_VALUE"""),40545)</f>
        <v>40545</v>
      </c>
      <c r="G4762" s="9" t="str">
        <f ca="1">IFERROR(__xludf.DUMMYFUNCTION("""COMPUTED_VALUE"""),"1 USD = 85.8866 PKR")</f>
        <v>1 USD = 85.8866 PKR</v>
      </c>
      <c r="H4762" s="9" t="str">
        <f ca="1">IFERROR(__xludf.DUMMYFUNCTION("""COMPUTED_VALUE"""),"USD PKR rate for 02/01/2011")</f>
        <v>USD PKR rate for 02/01/2011</v>
      </c>
      <c r="I4762" s="9"/>
    </row>
    <row r="4763" spans="1:9" ht="14.25" customHeight="1" x14ac:dyDescent="0.3">
      <c r="A4763" s="10">
        <v>44480</v>
      </c>
      <c r="B4763" s="7">
        <v>171.1301</v>
      </c>
      <c r="C4763" s="8">
        <f t="shared" si="37"/>
        <v>185.07855273744732</v>
      </c>
      <c r="D4763" s="9">
        <f t="shared" si="36"/>
        <v>74.775689358920019</v>
      </c>
      <c r="E4763" s="9"/>
      <c r="F4763" s="9">
        <f ca="1">IFERROR(__xludf.DUMMYFUNCTION("""COMPUTED_VALUE"""),40544)</f>
        <v>40544</v>
      </c>
      <c r="G4763" s="9" t="str">
        <f ca="1">IFERROR(__xludf.DUMMYFUNCTION("""COMPUTED_VALUE"""),"1 USD = 85.8866 PKR")</f>
        <v>1 USD = 85.8866 PKR</v>
      </c>
      <c r="H4763" s="9" t="str">
        <f ca="1">IFERROR(__xludf.DUMMYFUNCTION("""COMPUTED_VALUE"""),"USD PKR rate for 01/01/2011")</f>
        <v>USD PKR rate for 01/01/2011</v>
      </c>
      <c r="I4763" s="9"/>
    </row>
    <row r="4764" spans="1:9" ht="14.25" customHeight="1" x14ac:dyDescent="0.3">
      <c r="A4764" s="10">
        <v>44481</v>
      </c>
      <c r="B4764" s="7">
        <v>171.1986</v>
      </c>
      <c r="C4764" s="8">
        <f t="shared" si="37"/>
        <v>185.11165399373249</v>
      </c>
      <c r="D4764" s="9">
        <f t="shared" si="36"/>
        <v>74.778427191717284</v>
      </c>
      <c r="E4764" s="9"/>
      <c r="F4764" s="9">
        <f ca="1">IFERROR(__xludf.DUMMYFUNCTION("""COMPUTED_VALUE"""),40543)</f>
        <v>40543</v>
      </c>
      <c r="G4764" s="9" t="str">
        <f ca="1">IFERROR(__xludf.DUMMYFUNCTION("""COMPUTED_VALUE"""),"1 USD = 85.8571 PKR")</f>
        <v>1 USD = 85.8571 PKR</v>
      </c>
      <c r="H4764" s="9" t="str">
        <f ca="1">IFERROR(__xludf.DUMMYFUNCTION("""COMPUTED_VALUE"""),"USD PKR rate for 31/12/2010")</f>
        <v>USD PKR rate for 31/12/2010</v>
      </c>
      <c r="I4764" s="9"/>
    </row>
    <row r="4765" spans="1:9" ht="14.25" customHeight="1" x14ac:dyDescent="0.3">
      <c r="A4765" s="10">
        <v>44482</v>
      </c>
      <c r="B4765" s="7">
        <v>170.98320000000001</v>
      </c>
      <c r="C4765" s="8">
        <f t="shared" si="37"/>
        <v>185.14476117016966</v>
      </c>
      <c r="D4765" s="9">
        <f t="shared" si="36"/>
        <v>74.78116502451455</v>
      </c>
      <c r="E4765" s="9"/>
      <c r="F4765" s="9">
        <f ca="1">IFERROR(__xludf.DUMMYFUNCTION("""COMPUTED_VALUE"""),40542)</f>
        <v>40542</v>
      </c>
      <c r="G4765" s="9" t="str">
        <f ca="1">IFERROR(__xludf.DUMMYFUNCTION("""COMPUTED_VALUE"""),"1 USD = 85.4555 PKR")</f>
        <v>1 USD = 85.4555 PKR</v>
      </c>
      <c r="H4765" s="9" t="str">
        <f ca="1">IFERROR(__xludf.DUMMYFUNCTION("""COMPUTED_VALUE"""),"USD PKR rate for 30/12/2010")</f>
        <v>USD PKR rate for 30/12/2010</v>
      </c>
      <c r="I4765" s="9"/>
    </row>
    <row r="4766" spans="1:9" ht="14.25" customHeight="1" x14ac:dyDescent="0.3">
      <c r="A4766" s="10">
        <v>44483</v>
      </c>
      <c r="B4766" s="7">
        <v>170.52600000000001</v>
      </c>
      <c r="C4766" s="8">
        <f t="shared" si="37"/>
        <v>185.17787426781751</v>
      </c>
      <c r="D4766" s="9">
        <f t="shared" si="36"/>
        <v>74.783902857311816</v>
      </c>
      <c r="E4766" s="9"/>
      <c r="F4766" s="9">
        <f ca="1">IFERROR(__xludf.DUMMYFUNCTION("""COMPUTED_VALUE"""),40541)</f>
        <v>40541</v>
      </c>
      <c r="G4766" s="9" t="str">
        <f ca="1">IFERROR(__xludf.DUMMYFUNCTION("""COMPUTED_VALUE"""),"1 USD = 85.9622 PKR")</f>
        <v>1 USD = 85.9622 PKR</v>
      </c>
      <c r="H4766" s="9" t="str">
        <f ca="1">IFERROR(__xludf.DUMMYFUNCTION("""COMPUTED_VALUE"""),"USD PKR rate for 29/12/2010")</f>
        <v>USD PKR rate for 29/12/2010</v>
      </c>
      <c r="I4766" s="9"/>
    </row>
    <row r="4767" spans="1:9" ht="14.25" customHeight="1" x14ac:dyDescent="0.3">
      <c r="A4767" s="10">
        <v>44484</v>
      </c>
      <c r="B4767" s="7">
        <v>171.2038</v>
      </c>
      <c r="C4767" s="8">
        <f t="shared" si="37"/>
        <v>185.21099328773536</v>
      </c>
      <c r="D4767" s="9">
        <f t="shared" si="36"/>
        <v>74.786640690109081</v>
      </c>
      <c r="E4767" s="9"/>
      <c r="F4767" s="9">
        <f ca="1">IFERROR(__xludf.DUMMYFUNCTION("""COMPUTED_VALUE"""),40540)</f>
        <v>40540</v>
      </c>
      <c r="G4767" s="9" t="str">
        <f ca="1">IFERROR(__xludf.DUMMYFUNCTION("""COMPUTED_VALUE"""),"1 USD = 85.7881 PKR")</f>
        <v>1 USD = 85.7881 PKR</v>
      </c>
      <c r="H4767" s="9" t="str">
        <f ca="1">IFERROR(__xludf.DUMMYFUNCTION("""COMPUTED_VALUE"""),"USD PKR rate for 28/12/2010")</f>
        <v>USD PKR rate for 28/12/2010</v>
      </c>
      <c r="I4767" s="9"/>
    </row>
    <row r="4768" spans="1:9" ht="14.25" customHeight="1" x14ac:dyDescent="0.3">
      <c r="A4768" s="10">
        <v>44485</v>
      </c>
      <c r="B4768" s="7">
        <v>171.20009999999999</v>
      </c>
      <c r="C4768" s="8">
        <f t="shared" si="37"/>
        <v>185.24411823098228</v>
      </c>
      <c r="D4768" s="9">
        <f t="shared" si="36"/>
        <v>74.789378522906347</v>
      </c>
      <c r="E4768" s="9"/>
      <c r="F4768" s="9">
        <f ca="1">IFERROR(__xludf.DUMMYFUNCTION("""COMPUTED_VALUE"""),40539)</f>
        <v>40539</v>
      </c>
      <c r="G4768" s="9" t="str">
        <f ca="1">IFERROR(__xludf.DUMMYFUNCTION("""COMPUTED_VALUE"""),"1 USD = 86.1876 PKR")</f>
        <v>1 USD = 86.1876 PKR</v>
      </c>
      <c r="H4768" s="9" t="str">
        <f ca="1">IFERROR(__xludf.DUMMYFUNCTION("""COMPUTED_VALUE"""),"USD PKR rate for 27/12/2010")</f>
        <v>USD PKR rate for 27/12/2010</v>
      </c>
      <c r="I4768" s="9"/>
    </row>
    <row r="4769" spans="1:9" ht="14.25" customHeight="1" x14ac:dyDescent="0.3">
      <c r="A4769" s="10">
        <v>44486</v>
      </c>
      <c r="B4769" s="7">
        <v>171.2808</v>
      </c>
      <c r="C4769" s="8">
        <f t="shared" si="37"/>
        <v>185.2772490986176</v>
      </c>
      <c r="D4769" s="9">
        <f t="shared" si="36"/>
        <v>74.792116355703612</v>
      </c>
      <c r="E4769" s="9"/>
      <c r="F4769" s="9">
        <f ca="1">IFERROR(__xludf.DUMMYFUNCTION("""COMPUTED_VALUE"""),40538)</f>
        <v>40538</v>
      </c>
      <c r="G4769" s="9" t="str">
        <f ca="1">IFERROR(__xludf.DUMMYFUNCTION("""COMPUTED_VALUE"""),"1 USD = 85.8229 PKR")</f>
        <v>1 USD = 85.8229 PKR</v>
      </c>
      <c r="H4769" s="9" t="str">
        <f ca="1">IFERROR(__xludf.DUMMYFUNCTION("""COMPUTED_VALUE"""),"USD PKR rate for 26/12/2010")</f>
        <v>USD PKR rate for 26/12/2010</v>
      </c>
      <c r="I4769" s="9"/>
    </row>
    <row r="4770" spans="1:9" ht="14.25" customHeight="1" x14ac:dyDescent="0.3">
      <c r="A4770" s="10">
        <v>44487</v>
      </c>
      <c r="B4770" s="7">
        <v>171.95240000000001</v>
      </c>
      <c r="C4770" s="8">
        <f t="shared" si="37"/>
        <v>185.31038589170092</v>
      </c>
      <c r="D4770" s="9">
        <f t="shared" si="36"/>
        <v>74.794854188500878</v>
      </c>
      <c r="E4770" s="9"/>
      <c r="F4770" s="9">
        <f ca="1">IFERROR(__xludf.DUMMYFUNCTION("""COMPUTED_VALUE"""),40537)</f>
        <v>40537</v>
      </c>
      <c r="G4770" s="9" t="str">
        <f ca="1">IFERROR(__xludf.DUMMYFUNCTION("""COMPUTED_VALUE"""),"1 USD = 85.6429 PKR")</f>
        <v>1 USD = 85.6429 PKR</v>
      </c>
      <c r="H4770" s="9" t="str">
        <f ca="1">IFERROR(__xludf.DUMMYFUNCTION("""COMPUTED_VALUE"""),"USD PKR rate for 25/12/2010")</f>
        <v>USD PKR rate for 25/12/2010</v>
      </c>
      <c r="I4770" s="9"/>
    </row>
    <row r="4771" spans="1:9" ht="14.25" customHeight="1" x14ac:dyDescent="0.3">
      <c r="A4771" s="10">
        <v>44488</v>
      </c>
      <c r="B4771" s="7">
        <v>172.56819999999999</v>
      </c>
      <c r="C4771" s="8">
        <f t="shared" si="37"/>
        <v>185.34352861129202</v>
      </c>
      <c r="D4771" s="9">
        <f t="shared" si="36"/>
        <v>74.797592021298144</v>
      </c>
      <c r="E4771" s="9"/>
      <c r="F4771" s="9">
        <f ca="1">IFERROR(__xludf.DUMMYFUNCTION("""COMPUTED_VALUE"""),40536)</f>
        <v>40536</v>
      </c>
      <c r="G4771" s="9" t="str">
        <f ca="1">IFERROR(__xludf.DUMMYFUNCTION("""COMPUTED_VALUE"""),"1 USD = 85.6139 PKR")</f>
        <v>1 USD = 85.6139 PKR</v>
      </c>
      <c r="H4771" s="9" t="str">
        <f ca="1">IFERROR(__xludf.DUMMYFUNCTION("""COMPUTED_VALUE"""),"USD PKR rate for 24/12/2010")</f>
        <v>USD PKR rate for 24/12/2010</v>
      </c>
      <c r="I4771" s="9"/>
    </row>
    <row r="4772" spans="1:9" ht="14.25" customHeight="1" x14ac:dyDescent="0.3">
      <c r="A4772" s="10">
        <v>44489</v>
      </c>
      <c r="B4772" s="7">
        <v>173.40940000000001</v>
      </c>
      <c r="C4772" s="8">
        <f t="shared" si="37"/>
        <v>185.37667725845085</v>
      </c>
      <c r="D4772" s="9">
        <f t="shared" si="36"/>
        <v>74.800329854095409</v>
      </c>
      <c r="E4772" s="9"/>
      <c r="F4772" s="9">
        <f ca="1">IFERROR(__xludf.DUMMYFUNCTION("""COMPUTED_VALUE"""),40535)</f>
        <v>40535</v>
      </c>
      <c r="G4772" s="9" t="str">
        <f ca="1">IFERROR(__xludf.DUMMYFUNCTION("""COMPUTED_VALUE"""),"1 USD = 85.6246 PKR")</f>
        <v>1 USD = 85.6246 PKR</v>
      </c>
      <c r="H4772" s="9" t="str">
        <f ca="1">IFERROR(__xludf.DUMMYFUNCTION("""COMPUTED_VALUE"""),"USD PKR rate for 23/12/2010")</f>
        <v>USD PKR rate for 23/12/2010</v>
      </c>
      <c r="I4772" s="9"/>
    </row>
    <row r="4773" spans="1:9" ht="14.25" customHeight="1" x14ac:dyDescent="0.3">
      <c r="A4773" s="10">
        <v>44490</v>
      </c>
      <c r="B4773" s="12">
        <v>173.23740000000001</v>
      </c>
      <c r="C4773" s="8">
        <f t="shared" si="37"/>
        <v>185.40983183423754</v>
      </c>
      <c r="D4773" s="9">
        <f t="shared" si="36"/>
        <v>74.803067686892675</v>
      </c>
      <c r="E4773" s="9"/>
      <c r="F4773" s="9">
        <f ca="1">IFERROR(__xludf.DUMMYFUNCTION("""COMPUTED_VALUE"""),40534)</f>
        <v>40534</v>
      </c>
      <c r="G4773" s="9" t="str">
        <f ca="1">IFERROR(__xludf.DUMMYFUNCTION("""COMPUTED_VALUE"""),"1 USD = 85.683 PKR")</f>
        <v>1 USD = 85.683 PKR</v>
      </c>
      <c r="H4773" s="9" t="str">
        <f ca="1">IFERROR(__xludf.DUMMYFUNCTION("""COMPUTED_VALUE"""),"USD PKR rate for 22/12/2010")</f>
        <v>USD PKR rate for 22/12/2010</v>
      </c>
      <c r="I4773" s="9"/>
    </row>
    <row r="4774" spans="1:9" ht="14.25" customHeight="1" x14ac:dyDescent="0.3">
      <c r="A4774" s="10">
        <v>44491</v>
      </c>
      <c r="B4774" s="12">
        <v>174.4504</v>
      </c>
      <c r="C4774" s="8">
        <f t="shared" si="37"/>
        <v>185.44299233971239</v>
      </c>
      <c r="D4774" s="9">
        <f t="shared" si="36"/>
        <v>74.80580551968994</v>
      </c>
      <c r="E4774" s="9"/>
      <c r="F4774" s="9">
        <f ca="1">IFERROR(__xludf.DUMMYFUNCTION("""COMPUTED_VALUE"""),40533)</f>
        <v>40533</v>
      </c>
      <c r="G4774" s="9" t="str">
        <f ca="1">IFERROR(__xludf.DUMMYFUNCTION("""COMPUTED_VALUE"""),"1 USD = 85.79 PKR")</f>
        <v>1 USD = 85.79 PKR</v>
      </c>
      <c r="H4774" s="9" t="str">
        <f ca="1">IFERROR(__xludf.DUMMYFUNCTION("""COMPUTED_VALUE"""),"USD PKR rate for 21/12/2010")</f>
        <v>USD PKR rate for 21/12/2010</v>
      </c>
      <c r="I4774" s="9"/>
    </row>
    <row r="4775" spans="1:9" ht="14.25" customHeight="1" x14ac:dyDescent="0.3">
      <c r="A4775" s="10">
        <v>44492</v>
      </c>
      <c r="B4775" s="12">
        <v>174.35169999999999</v>
      </c>
      <c r="C4775" s="8">
        <f t="shared" si="37"/>
        <v>185.47615877593586</v>
      </c>
      <c r="D4775" s="9">
        <f t="shared" si="36"/>
        <v>74.808543352487206</v>
      </c>
      <c r="E4775" s="9"/>
      <c r="F4775" s="9">
        <f ca="1">IFERROR(__xludf.DUMMYFUNCTION("""COMPUTED_VALUE"""),40532)</f>
        <v>40532</v>
      </c>
      <c r="G4775" s="9" t="str">
        <f ca="1">IFERROR(__xludf.DUMMYFUNCTION("""COMPUTED_VALUE"""),"1 USD = 85.6411 PKR")</f>
        <v>1 USD = 85.6411 PKR</v>
      </c>
      <c r="H4775" s="9" t="str">
        <f ca="1">IFERROR(__xludf.DUMMYFUNCTION("""COMPUTED_VALUE"""),"USD PKR rate for 20/12/2010")</f>
        <v>USD PKR rate for 20/12/2010</v>
      </c>
      <c r="I4775" s="9"/>
    </row>
    <row r="4776" spans="1:9" ht="14.25" customHeight="1" x14ac:dyDescent="0.3">
      <c r="A4776" s="10">
        <v>44493</v>
      </c>
      <c r="B4776" s="12">
        <v>174.35599999999999</v>
      </c>
      <c r="C4776" s="8">
        <f t="shared" si="37"/>
        <v>185.50933114396886</v>
      </c>
      <c r="D4776" s="9">
        <f t="shared" si="36"/>
        <v>74.811281185284471</v>
      </c>
      <c r="E4776" s="9"/>
      <c r="F4776" s="9">
        <f ca="1">IFERROR(__xludf.DUMMYFUNCTION("""COMPUTED_VALUE"""),40531)</f>
        <v>40531</v>
      </c>
      <c r="G4776" s="9" t="str">
        <f ca="1">IFERROR(__xludf.DUMMYFUNCTION("""COMPUTED_VALUE"""),"1 USD = 86.3555 PKR")</f>
        <v>1 USD = 86.3555 PKR</v>
      </c>
      <c r="H4776" s="9" t="str">
        <f ca="1">IFERROR(__xludf.DUMMYFUNCTION("""COMPUTED_VALUE"""),"USD PKR rate for 19/12/2010")</f>
        <v>USD PKR rate for 19/12/2010</v>
      </c>
      <c r="I4776" s="9"/>
    </row>
    <row r="4777" spans="1:9" ht="14.25" customHeight="1" x14ac:dyDescent="0.3">
      <c r="A4777" s="10">
        <v>44494</v>
      </c>
      <c r="B4777" s="12">
        <v>174.4999</v>
      </c>
      <c r="C4777" s="8">
        <f t="shared" si="37"/>
        <v>185.54250944487228</v>
      </c>
      <c r="D4777" s="9">
        <f t="shared" si="36"/>
        <v>74.814019018081737</v>
      </c>
      <c r="E4777" s="9"/>
      <c r="F4777" s="9">
        <f ca="1">IFERROR(__xludf.DUMMYFUNCTION("""COMPUTED_VALUE"""),40530)</f>
        <v>40530</v>
      </c>
      <c r="G4777" s="9" t="str">
        <f ca="1">IFERROR(__xludf.DUMMYFUNCTION("""COMPUTED_VALUE"""),"1 USD = 86.2387 PKR")</f>
        <v>1 USD = 86.2387 PKR</v>
      </c>
      <c r="H4777" s="9" t="str">
        <f ca="1">IFERROR(__xludf.DUMMYFUNCTION("""COMPUTED_VALUE"""),"USD PKR rate for 18/12/2010")</f>
        <v>USD PKR rate for 18/12/2010</v>
      </c>
      <c r="I4777" s="9"/>
    </row>
    <row r="4778" spans="1:9" ht="14.25" customHeight="1" x14ac:dyDescent="0.3">
      <c r="A4778" s="10">
        <v>44495</v>
      </c>
      <c r="B4778" s="12">
        <v>175.12370000000001</v>
      </c>
      <c r="C4778" s="8">
        <f t="shared" si="37"/>
        <v>185.57569367970706</v>
      </c>
      <c r="D4778" s="9">
        <f t="shared" si="36"/>
        <v>74.816756850879003</v>
      </c>
      <c r="E4778" s="9"/>
      <c r="F4778" s="9">
        <f ca="1">IFERROR(__xludf.DUMMYFUNCTION("""COMPUTED_VALUE"""),40529)</f>
        <v>40529</v>
      </c>
      <c r="G4778" s="9" t="str">
        <f ca="1">IFERROR(__xludf.DUMMYFUNCTION("""COMPUTED_VALUE"""),"1 USD = 85.7325 PKR")</f>
        <v>1 USD = 85.7325 PKR</v>
      </c>
      <c r="H4778" s="9" t="str">
        <f ca="1">IFERROR(__xludf.DUMMYFUNCTION("""COMPUTED_VALUE"""),"USD PKR rate for 17/12/2010")</f>
        <v>USD PKR rate for 17/12/2010</v>
      </c>
      <c r="I4778" s="9"/>
    </row>
    <row r="4779" spans="1:9" ht="14.25" customHeight="1" x14ac:dyDescent="0.3">
      <c r="A4779" s="10">
        <v>44496</v>
      </c>
      <c r="B4779" s="12">
        <v>174.12440000000001</v>
      </c>
      <c r="C4779" s="8">
        <f t="shared" si="37"/>
        <v>185.60888384953458</v>
      </c>
      <c r="D4779" s="9">
        <f t="shared" si="36"/>
        <v>74.819494683676268</v>
      </c>
      <c r="E4779" s="9"/>
      <c r="F4779" s="9">
        <f ca="1">IFERROR(__xludf.DUMMYFUNCTION("""COMPUTED_VALUE"""),40528)</f>
        <v>40528</v>
      </c>
      <c r="G4779" s="9" t="str">
        <f ca="1">IFERROR(__xludf.DUMMYFUNCTION("""COMPUTED_VALUE"""),"1 USD = 85.9105 PKR")</f>
        <v>1 USD = 85.9105 PKR</v>
      </c>
      <c r="H4779" s="9" t="str">
        <f ca="1">IFERROR(__xludf.DUMMYFUNCTION("""COMPUTED_VALUE"""),"USD PKR rate for 16/12/2010")</f>
        <v>USD PKR rate for 16/12/2010</v>
      </c>
      <c r="I4779" s="9"/>
    </row>
    <row r="4780" spans="1:9" ht="14.25" customHeight="1" x14ac:dyDescent="0.3">
      <c r="A4780" s="10">
        <v>44497</v>
      </c>
      <c r="B4780" s="12">
        <v>172.09800000000001</v>
      </c>
      <c r="C4780" s="8">
        <f t="shared" si="37"/>
        <v>185.64207995541631</v>
      </c>
      <c r="D4780" s="9">
        <f t="shared" si="36"/>
        <v>74.822232516473534</v>
      </c>
      <c r="E4780" s="9"/>
      <c r="F4780" s="9">
        <f ca="1">IFERROR(__xludf.DUMMYFUNCTION("""COMPUTED_VALUE"""),40527)</f>
        <v>40527</v>
      </c>
      <c r="G4780" s="9" t="str">
        <f ca="1">IFERROR(__xludf.DUMMYFUNCTION("""COMPUTED_VALUE"""),"1 USD = 85.9289 PKR")</f>
        <v>1 USD = 85.9289 PKR</v>
      </c>
      <c r="H4780" s="9" t="str">
        <f ca="1">IFERROR(__xludf.DUMMYFUNCTION("""COMPUTED_VALUE"""),"USD PKR rate for 15/12/2010")</f>
        <v>USD PKR rate for 15/12/2010</v>
      </c>
      <c r="I4780" s="9"/>
    </row>
    <row r="4781" spans="1:9" ht="14.25" customHeight="1" x14ac:dyDescent="0.3">
      <c r="A4781" s="10">
        <v>44498</v>
      </c>
      <c r="B4781" s="12">
        <v>172.15</v>
      </c>
      <c r="C4781" s="8">
        <f t="shared" si="37"/>
        <v>185.67528199841385</v>
      </c>
      <c r="D4781" s="9">
        <f t="shared" si="36"/>
        <v>74.824970349270799</v>
      </c>
      <c r="E4781" s="9"/>
      <c r="F4781" s="9">
        <f ca="1">IFERROR(__xludf.DUMMYFUNCTION("""COMPUTED_VALUE"""),40526)</f>
        <v>40526</v>
      </c>
      <c r="G4781" s="9" t="str">
        <f ca="1">IFERROR(__xludf.DUMMYFUNCTION("""COMPUTED_VALUE"""),"1 USD = 85.7788 PKR")</f>
        <v>1 USD = 85.7788 PKR</v>
      </c>
      <c r="H4781" s="9" t="str">
        <f ca="1">IFERROR(__xludf.DUMMYFUNCTION("""COMPUTED_VALUE"""),"USD PKR rate for 14/12/2010")</f>
        <v>USD PKR rate for 14/12/2010</v>
      </c>
      <c r="I4781" s="9"/>
    </row>
    <row r="4782" spans="1:9" ht="14.25" customHeight="1" x14ac:dyDescent="0.3">
      <c r="A4782" s="10">
        <v>44499</v>
      </c>
      <c r="B4782" s="12">
        <v>172.15</v>
      </c>
      <c r="C4782" s="8">
        <f t="shared" si="37"/>
        <v>185.70848997958913</v>
      </c>
      <c r="D4782" s="9">
        <f t="shared" si="36"/>
        <v>74.827708182068065</v>
      </c>
      <c r="E4782" s="9"/>
      <c r="F4782" s="9">
        <f ca="1">IFERROR(__xludf.DUMMYFUNCTION("""COMPUTED_VALUE"""),40525)</f>
        <v>40525</v>
      </c>
      <c r="G4782" s="9" t="str">
        <f ca="1">IFERROR(__xludf.DUMMYFUNCTION("""COMPUTED_VALUE"""),"1 USD = 85.9156 PKR")</f>
        <v>1 USD = 85.9156 PKR</v>
      </c>
      <c r="H4782" s="9" t="str">
        <f ca="1">IFERROR(__xludf.DUMMYFUNCTION("""COMPUTED_VALUE"""),"USD PKR rate for 13/12/2010")</f>
        <v>USD PKR rate for 13/12/2010</v>
      </c>
      <c r="I4782" s="9"/>
    </row>
    <row r="4783" spans="1:9" ht="14.25" customHeight="1" x14ac:dyDescent="0.3">
      <c r="A4783" s="10">
        <v>44500</v>
      </c>
      <c r="B4783" s="12">
        <v>171.47450000000001</v>
      </c>
      <c r="C4783" s="8">
        <f t="shared" si="37"/>
        <v>185.74170390000413</v>
      </c>
      <c r="D4783" s="9">
        <f t="shared" si="36"/>
        <v>74.830446014865331</v>
      </c>
      <c r="E4783" s="9"/>
      <c r="F4783" s="9">
        <f ca="1">IFERROR(__xludf.DUMMYFUNCTION("""COMPUTED_VALUE"""),40524)</f>
        <v>40524</v>
      </c>
      <c r="G4783" s="9" t="str">
        <f ca="1">IFERROR(__xludf.DUMMYFUNCTION("""COMPUTED_VALUE"""),"1 USD = 85.9558 PKR")</f>
        <v>1 USD = 85.9558 PKR</v>
      </c>
      <c r="H4783" s="9" t="str">
        <f ca="1">IFERROR(__xludf.DUMMYFUNCTION("""COMPUTED_VALUE"""),"USD PKR rate for 12/12/2010")</f>
        <v>USD PKR rate for 12/12/2010</v>
      </c>
      <c r="I4783" s="9"/>
    </row>
    <row r="4784" spans="1:9" ht="14.25" customHeight="1" x14ac:dyDescent="0.3">
      <c r="A4784" s="10">
        <v>44501</v>
      </c>
      <c r="B4784" s="12">
        <v>171.7518</v>
      </c>
      <c r="C4784" s="8">
        <f t="shared" si="37"/>
        <v>185.77492376072092</v>
      </c>
      <c r="D4784" s="9">
        <f t="shared" si="36"/>
        <v>74.833183847662596</v>
      </c>
      <c r="E4784" s="9"/>
      <c r="F4784" s="9">
        <f ca="1">IFERROR(__xludf.DUMMYFUNCTION("""COMPUTED_VALUE"""),40523)</f>
        <v>40523</v>
      </c>
      <c r="G4784" s="9" t="str">
        <f ca="1">IFERROR(__xludf.DUMMYFUNCTION("""COMPUTED_VALUE"""),"1 USD = 85.9589 PKR")</f>
        <v>1 USD = 85.9589 PKR</v>
      </c>
      <c r="H4784" s="9" t="str">
        <f ca="1">IFERROR(__xludf.DUMMYFUNCTION("""COMPUTED_VALUE"""),"USD PKR rate for 11/12/2010")</f>
        <v>USD PKR rate for 11/12/2010</v>
      </c>
      <c r="I4784" s="9"/>
    </row>
    <row r="4785" spans="1:9" ht="14.25" customHeight="1" x14ac:dyDescent="0.3">
      <c r="A4785" s="10">
        <v>44502</v>
      </c>
      <c r="B4785" s="12">
        <v>170.4675</v>
      </c>
      <c r="C4785" s="8">
        <f t="shared" si="37"/>
        <v>185.80814956280227</v>
      </c>
      <c r="D4785" s="9">
        <f t="shared" si="36"/>
        <v>74.835921680459862</v>
      </c>
      <c r="E4785" s="9"/>
      <c r="F4785" s="9">
        <f ca="1">IFERROR(__xludf.DUMMYFUNCTION("""COMPUTED_VALUE"""),40522)</f>
        <v>40522</v>
      </c>
      <c r="G4785" s="9" t="str">
        <f ca="1">IFERROR(__xludf.DUMMYFUNCTION("""COMPUTED_VALUE"""),"1 USD = 85.8395 PKR")</f>
        <v>1 USD = 85.8395 PKR</v>
      </c>
      <c r="H4785" s="9" t="str">
        <f ca="1">IFERROR(__xludf.DUMMYFUNCTION("""COMPUTED_VALUE"""),"USD PKR rate for 10/12/2010")</f>
        <v>USD PKR rate for 10/12/2010</v>
      </c>
      <c r="I4785" s="9"/>
    </row>
    <row r="4786" spans="1:9" ht="14.25" customHeight="1" x14ac:dyDescent="0.3">
      <c r="A4786" s="10">
        <v>44503</v>
      </c>
      <c r="B4786" s="12">
        <v>169.53370000000001</v>
      </c>
      <c r="C4786" s="8">
        <f t="shared" si="37"/>
        <v>185.84138130731066</v>
      </c>
      <c r="D4786" s="9">
        <f t="shared" si="36"/>
        <v>74.838659513257127</v>
      </c>
      <c r="E4786" s="9"/>
      <c r="F4786" s="9">
        <f ca="1">IFERROR(__xludf.DUMMYFUNCTION("""COMPUTED_VALUE"""),40521)</f>
        <v>40521</v>
      </c>
      <c r="G4786" s="9" t="str">
        <f ca="1">IFERROR(__xludf.DUMMYFUNCTION("""COMPUTED_VALUE"""),"1 USD = 85.7453 PKR")</f>
        <v>1 USD = 85.7453 PKR</v>
      </c>
      <c r="H4786" s="9" t="str">
        <f ca="1">IFERROR(__xludf.DUMMYFUNCTION("""COMPUTED_VALUE"""),"USD PKR rate for 09/12/2010")</f>
        <v>USD PKR rate for 09/12/2010</v>
      </c>
      <c r="I4786" s="9"/>
    </row>
    <row r="4787" spans="1:9" ht="14.25" customHeight="1" x14ac:dyDescent="0.3">
      <c r="A4787" s="10">
        <v>44504</v>
      </c>
      <c r="B4787" s="12">
        <v>170.0352</v>
      </c>
      <c r="C4787" s="8">
        <f t="shared" si="37"/>
        <v>185.87461899530882</v>
      </c>
      <c r="D4787" s="9">
        <f t="shared" si="36"/>
        <v>74.841397346054393</v>
      </c>
      <c r="E4787" s="9"/>
      <c r="F4787" s="9">
        <f ca="1">IFERROR(__xludf.DUMMYFUNCTION("""COMPUTED_VALUE"""),40520)</f>
        <v>40520</v>
      </c>
      <c r="G4787" s="9" t="str">
        <f ca="1">IFERROR(__xludf.DUMMYFUNCTION("""COMPUTED_VALUE"""),"1 USD = 85.8456 PKR")</f>
        <v>1 USD = 85.8456 PKR</v>
      </c>
      <c r="H4787" s="9" t="str">
        <f ca="1">IFERROR(__xludf.DUMMYFUNCTION("""COMPUTED_VALUE"""),"USD PKR rate for 08/12/2010")</f>
        <v>USD PKR rate for 08/12/2010</v>
      </c>
      <c r="I4787" s="9"/>
    </row>
    <row r="4788" spans="1:9" ht="14.25" customHeight="1" x14ac:dyDescent="0.3">
      <c r="A4788" s="10">
        <v>44505</v>
      </c>
      <c r="B4788" s="12">
        <v>170.1499</v>
      </c>
      <c r="C4788" s="8">
        <f t="shared" si="37"/>
        <v>185.9078626278598</v>
      </c>
      <c r="D4788" s="9">
        <f t="shared" si="36"/>
        <v>74.844135178851658</v>
      </c>
      <c r="E4788" s="9"/>
      <c r="F4788" s="9">
        <f ca="1">IFERROR(__xludf.DUMMYFUNCTION("""COMPUTED_VALUE"""),40519)</f>
        <v>40519</v>
      </c>
      <c r="G4788" s="9" t="str">
        <f ca="1">IFERROR(__xludf.DUMMYFUNCTION("""COMPUTED_VALUE"""),"1 USD = 85.8273 PKR")</f>
        <v>1 USD = 85.8273 PKR</v>
      </c>
      <c r="H4788" s="9" t="str">
        <f ca="1">IFERROR(__xludf.DUMMYFUNCTION("""COMPUTED_VALUE"""),"USD PKR rate for 07/12/2010")</f>
        <v>USD PKR rate for 07/12/2010</v>
      </c>
      <c r="I4788" s="9"/>
    </row>
    <row r="4789" spans="1:9" ht="14.25" customHeight="1" x14ac:dyDescent="0.3">
      <c r="A4789" s="10">
        <v>44506</v>
      </c>
      <c r="B4789" s="12">
        <v>170.1499</v>
      </c>
      <c r="C4789" s="8">
        <f t="shared" si="37"/>
        <v>185.94111220602676</v>
      </c>
      <c r="D4789" s="9">
        <f t="shared" si="36"/>
        <v>74.846873011648924</v>
      </c>
      <c r="E4789" s="9"/>
      <c r="F4789" s="9">
        <f ca="1">IFERROR(__xludf.DUMMYFUNCTION("""COMPUTED_VALUE"""),40518)</f>
        <v>40518</v>
      </c>
      <c r="G4789" s="9" t="str">
        <f ca="1">IFERROR(__xludf.DUMMYFUNCTION("""COMPUTED_VALUE"""),"1 USD = 85.8212 PKR")</f>
        <v>1 USD = 85.8212 PKR</v>
      </c>
      <c r="H4789" s="9" t="str">
        <f ca="1">IFERROR(__xludf.DUMMYFUNCTION("""COMPUTED_VALUE"""),"USD PKR rate for 06/12/2010")</f>
        <v>USD PKR rate for 06/12/2010</v>
      </c>
      <c r="I4789" s="9"/>
    </row>
    <row r="4790" spans="1:9" ht="14.25" customHeight="1" x14ac:dyDescent="0.3">
      <c r="A4790" s="10">
        <v>44507</v>
      </c>
      <c r="B4790" s="12">
        <v>170.0514</v>
      </c>
      <c r="C4790" s="8">
        <f t="shared" si="37"/>
        <v>185.9743677308731</v>
      </c>
      <c r="D4790" s="9">
        <f t="shared" si="36"/>
        <v>74.84961084444619</v>
      </c>
      <c r="E4790" s="9"/>
      <c r="F4790" s="9">
        <f ca="1">IFERROR(__xludf.DUMMYFUNCTION("""COMPUTED_VALUE"""),40517)</f>
        <v>40517</v>
      </c>
      <c r="G4790" s="9" t="str">
        <f ca="1">IFERROR(__xludf.DUMMYFUNCTION("""COMPUTED_VALUE"""),"1 USD = 85.7879 PKR")</f>
        <v>1 USD = 85.7879 PKR</v>
      </c>
      <c r="H4790" s="9" t="str">
        <f ca="1">IFERROR(__xludf.DUMMYFUNCTION("""COMPUTED_VALUE"""),"USD PKR rate for 05/12/2010")</f>
        <v>USD PKR rate for 05/12/2010</v>
      </c>
      <c r="I4790" s="9"/>
    </row>
    <row r="4791" spans="1:9" ht="14.25" customHeight="1" x14ac:dyDescent="0.3">
      <c r="A4791" s="10">
        <v>44508</v>
      </c>
      <c r="B4791" s="12">
        <v>170.34800000000001</v>
      </c>
      <c r="C4791" s="8">
        <f t="shared" si="37"/>
        <v>186.0076292034623</v>
      </c>
      <c r="D4791" s="9">
        <f t="shared" si="36"/>
        <v>74.852348677243455</v>
      </c>
      <c r="E4791" s="9"/>
      <c r="F4791" s="9">
        <f ca="1">IFERROR(__xludf.DUMMYFUNCTION("""COMPUTED_VALUE"""),40516)</f>
        <v>40516</v>
      </c>
      <c r="G4791" s="9" t="str">
        <f ca="1">IFERROR(__xludf.DUMMYFUNCTION("""COMPUTED_VALUE"""),"1 USD = 85.7482 PKR")</f>
        <v>1 USD = 85.7482 PKR</v>
      </c>
      <c r="H4791" s="9" t="str">
        <f ca="1">IFERROR(__xludf.DUMMYFUNCTION("""COMPUTED_VALUE"""),"USD PKR rate for 04/12/2010")</f>
        <v>USD PKR rate for 04/12/2010</v>
      </c>
      <c r="I4791" s="9"/>
    </row>
    <row r="4792" spans="1:9" ht="14.25" customHeight="1" x14ac:dyDescent="0.3">
      <c r="A4792" s="10">
        <v>44509</v>
      </c>
      <c r="B4792" s="12">
        <v>171.3279</v>
      </c>
      <c r="C4792" s="8">
        <f t="shared" si="37"/>
        <v>186.04089662485819</v>
      </c>
      <c r="D4792" s="9">
        <f t="shared" si="36"/>
        <v>74.855086510040721</v>
      </c>
      <c r="E4792" s="9"/>
      <c r="F4792" s="9">
        <f ca="1">IFERROR(__xludf.DUMMYFUNCTION("""COMPUTED_VALUE"""),40515)</f>
        <v>40515</v>
      </c>
      <c r="G4792" s="9" t="str">
        <f ca="1">IFERROR(__xludf.DUMMYFUNCTION("""COMPUTED_VALUE"""),"1 USD = 85.888 PKR")</f>
        <v>1 USD = 85.888 PKR</v>
      </c>
      <c r="H4792" s="9" t="str">
        <f ca="1">IFERROR(__xludf.DUMMYFUNCTION("""COMPUTED_VALUE"""),"USD PKR rate for 03/12/2010")</f>
        <v>USD PKR rate for 03/12/2010</v>
      </c>
      <c r="I4792" s="9"/>
    </row>
    <row r="4793" spans="1:9" ht="14.25" customHeight="1" x14ac:dyDescent="0.3">
      <c r="A4793" s="10">
        <v>44510</v>
      </c>
      <c r="B4793" s="12">
        <v>171.35</v>
      </c>
      <c r="C4793" s="8">
        <f t="shared" si="37"/>
        <v>186.07416999612454</v>
      </c>
      <c r="D4793" s="9">
        <f t="shared" si="36"/>
        <v>74.857824342837986</v>
      </c>
      <c r="E4793" s="9"/>
      <c r="F4793" s="9">
        <f ca="1">IFERROR(__xludf.DUMMYFUNCTION("""COMPUTED_VALUE"""),40514)</f>
        <v>40514</v>
      </c>
      <c r="G4793" s="9" t="str">
        <f ca="1">IFERROR(__xludf.DUMMYFUNCTION("""COMPUTED_VALUE"""),"1 USD = 85.6722 PKR")</f>
        <v>1 USD = 85.6722 PKR</v>
      </c>
      <c r="H4793" s="9" t="str">
        <f ca="1">IFERROR(__xludf.DUMMYFUNCTION("""COMPUTED_VALUE"""),"USD PKR rate for 02/12/2010")</f>
        <v>USD PKR rate for 02/12/2010</v>
      </c>
      <c r="I4793" s="9"/>
    </row>
    <row r="4794" spans="1:9" ht="14.25" customHeight="1" x14ac:dyDescent="0.3">
      <c r="A4794" s="10">
        <v>44511</v>
      </c>
      <c r="B4794" s="12">
        <v>171.35249999999999</v>
      </c>
      <c r="C4794" s="8">
        <f t="shared" si="37"/>
        <v>186.10744931832579</v>
      </c>
      <c r="D4794" s="9">
        <f t="shared" si="36"/>
        <v>74.860562175635252</v>
      </c>
      <c r="E4794" s="9"/>
      <c r="F4794" s="9">
        <f ca="1">IFERROR(__xludf.DUMMYFUNCTION("""COMPUTED_VALUE"""),40513)</f>
        <v>40513</v>
      </c>
      <c r="G4794" s="9" t="str">
        <f ca="1">IFERROR(__xludf.DUMMYFUNCTION("""COMPUTED_VALUE"""),"1 USD = 85.6682 PKR")</f>
        <v>1 USD = 85.6682 PKR</v>
      </c>
      <c r="H4794" s="9" t="str">
        <f ca="1">IFERROR(__xludf.DUMMYFUNCTION("""COMPUTED_VALUE"""),"USD PKR rate for 01/12/2010")</f>
        <v>USD PKR rate for 01/12/2010</v>
      </c>
      <c r="I4794" s="9"/>
    </row>
    <row r="4795" spans="1:9" ht="14.25" customHeight="1" x14ac:dyDescent="0.3">
      <c r="A4795" s="10">
        <v>44512</v>
      </c>
      <c r="B4795" s="12">
        <v>172.69640000000001</v>
      </c>
      <c r="C4795" s="8">
        <f t="shared" si="37"/>
        <v>186.14073459252609</v>
      </c>
      <c r="D4795" s="9">
        <f t="shared" si="36"/>
        <v>74.863300008432518</v>
      </c>
      <c r="E4795" s="9"/>
      <c r="F4795" s="9">
        <f ca="1">IFERROR(__xludf.DUMMYFUNCTION("""COMPUTED_VALUE"""),40512)</f>
        <v>40512</v>
      </c>
      <c r="G4795" s="9" t="str">
        <f ca="1">IFERROR(__xludf.DUMMYFUNCTION("""COMPUTED_VALUE"""),"1 USD = 85.674 PKR")</f>
        <v>1 USD = 85.674 PKR</v>
      </c>
      <c r="H4795" s="9" t="str">
        <f ca="1">IFERROR(__xludf.DUMMYFUNCTION("""COMPUTED_VALUE"""),"USD PKR rate for 30/11/2010")</f>
        <v>USD PKR rate for 30/11/2010</v>
      </c>
      <c r="I4795" s="9"/>
    </row>
    <row r="4796" spans="1:9" ht="14.25" customHeight="1" x14ac:dyDescent="0.3">
      <c r="A4796" s="10">
        <v>44513</v>
      </c>
      <c r="B4796" s="12">
        <v>172.7</v>
      </c>
      <c r="C4796" s="8">
        <f t="shared" si="37"/>
        <v>186.17402581978999</v>
      </c>
      <c r="D4796" s="9">
        <f t="shared" si="36"/>
        <v>74.866037841229783</v>
      </c>
      <c r="E4796" s="9"/>
      <c r="F4796" s="9">
        <f ca="1">IFERROR(__xludf.DUMMYFUNCTION("""COMPUTED_VALUE"""),40511)</f>
        <v>40511</v>
      </c>
      <c r="G4796" s="9" t="str">
        <f ca="1">IFERROR(__xludf.DUMMYFUNCTION("""COMPUTED_VALUE"""),"1 USD = 85.8879 PKR")</f>
        <v>1 USD = 85.8879 PKR</v>
      </c>
      <c r="H4796" s="9" t="str">
        <f ca="1">IFERROR(__xludf.DUMMYFUNCTION("""COMPUTED_VALUE"""),"USD PKR rate for 29/11/2010")</f>
        <v>USD PKR rate for 29/11/2010</v>
      </c>
      <c r="I4796" s="9"/>
    </row>
    <row r="4797" spans="1:9" ht="14.25" customHeight="1" x14ac:dyDescent="0.3">
      <c r="A4797" s="10">
        <v>44514</v>
      </c>
      <c r="B4797" s="12">
        <v>175.75120000000001</v>
      </c>
      <c r="C4797" s="8">
        <f t="shared" si="37"/>
        <v>186.20732300118217</v>
      </c>
      <c r="D4797" s="9">
        <f t="shared" si="36"/>
        <v>74.868775674027049</v>
      </c>
      <c r="E4797" s="9"/>
      <c r="F4797" s="9">
        <f ca="1">IFERROR(__xludf.DUMMYFUNCTION("""COMPUTED_VALUE"""),40510)</f>
        <v>40510</v>
      </c>
      <c r="G4797" s="9" t="str">
        <f ca="1">IFERROR(__xludf.DUMMYFUNCTION("""COMPUTED_VALUE"""),"1 USD = 85.8045 PKR")</f>
        <v>1 USD = 85.8045 PKR</v>
      </c>
      <c r="H4797" s="9" t="str">
        <f ca="1">IFERROR(__xludf.DUMMYFUNCTION("""COMPUTED_VALUE"""),"USD PKR rate for 28/11/2010")</f>
        <v>USD PKR rate for 28/11/2010</v>
      </c>
      <c r="I4797" s="9"/>
    </row>
    <row r="4798" spans="1:9" ht="14.25" customHeight="1" x14ac:dyDescent="0.3">
      <c r="A4798" s="10">
        <v>44515</v>
      </c>
      <c r="B4798" s="12">
        <v>174.86429999999999</v>
      </c>
      <c r="C4798" s="8">
        <f t="shared" si="37"/>
        <v>186.24062613776752</v>
      </c>
      <c r="D4798" s="9">
        <f t="shared" si="36"/>
        <v>74.871513506824314</v>
      </c>
      <c r="E4798" s="9"/>
      <c r="F4798" s="9">
        <f ca="1">IFERROR(__xludf.DUMMYFUNCTION("""COMPUTED_VALUE"""),40509)</f>
        <v>40509</v>
      </c>
      <c r="G4798" s="9" t="str">
        <f ca="1">IFERROR(__xludf.DUMMYFUNCTION("""COMPUTED_VALUE"""),"1 USD = 85.8227 PKR")</f>
        <v>1 USD = 85.8227 PKR</v>
      </c>
      <c r="H4798" s="9" t="str">
        <f ca="1">IFERROR(__xludf.DUMMYFUNCTION("""COMPUTED_VALUE"""),"USD PKR rate for 27/11/2010")</f>
        <v>USD PKR rate for 27/11/2010</v>
      </c>
      <c r="I4798" s="9"/>
    </row>
    <row r="4799" spans="1:9" ht="14.25" customHeight="1" x14ac:dyDescent="0.3">
      <c r="A4799" s="10">
        <v>44516</v>
      </c>
      <c r="B4799" s="12">
        <v>174.53970000000001</v>
      </c>
      <c r="C4799" s="8">
        <f t="shared" si="37"/>
        <v>186.27393523061116</v>
      </c>
      <c r="D4799" s="9">
        <f t="shared" si="36"/>
        <v>74.87425133962158</v>
      </c>
      <c r="E4799" s="9"/>
      <c r="F4799" s="9">
        <f ca="1">IFERROR(__xludf.DUMMYFUNCTION("""COMPUTED_VALUE"""),40508)</f>
        <v>40508</v>
      </c>
      <c r="G4799" s="9" t="str">
        <f ca="1">IFERROR(__xludf.DUMMYFUNCTION("""COMPUTED_VALUE"""),"1 USD = 85.6721 PKR")</f>
        <v>1 USD = 85.6721 PKR</v>
      </c>
      <c r="H4799" s="9" t="str">
        <f ca="1">IFERROR(__xludf.DUMMYFUNCTION("""COMPUTED_VALUE"""),"USD PKR rate for 26/11/2010")</f>
        <v>USD PKR rate for 26/11/2010</v>
      </c>
      <c r="I4799" s="9"/>
    </row>
    <row r="4800" spans="1:9" ht="14.25" customHeight="1" x14ac:dyDescent="0.3">
      <c r="A4800" s="10">
        <v>44517</v>
      </c>
      <c r="B4800" s="12">
        <v>175.13050000000001</v>
      </c>
      <c r="C4800" s="8">
        <f t="shared" si="37"/>
        <v>186.30725028077831</v>
      </c>
      <c r="D4800" s="9">
        <f t="shared" si="36"/>
        <v>74.876989172418845</v>
      </c>
      <c r="E4800" s="9"/>
      <c r="F4800" s="9">
        <f ca="1">IFERROR(__xludf.DUMMYFUNCTION("""COMPUTED_VALUE"""),40507)</f>
        <v>40507</v>
      </c>
      <c r="G4800" s="9" t="str">
        <f ca="1">IFERROR(__xludf.DUMMYFUNCTION("""COMPUTED_VALUE"""),"1 USD = 85.5067 PKR")</f>
        <v>1 USD = 85.5067 PKR</v>
      </c>
      <c r="H4800" s="9" t="str">
        <f ca="1">IFERROR(__xludf.DUMMYFUNCTION("""COMPUTED_VALUE"""),"USD PKR rate for 25/11/2010")</f>
        <v>USD PKR rate for 25/11/2010</v>
      </c>
      <c r="I4800" s="9"/>
    </row>
    <row r="4801" spans="1:9" ht="14.25" customHeight="1" x14ac:dyDescent="0.3">
      <c r="A4801" s="10">
        <v>44518</v>
      </c>
      <c r="B4801" s="12">
        <v>174.20330000000001</v>
      </c>
      <c r="C4801" s="8">
        <f t="shared" si="37"/>
        <v>186.34057128933446</v>
      </c>
      <c r="D4801" s="9">
        <f t="shared" si="36"/>
        <v>74.879727005216111</v>
      </c>
      <c r="E4801" s="9"/>
      <c r="F4801" s="9">
        <f ca="1">IFERROR(__xludf.DUMMYFUNCTION("""COMPUTED_VALUE"""),40506)</f>
        <v>40506</v>
      </c>
      <c r="G4801" s="9" t="str">
        <f ca="1">IFERROR(__xludf.DUMMYFUNCTION("""COMPUTED_VALUE"""),"1 USD = 85.544 PKR")</f>
        <v>1 USD = 85.544 PKR</v>
      </c>
      <c r="H4801" s="9" t="str">
        <f ca="1">IFERROR(__xludf.DUMMYFUNCTION("""COMPUTED_VALUE"""),"USD PKR rate for 24/11/2010")</f>
        <v>USD PKR rate for 24/11/2010</v>
      </c>
      <c r="I4801" s="9"/>
    </row>
    <row r="4802" spans="1:9" ht="14.25" customHeight="1" x14ac:dyDescent="0.3">
      <c r="A4802" s="10">
        <v>44519</v>
      </c>
      <c r="B4802" s="12">
        <v>175.0607</v>
      </c>
      <c r="C4802" s="8">
        <f t="shared" si="37"/>
        <v>186.3738982573453</v>
      </c>
      <c r="D4802" s="9">
        <f t="shared" si="36"/>
        <v>74.882464838013377</v>
      </c>
      <c r="E4802" s="9"/>
      <c r="F4802" s="9">
        <f ca="1">IFERROR(__xludf.DUMMYFUNCTION("""COMPUTED_VALUE"""),40505)</f>
        <v>40505</v>
      </c>
      <c r="G4802" s="9" t="str">
        <f ca="1">IFERROR(__xludf.DUMMYFUNCTION("""COMPUTED_VALUE"""),"1 USD = 85.6997 PKR")</f>
        <v>1 USD = 85.6997 PKR</v>
      </c>
      <c r="H4802" s="9" t="str">
        <f ca="1">IFERROR(__xludf.DUMMYFUNCTION("""COMPUTED_VALUE"""),"USD PKR rate for 23/11/2010")</f>
        <v>USD PKR rate for 23/11/2010</v>
      </c>
      <c r="I4802" s="9"/>
    </row>
    <row r="4803" spans="1:9" ht="14.25" customHeight="1" x14ac:dyDescent="0.3">
      <c r="A4803" s="10">
        <v>44520</v>
      </c>
      <c r="B4803" s="12">
        <v>175.06319999999999</v>
      </c>
      <c r="C4803" s="8">
        <f t="shared" si="37"/>
        <v>186.40723118587647</v>
      </c>
      <c r="D4803" s="9">
        <f t="shared" si="36"/>
        <v>74.885202670810642</v>
      </c>
      <c r="E4803" s="9"/>
      <c r="F4803" s="9">
        <f ca="1">IFERROR(__xludf.DUMMYFUNCTION("""COMPUTED_VALUE"""),40504)</f>
        <v>40504</v>
      </c>
      <c r="G4803" s="9" t="str">
        <f ca="1">IFERROR(__xludf.DUMMYFUNCTION("""COMPUTED_VALUE"""),"1 USD = 85.464 PKR")</f>
        <v>1 USD = 85.464 PKR</v>
      </c>
      <c r="H4803" s="9" t="str">
        <f ca="1">IFERROR(__xludf.DUMMYFUNCTION("""COMPUTED_VALUE"""),"USD PKR rate for 22/11/2010")</f>
        <v>USD PKR rate for 22/11/2010</v>
      </c>
      <c r="I4803" s="9"/>
    </row>
    <row r="4804" spans="1:9" ht="14.25" customHeight="1" x14ac:dyDescent="0.3">
      <c r="A4804" s="10">
        <v>44521</v>
      </c>
      <c r="B4804" s="12">
        <v>175.0444</v>
      </c>
      <c r="C4804" s="8">
        <f t="shared" si="37"/>
        <v>186.44057007599434</v>
      </c>
      <c r="D4804" s="9">
        <f t="shared" si="36"/>
        <v>74.887940503607908</v>
      </c>
      <c r="E4804" s="9"/>
      <c r="F4804" s="9">
        <f ca="1">IFERROR(__xludf.DUMMYFUNCTION("""COMPUTED_VALUE"""),40503)</f>
        <v>40503</v>
      </c>
      <c r="G4804" s="9" t="str">
        <f ca="1">IFERROR(__xludf.DUMMYFUNCTION("""COMPUTED_VALUE"""),"1 USD = 85.0375 PKR")</f>
        <v>1 USD = 85.0375 PKR</v>
      </c>
      <c r="H4804" s="9" t="str">
        <f ca="1">IFERROR(__xludf.DUMMYFUNCTION("""COMPUTED_VALUE"""),"USD PKR rate for 21/11/2010")</f>
        <v>USD PKR rate for 21/11/2010</v>
      </c>
      <c r="I4804" s="9"/>
    </row>
    <row r="4805" spans="1:9" ht="14.25" customHeight="1" x14ac:dyDescent="0.3">
      <c r="A4805" s="10">
        <v>44522</v>
      </c>
      <c r="B4805" s="12">
        <v>175.16499999999999</v>
      </c>
      <c r="C4805" s="8">
        <f t="shared" si="37"/>
        <v>186.473914928765</v>
      </c>
      <c r="D4805" s="9">
        <f t="shared" si="36"/>
        <v>74.890678336405173</v>
      </c>
      <c r="E4805" s="9"/>
      <c r="F4805" s="9">
        <f ca="1">IFERROR(__xludf.DUMMYFUNCTION("""COMPUTED_VALUE"""),40502)</f>
        <v>40502</v>
      </c>
      <c r="G4805" s="9" t="str">
        <f ca="1">IFERROR(__xludf.DUMMYFUNCTION("""COMPUTED_VALUE"""),"1 USD = 85.0482 PKR")</f>
        <v>1 USD = 85.0482 PKR</v>
      </c>
      <c r="H4805" s="9" t="str">
        <f ca="1">IFERROR(__xludf.DUMMYFUNCTION("""COMPUTED_VALUE"""),"USD PKR rate for 20/11/2010")</f>
        <v>USD PKR rate for 20/11/2010</v>
      </c>
      <c r="I4805" s="9"/>
    </row>
    <row r="4806" spans="1:9" ht="14.25" customHeight="1" x14ac:dyDescent="0.3">
      <c r="A4806" s="10">
        <v>44523</v>
      </c>
      <c r="B4806" s="12">
        <v>174.8665</v>
      </c>
      <c r="C4806" s="8">
        <f t="shared" si="37"/>
        <v>186.50726574525487</v>
      </c>
      <c r="D4806" s="9">
        <f t="shared" si="36"/>
        <v>74.893416169202439</v>
      </c>
      <c r="E4806" s="9"/>
      <c r="F4806" s="9">
        <f ca="1">IFERROR(__xludf.DUMMYFUNCTION("""COMPUTED_VALUE"""),40501)</f>
        <v>40501</v>
      </c>
      <c r="G4806" s="9" t="str">
        <f ca="1">IFERROR(__xludf.DUMMYFUNCTION("""COMPUTED_VALUE"""),"1 USD = 85.2628 PKR")</f>
        <v>1 USD = 85.2628 PKR</v>
      </c>
      <c r="H4806" s="9" t="str">
        <f ca="1">IFERROR(__xludf.DUMMYFUNCTION("""COMPUTED_VALUE"""),"USD PKR rate for 19/11/2010")</f>
        <v>USD PKR rate for 19/11/2010</v>
      </c>
      <c r="I4806" s="9"/>
    </row>
    <row r="4807" spans="1:9" ht="14.25" customHeight="1" x14ac:dyDescent="0.3">
      <c r="A4807" s="10">
        <v>44524</v>
      </c>
      <c r="B4807" s="12">
        <v>175.14160000000001</v>
      </c>
      <c r="C4807" s="8">
        <f t="shared" si="37"/>
        <v>186.54062252653051</v>
      </c>
      <c r="D4807" s="9">
        <f t="shared" si="36"/>
        <v>74.896154001999705</v>
      </c>
      <c r="E4807" s="9"/>
      <c r="F4807" s="9">
        <f ca="1">IFERROR(__xludf.DUMMYFUNCTION("""COMPUTED_VALUE"""),40500)</f>
        <v>40500</v>
      </c>
      <c r="G4807" s="9" t="str">
        <f ca="1">IFERROR(__xludf.DUMMYFUNCTION("""COMPUTED_VALUE"""),"1 USD = 85.4266 PKR")</f>
        <v>1 USD = 85.4266 PKR</v>
      </c>
      <c r="H4807" s="9" t="str">
        <f ca="1">IFERROR(__xludf.DUMMYFUNCTION("""COMPUTED_VALUE"""),"USD PKR rate for 18/11/2010")</f>
        <v>USD PKR rate for 18/11/2010</v>
      </c>
      <c r="I4807" s="9"/>
    </row>
    <row r="4808" spans="1:9" ht="14.25" customHeight="1" x14ac:dyDescent="0.3">
      <c r="A4808" s="10">
        <v>44525</v>
      </c>
      <c r="B4808" s="12">
        <v>175.3741</v>
      </c>
      <c r="C4808" s="8">
        <f t="shared" si="37"/>
        <v>186.57398527365879</v>
      </c>
      <c r="D4808" s="9">
        <f t="shared" si="36"/>
        <v>74.89889183479697</v>
      </c>
      <c r="E4808" s="9"/>
      <c r="F4808" s="9">
        <f ca="1">IFERROR(__xludf.DUMMYFUNCTION("""COMPUTED_VALUE"""),40499)</f>
        <v>40499</v>
      </c>
      <c r="G4808" s="9" t="str">
        <f ca="1">IFERROR(__xludf.DUMMYFUNCTION("""COMPUTED_VALUE"""),"1 USD = 85.56 PKR")</f>
        <v>1 USD = 85.56 PKR</v>
      </c>
      <c r="H4808" s="9" t="str">
        <f ca="1">IFERROR(__xludf.DUMMYFUNCTION("""COMPUTED_VALUE"""),"USD PKR rate for 17/11/2010")</f>
        <v>USD PKR rate for 17/11/2010</v>
      </c>
      <c r="I4808" s="9"/>
    </row>
    <row r="4809" spans="1:9" ht="14.25" customHeight="1" x14ac:dyDescent="0.3">
      <c r="A4809" s="10">
        <v>44526</v>
      </c>
      <c r="B4809" s="12">
        <v>176.5103</v>
      </c>
      <c r="C4809" s="8">
        <f t="shared" si="37"/>
        <v>186.60735398770663</v>
      </c>
      <c r="D4809" s="9">
        <f t="shared" si="36"/>
        <v>74.901629667594236</v>
      </c>
      <c r="E4809" s="9"/>
      <c r="F4809" s="9">
        <f ca="1">IFERROR(__xludf.DUMMYFUNCTION("""COMPUTED_VALUE"""),40498)</f>
        <v>40498</v>
      </c>
      <c r="G4809" s="9" t="str">
        <f ca="1">IFERROR(__xludf.DUMMYFUNCTION("""COMPUTED_VALUE"""),"1 USD = 85.4845 PKR")</f>
        <v>1 USD = 85.4845 PKR</v>
      </c>
      <c r="H4809" s="9" t="str">
        <f ca="1">IFERROR(__xludf.DUMMYFUNCTION("""COMPUTED_VALUE"""),"USD PKR rate for 16/11/2010")</f>
        <v>USD PKR rate for 16/11/2010</v>
      </c>
      <c r="I4809" s="9"/>
    </row>
    <row r="4810" spans="1:9" ht="14.25" customHeight="1" x14ac:dyDescent="0.3">
      <c r="A4810" s="10">
        <v>44527</v>
      </c>
      <c r="B4810" s="12">
        <v>176.4991</v>
      </c>
      <c r="C4810" s="8">
        <f t="shared" si="37"/>
        <v>186.64072866974126</v>
      </c>
      <c r="D4810" s="9">
        <f t="shared" si="36"/>
        <v>74.904367500391501</v>
      </c>
      <c r="E4810" s="9"/>
      <c r="F4810" s="9">
        <f ca="1">IFERROR(__xludf.DUMMYFUNCTION("""COMPUTED_VALUE"""),40497)</f>
        <v>40497</v>
      </c>
      <c r="G4810" s="9" t="str">
        <f ca="1">IFERROR(__xludf.DUMMYFUNCTION("""COMPUTED_VALUE"""),"1 USD = 85.624 PKR")</f>
        <v>1 USD = 85.624 PKR</v>
      </c>
      <c r="H4810" s="9" t="str">
        <f ca="1">IFERROR(__xludf.DUMMYFUNCTION("""COMPUTED_VALUE"""),"USD PKR rate for 15/11/2010")</f>
        <v>USD PKR rate for 15/11/2010</v>
      </c>
      <c r="I4810" s="9"/>
    </row>
    <row r="4811" spans="1:9" ht="14.25" customHeight="1" x14ac:dyDescent="0.3">
      <c r="A4811" s="10">
        <v>44528</v>
      </c>
      <c r="B4811" s="12">
        <v>176.5839</v>
      </c>
      <c r="C4811" s="8">
        <f t="shared" si="37"/>
        <v>186.67410932083007</v>
      </c>
      <c r="D4811" s="9">
        <f t="shared" si="36"/>
        <v>74.907105333188767</v>
      </c>
      <c r="E4811" s="9"/>
      <c r="F4811" s="9">
        <f ca="1">IFERROR(__xludf.DUMMYFUNCTION("""COMPUTED_VALUE"""),40496)</f>
        <v>40496</v>
      </c>
      <c r="G4811" s="9" t="str">
        <f ca="1">IFERROR(__xludf.DUMMYFUNCTION("""COMPUTED_VALUE"""),"1 USD = 85.8831 PKR")</f>
        <v>1 USD = 85.8831 PKR</v>
      </c>
      <c r="H4811" s="9" t="str">
        <f ca="1">IFERROR(__xludf.DUMMYFUNCTION("""COMPUTED_VALUE"""),"USD PKR rate for 14/11/2010")</f>
        <v>USD PKR rate for 14/11/2010</v>
      </c>
      <c r="I4811" s="9"/>
    </row>
    <row r="4812" spans="1:9" ht="14.25" customHeight="1" x14ac:dyDescent="0.3">
      <c r="A4812" s="10">
        <v>44529</v>
      </c>
      <c r="B4812" s="12">
        <v>176.37299999999999</v>
      </c>
      <c r="C4812" s="8">
        <f t="shared" si="37"/>
        <v>186.70749594204037</v>
      </c>
      <c r="D4812" s="9">
        <f t="shared" si="36"/>
        <v>74.909843165986032</v>
      </c>
      <c r="E4812" s="9"/>
      <c r="F4812" s="9">
        <f ca="1">IFERROR(__xludf.DUMMYFUNCTION("""COMPUTED_VALUE"""),40495)</f>
        <v>40495</v>
      </c>
      <c r="G4812" s="9" t="str">
        <f ca="1">IFERROR(__xludf.DUMMYFUNCTION("""COMPUTED_VALUE"""),"1 USD = 85.8724 PKR")</f>
        <v>1 USD = 85.8724 PKR</v>
      </c>
      <c r="H4812" s="9" t="str">
        <f ca="1">IFERROR(__xludf.DUMMYFUNCTION("""COMPUTED_VALUE"""),"USD PKR rate for 13/11/2010")</f>
        <v>USD PKR rate for 13/11/2010</v>
      </c>
      <c r="I4812" s="9"/>
    </row>
    <row r="4813" spans="1:9" ht="14.25" customHeight="1" x14ac:dyDescent="0.3">
      <c r="A4813" s="10">
        <v>44530</v>
      </c>
      <c r="B4813" s="12">
        <v>176.2706</v>
      </c>
      <c r="C4813" s="8">
        <f t="shared" si="37"/>
        <v>186.74088853444033</v>
      </c>
      <c r="D4813" s="9">
        <f t="shared" si="36"/>
        <v>74.912580998783298</v>
      </c>
      <c r="E4813" s="9"/>
      <c r="F4813" s="9">
        <f ca="1">IFERROR(__xludf.DUMMYFUNCTION("""COMPUTED_VALUE"""),40494)</f>
        <v>40494</v>
      </c>
      <c r="G4813" s="9" t="str">
        <f ca="1">IFERROR(__xludf.DUMMYFUNCTION("""COMPUTED_VALUE"""),"1 USD = 85.5953 PKR")</f>
        <v>1 USD = 85.5953 PKR</v>
      </c>
      <c r="H4813" s="9" t="str">
        <f ca="1">IFERROR(__xludf.DUMMYFUNCTION("""COMPUTED_VALUE"""),"USD PKR rate for 12/11/2010")</f>
        <v>USD PKR rate for 12/11/2010</v>
      </c>
      <c r="I4813" s="9"/>
    </row>
    <row r="4814" spans="1:9" ht="14.25" customHeight="1" x14ac:dyDescent="0.3">
      <c r="A4814" s="10">
        <v>44531</v>
      </c>
      <c r="B4814" s="12">
        <v>175.3083</v>
      </c>
      <c r="C4814" s="8">
        <f t="shared" si="37"/>
        <v>186.77428709909776</v>
      </c>
      <c r="D4814" s="9">
        <f t="shared" si="36"/>
        <v>74.915318831580564</v>
      </c>
      <c r="E4814" s="9"/>
      <c r="F4814" s="9">
        <f ca="1">IFERROR(__xludf.DUMMYFUNCTION("""COMPUTED_VALUE"""),40493)</f>
        <v>40493</v>
      </c>
      <c r="G4814" s="9" t="str">
        <f ca="1">IFERROR(__xludf.DUMMYFUNCTION("""COMPUTED_VALUE"""),"1 USD = 85.3462 PKR")</f>
        <v>1 USD = 85.3462 PKR</v>
      </c>
      <c r="H4814" s="9" t="str">
        <f ca="1">IFERROR(__xludf.DUMMYFUNCTION("""COMPUTED_VALUE"""),"USD PKR rate for 11/11/2010")</f>
        <v>USD PKR rate for 11/11/2010</v>
      </c>
      <c r="I4814" s="9"/>
    </row>
    <row r="4815" spans="1:9" ht="14.25" customHeight="1" x14ac:dyDescent="0.3">
      <c r="A4815" s="10">
        <v>44532</v>
      </c>
      <c r="B4815" s="12">
        <v>176.19319999999999</v>
      </c>
      <c r="C4815" s="8">
        <f t="shared" si="37"/>
        <v>186.80769163708067</v>
      </c>
      <c r="D4815" s="9">
        <f t="shared" si="36"/>
        <v>74.918056664377829</v>
      </c>
      <c r="E4815" s="9"/>
      <c r="F4815" s="9">
        <f ca="1">IFERROR(__xludf.DUMMYFUNCTION("""COMPUTED_VALUE"""),40492)</f>
        <v>40492</v>
      </c>
      <c r="G4815" s="9" t="str">
        <f ca="1">IFERROR(__xludf.DUMMYFUNCTION("""COMPUTED_VALUE"""),"1 USD = 85.3905 PKR")</f>
        <v>1 USD = 85.3905 PKR</v>
      </c>
      <c r="H4815" s="9" t="str">
        <f ca="1">IFERROR(__xludf.DUMMYFUNCTION("""COMPUTED_VALUE"""),"USD PKR rate for 10/11/2010")</f>
        <v>USD PKR rate for 10/11/2010</v>
      </c>
      <c r="I4815" s="9"/>
    </row>
    <row r="4816" spans="1:9" ht="14.25" customHeight="1" x14ac:dyDescent="0.3">
      <c r="A4816" s="10">
        <v>44533</v>
      </c>
      <c r="B4816" s="12">
        <v>175.54339999999999</v>
      </c>
      <c r="C4816" s="8">
        <f t="shared" si="37"/>
        <v>186.8411021494575</v>
      </c>
      <c r="D4816" s="9">
        <f t="shared" si="36"/>
        <v>74.920794497175095</v>
      </c>
      <c r="E4816" s="9"/>
      <c r="F4816" s="9">
        <f ca="1">IFERROR(__xludf.DUMMYFUNCTION("""COMPUTED_VALUE"""),40491)</f>
        <v>40491</v>
      </c>
      <c r="G4816" s="9" t="str">
        <f ca="1">IFERROR(__xludf.DUMMYFUNCTION("""COMPUTED_VALUE"""),"1 USD = 85.5247 PKR")</f>
        <v>1 USD = 85.5247 PKR</v>
      </c>
      <c r="H4816" s="9" t="str">
        <f ca="1">IFERROR(__xludf.DUMMYFUNCTION("""COMPUTED_VALUE"""),"USD PKR rate for 09/11/2010")</f>
        <v>USD PKR rate for 09/11/2010</v>
      </c>
      <c r="I4816" s="9"/>
    </row>
    <row r="4817" spans="1:9" ht="14.25" customHeight="1" x14ac:dyDescent="0.3">
      <c r="A4817" s="10">
        <v>44534</v>
      </c>
      <c r="B4817" s="12">
        <v>176.64670000000001</v>
      </c>
      <c r="C4817" s="8">
        <f t="shared" si="37"/>
        <v>186.87451863729672</v>
      </c>
      <c r="D4817" s="9">
        <f t="shared" si="36"/>
        <v>74.92353232997236</v>
      </c>
      <c r="E4817" s="9"/>
      <c r="F4817" s="9">
        <f ca="1">IFERROR(__xludf.DUMMYFUNCTION("""COMPUTED_VALUE"""),40490)</f>
        <v>40490</v>
      </c>
      <c r="G4817" s="9" t="str">
        <f ca="1">IFERROR(__xludf.DUMMYFUNCTION("""COMPUTED_VALUE"""),"1 USD = 85.5157 PKR")</f>
        <v>1 USD = 85.5157 PKR</v>
      </c>
      <c r="H4817" s="9" t="str">
        <f ca="1">IFERROR(__xludf.DUMMYFUNCTION("""COMPUTED_VALUE"""),"USD PKR rate for 08/11/2010")</f>
        <v>USD PKR rate for 08/11/2010</v>
      </c>
      <c r="I4817" s="9"/>
    </row>
    <row r="4818" spans="1:9" ht="14.25" customHeight="1" x14ac:dyDescent="0.3">
      <c r="A4818" s="10">
        <v>44535</v>
      </c>
      <c r="B4818" s="12">
        <v>176.75470000000001</v>
      </c>
      <c r="C4818" s="8">
        <f t="shared" si="37"/>
        <v>186.90794110166703</v>
      </c>
      <c r="D4818" s="9">
        <f t="shared" si="36"/>
        <v>74.926270162769626</v>
      </c>
      <c r="E4818" s="9"/>
      <c r="F4818" s="9">
        <f ca="1">IFERROR(__xludf.DUMMYFUNCTION("""COMPUTED_VALUE"""),40489)</f>
        <v>40489</v>
      </c>
      <c r="G4818" s="9" t="str">
        <f ca="1">IFERROR(__xludf.DUMMYFUNCTION("""COMPUTED_VALUE"""),"1 USD = 85.832 PKR")</f>
        <v>1 USD = 85.832 PKR</v>
      </c>
      <c r="H4818" s="9" t="str">
        <f ca="1">IFERROR(__xludf.DUMMYFUNCTION("""COMPUTED_VALUE"""),"USD PKR rate for 07/11/2010")</f>
        <v>USD PKR rate for 07/11/2010</v>
      </c>
      <c r="I4818" s="9"/>
    </row>
    <row r="4819" spans="1:9" ht="14.25" customHeight="1" x14ac:dyDescent="0.3">
      <c r="A4819" s="10">
        <v>44536</v>
      </c>
      <c r="B4819" s="12">
        <v>176.37989999999999</v>
      </c>
      <c r="C4819" s="8">
        <f t="shared" si="37"/>
        <v>186.94136954363736</v>
      </c>
      <c r="D4819" s="9">
        <f t="shared" si="36"/>
        <v>74.929007995566892</v>
      </c>
      <c r="E4819" s="9"/>
      <c r="F4819" s="9">
        <f ca="1">IFERROR(__xludf.DUMMYFUNCTION("""COMPUTED_VALUE"""),40488)</f>
        <v>40488</v>
      </c>
      <c r="G4819" s="9" t="str">
        <f ca="1">IFERROR(__xludf.DUMMYFUNCTION("""COMPUTED_VALUE"""),"1 USD = 85.8344 PKR")</f>
        <v>1 USD = 85.8344 PKR</v>
      </c>
      <c r="H4819" s="9" t="str">
        <f ca="1">IFERROR(__xludf.DUMMYFUNCTION("""COMPUTED_VALUE"""),"USD PKR rate for 06/11/2010")</f>
        <v>USD PKR rate for 06/11/2010</v>
      </c>
      <c r="I4819" s="9"/>
    </row>
    <row r="4820" spans="1:9" ht="14.25" customHeight="1" x14ac:dyDescent="0.3">
      <c r="A4820" s="10">
        <v>44537</v>
      </c>
      <c r="B4820" s="12">
        <v>176.81319999999999</v>
      </c>
      <c r="C4820" s="8">
        <f t="shared" si="37"/>
        <v>186.97480396427682</v>
      </c>
      <c r="D4820" s="9">
        <f t="shared" si="36"/>
        <v>74.931745828364157</v>
      </c>
      <c r="E4820" s="9"/>
      <c r="F4820" s="9">
        <f ca="1">IFERROR(__xludf.DUMMYFUNCTION("""COMPUTED_VALUE"""),40487)</f>
        <v>40487</v>
      </c>
      <c r="G4820" s="9" t="str">
        <f ca="1">IFERROR(__xludf.DUMMYFUNCTION("""COMPUTED_VALUE"""),"1 USD = 85.7893 PKR")</f>
        <v>1 USD = 85.7893 PKR</v>
      </c>
      <c r="H4820" s="9" t="str">
        <f ca="1">IFERROR(__xludf.DUMMYFUNCTION("""COMPUTED_VALUE"""),"USD PKR rate for 05/11/2010")</f>
        <v>USD PKR rate for 05/11/2010</v>
      </c>
      <c r="I4820" s="9"/>
    </row>
    <row r="4821" spans="1:9" ht="14.25" customHeight="1" x14ac:dyDescent="0.3">
      <c r="A4821" s="10">
        <v>44538</v>
      </c>
      <c r="B4821" s="12">
        <v>177.3467</v>
      </c>
      <c r="C4821" s="8">
        <f t="shared" si="37"/>
        <v>187.00824436465447</v>
      </c>
      <c r="D4821" s="9">
        <f t="shared" si="36"/>
        <v>74.934483661161423</v>
      </c>
      <c r="E4821" s="9"/>
      <c r="F4821" s="9">
        <f ca="1">IFERROR(__xludf.DUMMYFUNCTION("""COMPUTED_VALUE"""),40486)</f>
        <v>40486</v>
      </c>
      <c r="G4821" s="9" t="str">
        <f ca="1">IFERROR(__xludf.DUMMYFUNCTION("""COMPUTED_VALUE"""),"1 USD = 85.7792 PKR")</f>
        <v>1 USD = 85.7792 PKR</v>
      </c>
      <c r="H4821" s="9" t="str">
        <f ca="1">IFERROR(__xludf.DUMMYFUNCTION("""COMPUTED_VALUE"""),"USD PKR rate for 04/11/2010")</f>
        <v>USD PKR rate for 04/11/2010</v>
      </c>
      <c r="I4821" s="9"/>
    </row>
    <row r="4822" spans="1:9" ht="14.25" customHeight="1" x14ac:dyDescent="0.3">
      <c r="A4822" s="10">
        <v>44539</v>
      </c>
      <c r="B4822" s="12">
        <v>177.88229999999999</v>
      </c>
      <c r="C4822" s="8">
        <f t="shared" si="37"/>
        <v>187.04169074584019</v>
      </c>
      <c r="D4822" s="9">
        <f t="shared" si="36"/>
        <v>74.937221493958688</v>
      </c>
      <c r="E4822" s="9"/>
      <c r="F4822" s="9">
        <f ca="1">IFERROR(__xludf.DUMMYFUNCTION("""COMPUTED_VALUE"""),40485)</f>
        <v>40485</v>
      </c>
      <c r="G4822" s="9" t="str">
        <f ca="1">IFERROR(__xludf.DUMMYFUNCTION("""COMPUTED_VALUE"""),"1 USD = 85.7939 PKR")</f>
        <v>1 USD = 85.7939 PKR</v>
      </c>
      <c r="H4822" s="9" t="str">
        <f ca="1">IFERROR(__xludf.DUMMYFUNCTION("""COMPUTED_VALUE"""),"USD PKR rate for 03/11/2010")</f>
        <v>USD PKR rate for 03/11/2010</v>
      </c>
      <c r="I4822" s="9"/>
    </row>
    <row r="4823" spans="1:9" ht="14.25" customHeight="1" x14ac:dyDescent="0.3">
      <c r="A4823" s="10">
        <v>44540</v>
      </c>
      <c r="B4823" s="12">
        <v>178.15029999999999</v>
      </c>
      <c r="C4823" s="8">
        <f t="shared" si="37"/>
        <v>187.0751431089034</v>
      </c>
      <c r="D4823" s="9">
        <f t="shared" si="36"/>
        <v>74.939959326755954</v>
      </c>
      <c r="E4823" s="9"/>
      <c r="F4823" s="9">
        <f ca="1">IFERROR(__xludf.DUMMYFUNCTION("""COMPUTED_VALUE"""),40484)</f>
        <v>40484</v>
      </c>
      <c r="G4823" s="9" t="str">
        <f ca="1">IFERROR(__xludf.DUMMYFUNCTION("""COMPUTED_VALUE"""),"1 USD = 85.784 PKR")</f>
        <v>1 USD = 85.784 PKR</v>
      </c>
      <c r="H4823" s="9" t="str">
        <f ca="1">IFERROR(__xludf.DUMMYFUNCTION("""COMPUTED_VALUE"""),"USD PKR rate for 02/11/2010")</f>
        <v>USD PKR rate for 02/11/2010</v>
      </c>
      <c r="I4823" s="9"/>
    </row>
    <row r="4824" spans="1:9" ht="14.25" customHeight="1" x14ac:dyDescent="0.3">
      <c r="A4824" s="10">
        <v>44541</v>
      </c>
      <c r="B4824" s="12">
        <v>176.95670000000001</v>
      </c>
      <c r="C4824" s="8">
        <f t="shared" si="37"/>
        <v>187.10860145491398</v>
      </c>
      <c r="D4824" s="9">
        <f t="shared" si="36"/>
        <v>74.942697159553219</v>
      </c>
      <c r="E4824" s="9"/>
      <c r="F4824" s="9">
        <f ca="1">IFERROR(__xludf.DUMMYFUNCTION("""COMPUTED_VALUE"""),40483)</f>
        <v>40483</v>
      </c>
      <c r="G4824" s="9" t="str">
        <f ca="1">IFERROR(__xludf.DUMMYFUNCTION("""COMPUTED_VALUE"""),"1 USD = 85.9669 PKR")</f>
        <v>1 USD = 85.9669 PKR</v>
      </c>
      <c r="H4824" s="9" t="str">
        <f ca="1">IFERROR(__xludf.DUMMYFUNCTION("""COMPUTED_VALUE"""),"USD PKR rate for 01/11/2010")</f>
        <v>USD PKR rate for 01/11/2010</v>
      </c>
      <c r="I4824" s="9"/>
    </row>
    <row r="4825" spans="1:9" ht="14.25" customHeight="1" x14ac:dyDescent="0.3">
      <c r="A4825" s="10">
        <v>44542</v>
      </c>
      <c r="B4825" s="12">
        <v>177.2176</v>
      </c>
      <c r="C4825" s="8">
        <f t="shared" si="37"/>
        <v>187.14206578494202</v>
      </c>
      <c r="D4825" s="9">
        <f t="shared" si="36"/>
        <v>74.945434992350485</v>
      </c>
      <c r="E4825" s="9"/>
      <c r="F4825" s="9">
        <f ca="1">IFERROR(__xludf.DUMMYFUNCTION("""COMPUTED_VALUE"""),40482)</f>
        <v>40482</v>
      </c>
      <c r="G4825" s="9" t="str">
        <f ca="1">IFERROR(__xludf.DUMMYFUNCTION("""COMPUTED_VALUE"""),"1 USD = 85.3315 PKR")</f>
        <v>1 USD = 85.3315 PKR</v>
      </c>
      <c r="H4825" s="9" t="str">
        <f ca="1">IFERROR(__xludf.DUMMYFUNCTION("""COMPUTED_VALUE"""),"USD PKR rate for 31/10/2010")</f>
        <v>USD PKR rate for 31/10/2010</v>
      </c>
      <c r="I4825" s="9"/>
    </row>
    <row r="4826" spans="1:9" ht="14.25" customHeight="1" x14ac:dyDescent="0.3">
      <c r="A4826" s="10">
        <v>44543</v>
      </c>
      <c r="B4826" s="12">
        <v>178.06299999999999</v>
      </c>
      <c r="C4826" s="8">
        <f t="shared" si="37"/>
        <v>187.17553610005771</v>
      </c>
      <c r="D4826" s="9">
        <f t="shared" si="36"/>
        <v>74.948172825147751</v>
      </c>
      <c r="E4826" s="9"/>
      <c r="F4826" s="9">
        <f ca="1">IFERROR(__xludf.DUMMYFUNCTION("""COMPUTED_VALUE"""),40481)</f>
        <v>40481</v>
      </c>
      <c r="G4826" s="9" t="str">
        <f ca="1">IFERROR(__xludf.DUMMYFUNCTION("""COMPUTED_VALUE"""),"1 USD = 85.3313 PKR")</f>
        <v>1 USD = 85.3313 PKR</v>
      </c>
      <c r="H4826" s="9" t="str">
        <f ca="1">IFERROR(__xludf.DUMMYFUNCTION("""COMPUTED_VALUE"""),"USD PKR rate for 30/10/2010")</f>
        <v>USD PKR rate for 30/10/2010</v>
      </c>
      <c r="I4826" s="9"/>
    </row>
    <row r="4827" spans="1:9" ht="14.25" customHeight="1" x14ac:dyDescent="0.3">
      <c r="A4827" s="10">
        <v>44544</v>
      </c>
      <c r="B4827" s="12">
        <v>178.19730000000001</v>
      </c>
      <c r="C4827" s="8">
        <f t="shared" si="37"/>
        <v>187.20901240133153</v>
      </c>
      <c r="D4827" s="9">
        <f t="shared" si="36"/>
        <v>74.950910657945016</v>
      </c>
      <c r="E4827" s="9"/>
      <c r="F4827" s="9">
        <f ca="1">IFERROR(__xludf.DUMMYFUNCTION("""COMPUTED_VALUE"""),40480)</f>
        <v>40480</v>
      </c>
      <c r="G4827" s="9" t="str">
        <f ca="1">IFERROR(__xludf.DUMMYFUNCTION("""COMPUTED_VALUE"""),"1 USD = 85.5895 PKR")</f>
        <v>1 USD = 85.5895 PKR</v>
      </c>
      <c r="H4827" s="9" t="str">
        <f ca="1">IFERROR(__xludf.DUMMYFUNCTION("""COMPUTED_VALUE"""),"USD PKR rate for 29/10/2010")</f>
        <v>USD PKR rate for 29/10/2010</v>
      </c>
      <c r="I4827" s="9"/>
    </row>
    <row r="4828" spans="1:9" ht="14.25" customHeight="1" x14ac:dyDescent="0.3">
      <c r="A4828" s="10">
        <v>44545</v>
      </c>
      <c r="B4828" s="12">
        <v>178.13310000000001</v>
      </c>
      <c r="C4828" s="8">
        <f t="shared" si="37"/>
        <v>187.2424946898341</v>
      </c>
      <c r="D4828" s="9">
        <f t="shared" si="36"/>
        <v>74.953648490742282</v>
      </c>
      <c r="E4828" s="9"/>
      <c r="F4828" s="9">
        <f ca="1">IFERROR(__xludf.DUMMYFUNCTION("""COMPUTED_VALUE"""),40479)</f>
        <v>40479</v>
      </c>
      <c r="G4828" s="9" t="str">
        <f ca="1">IFERROR(__xludf.DUMMYFUNCTION("""COMPUTED_VALUE"""),"1 USD = 85.6944 PKR")</f>
        <v>1 USD = 85.6944 PKR</v>
      </c>
      <c r="H4828" s="9" t="str">
        <f ca="1">IFERROR(__xludf.DUMMYFUNCTION("""COMPUTED_VALUE"""),"USD PKR rate for 28/10/2010")</f>
        <v>USD PKR rate for 28/10/2010</v>
      </c>
      <c r="I4828" s="9"/>
    </row>
    <row r="4829" spans="1:9" ht="14.25" customHeight="1" x14ac:dyDescent="0.3">
      <c r="A4829" s="10">
        <v>44546</v>
      </c>
      <c r="B4829" s="12">
        <v>178.06190000000001</v>
      </c>
      <c r="C4829" s="8">
        <f t="shared" si="37"/>
        <v>187.27598296663618</v>
      </c>
      <c r="D4829" s="9">
        <f t="shared" si="36"/>
        <v>74.956386323539547</v>
      </c>
      <c r="E4829" s="9"/>
      <c r="F4829" s="9">
        <f ca="1">IFERROR(__xludf.DUMMYFUNCTION("""COMPUTED_VALUE"""),40478)</f>
        <v>40478</v>
      </c>
      <c r="G4829" s="9" t="str">
        <f ca="1">IFERROR(__xludf.DUMMYFUNCTION("""COMPUTED_VALUE"""),"1 USD = 85.6435 PKR")</f>
        <v>1 USD = 85.6435 PKR</v>
      </c>
      <c r="H4829" s="9" t="str">
        <f ca="1">IFERROR(__xludf.DUMMYFUNCTION("""COMPUTED_VALUE"""),"USD PKR rate for 27/10/2010")</f>
        <v>USD PKR rate for 27/10/2010</v>
      </c>
      <c r="I4829" s="9"/>
    </row>
    <row r="4830" spans="1:9" ht="14.25" customHeight="1" x14ac:dyDescent="0.3">
      <c r="A4830" s="10">
        <v>44547</v>
      </c>
      <c r="B4830" s="12">
        <v>178.15039999999999</v>
      </c>
      <c r="C4830" s="8">
        <f t="shared" si="37"/>
        <v>187.30947723280863</v>
      </c>
      <c r="D4830" s="9">
        <f t="shared" si="36"/>
        <v>74.959124156336813</v>
      </c>
      <c r="E4830" s="9"/>
      <c r="F4830" s="9">
        <f ca="1">IFERROR(__xludf.DUMMYFUNCTION("""COMPUTED_VALUE"""),40477)</f>
        <v>40477</v>
      </c>
      <c r="G4830" s="9" t="str">
        <f ca="1">IFERROR(__xludf.DUMMYFUNCTION("""COMPUTED_VALUE"""),"1 USD = 86.1193 PKR")</f>
        <v>1 USD = 86.1193 PKR</v>
      </c>
      <c r="H4830" s="9" t="str">
        <f ca="1">IFERROR(__xludf.DUMMYFUNCTION("""COMPUTED_VALUE"""),"USD PKR rate for 26/10/2010")</f>
        <v>USD PKR rate for 26/10/2010</v>
      </c>
      <c r="I4830" s="9"/>
    </row>
    <row r="4831" spans="1:9" ht="14.25" customHeight="1" x14ac:dyDescent="0.3">
      <c r="A4831" s="10">
        <v>44548</v>
      </c>
      <c r="B4831" s="12">
        <v>178.14340000000001</v>
      </c>
      <c r="C4831" s="8">
        <f t="shared" si="37"/>
        <v>187.34297748942299</v>
      </c>
      <c r="D4831" s="9">
        <f t="shared" si="36"/>
        <v>74.961861989134078</v>
      </c>
      <c r="E4831" s="9"/>
      <c r="F4831" s="9">
        <f ca="1">IFERROR(__xludf.DUMMYFUNCTION("""COMPUTED_VALUE"""),40476)</f>
        <v>40476</v>
      </c>
      <c r="G4831" s="9" t="str">
        <f ca="1">IFERROR(__xludf.DUMMYFUNCTION("""COMPUTED_VALUE"""),"1 USD = 86.0313 PKR")</f>
        <v>1 USD = 86.0313 PKR</v>
      </c>
      <c r="H4831" s="9" t="str">
        <f ca="1">IFERROR(__xludf.DUMMYFUNCTION("""COMPUTED_VALUE"""),"USD PKR rate for 25/10/2010")</f>
        <v>USD PKR rate for 25/10/2010</v>
      </c>
      <c r="I4831" s="9"/>
    </row>
    <row r="4832" spans="1:9" ht="14.25" customHeight="1" x14ac:dyDescent="0.3">
      <c r="A4832" s="10">
        <v>44549</v>
      </c>
      <c r="B4832" s="12">
        <v>179.1671</v>
      </c>
      <c r="C4832" s="8">
        <f t="shared" si="37"/>
        <v>187.37648373755053</v>
      </c>
      <c r="D4832" s="9">
        <f t="shared" si="36"/>
        <v>74.964599821931344</v>
      </c>
      <c r="E4832" s="9"/>
      <c r="F4832" s="9">
        <f ca="1">IFERROR(__xludf.DUMMYFUNCTION("""COMPUTED_VALUE"""),40475)</f>
        <v>40475</v>
      </c>
      <c r="G4832" s="9" t="str">
        <f ca="1">IFERROR(__xludf.DUMMYFUNCTION("""COMPUTED_VALUE"""),"1 USD = 86.3785 PKR")</f>
        <v>1 USD = 86.3785 PKR</v>
      </c>
      <c r="H4832" s="9" t="str">
        <f ca="1">IFERROR(__xludf.DUMMYFUNCTION("""COMPUTED_VALUE"""),"USD PKR rate for 24/10/2010")</f>
        <v>USD PKR rate for 24/10/2010</v>
      </c>
      <c r="I4832" s="9"/>
    </row>
    <row r="4833" spans="1:9" ht="14.25" customHeight="1" x14ac:dyDescent="0.3">
      <c r="A4833" s="10">
        <v>44550</v>
      </c>
      <c r="B4833" s="12">
        <v>178.11359999999999</v>
      </c>
      <c r="C4833" s="8">
        <f t="shared" si="37"/>
        <v>187.40999597826274</v>
      </c>
      <c r="D4833" s="9">
        <f t="shared" si="36"/>
        <v>74.96733765472861</v>
      </c>
      <c r="E4833" s="9"/>
      <c r="F4833" s="9">
        <f ca="1">IFERROR(__xludf.DUMMYFUNCTION("""COMPUTED_VALUE"""),40474)</f>
        <v>40474</v>
      </c>
      <c r="G4833" s="9" t="str">
        <f ca="1">IFERROR(__xludf.DUMMYFUNCTION("""COMPUTED_VALUE"""),"1 USD = 86.3789 PKR")</f>
        <v>1 USD = 86.3789 PKR</v>
      </c>
      <c r="H4833" s="9" t="str">
        <f ca="1">IFERROR(__xludf.DUMMYFUNCTION("""COMPUTED_VALUE"""),"USD PKR rate for 23/10/2010")</f>
        <v>USD PKR rate for 23/10/2010</v>
      </c>
      <c r="I4833" s="9"/>
    </row>
    <row r="4834" spans="1:9" ht="14.25" customHeight="1" x14ac:dyDescent="0.3">
      <c r="A4834" s="10">
        <v>44551</v>
      </c>
      <c r="B4834" s="12">
        <v>178.01900000000001</v>
      </c>
      <c r="C4834" s="8">
        <f t="shared" si="37"/>
        <v>187.44351421263147</v>
      </c>
      <c r="D4834" s="9">
        <f t="shared" si="36"/>
        <v>74.970075487525875</v>
      </c>
      <c r="E4834" s="9"/>
      <c r="F4834" s="9">
        <f ca="1">IFERROR(__xludf.DUMMYFUNCTION("""COMPUTED_VALUE"""),40473)</f>
        <v>40473</v>
      </c>
      <c r="G4834" s="9" t="str">
        <f ca="1">IFERROR(__xludf.DUMMYFUNCTION("""COMPUTED_VALUE"""),"1 USD = 86.1421 PKR")</f>
        <v>1 USD = 86.1421 PKR</v>
      </c>
      <c r="H4834" s="9" t="str">
        <f ca="1">IFERROR(__xludf.DUMMYFUNCTION("""COMPUTED_VALUE"""),"USD PKR rate for 22/10/2010")</f>
        <v>USD PKR rate for 22/10/2010</v>
      </c>
      <c r="I4834" s="9"/>
    </row>
    <row r="4835" spans="1:9" ht="14.25" customHeight="1" x14ac:dyDescent="0.3">
      <c r="A4835" s="10">
        <v>44552</v>
      </c>
      <c r="B4835" s="12">
        <v>178.43469999999999</v>
      </c>
      <c r="C4835" s="8">
        <f t="shared" si="37"/>
        <v>187.47703844172864</v>
      </c>
      <c r="D4835" s="9">
        <f t="shared" si="36"/>
        <v>74.972813320323141</v>
      </c>
      <c r="E4835" s="9"/>
      <c r="F4835" s="9">
        <f ca="1">IFERROR(__xludf.DUMMYFUNCTION("""COMPUTED_VALUE"""),40472)</f>
        <v>40472</v>
      </c>
      <c r="G4835" s="9" t="str">
        <f ca="1">IFERROR(__xludf.DUMMYFUNCTION("""COMPUTED_VALUE"""),"1 USD = 86.0777 PKR")</f>
        <v>1 USD = 86.0777 PKR</v>
      </c>
      <c r="H4835" s="9" t="str">
        <f ca="1">IFERROR(__xludf.DUMMYFUNCTION("""COMPUTED_VALUE"""),"USD PKR rate for 21/10/2010")</f>
        <v>USD PKR rate for 21/10/2010</v>
      </c>
      <c r="I4835" s="9"/>
    </row>
    <row r="4836" spans="1:9" ht="14.25" customHeight="1" x14ac:dyDescent="0.3">
      <c r="A4836" s="10">
        <v>44553</v>
      </c>
      <c r="B4836" s="12">
        <v>178.39019999999999</v>
      </c>
      <c r="C4836" s="8">
        <f t="shared" si="37"/>
        <v>187.51056866662643</v>
      </c>
      <c r="D4836" s="9">
        <f t="shared" si="36"/>
        <v>74.975551153120406</v>
      </c>
      <c r="E4836" s="9"/>
      <c r="F4836" s="9">
        <f ca="1">IFERROR(__xludf.DUMMYFUNCTION("""COMPUTED_VALUE"""),40471)</f>
        <v>40471</v>
      </c>
      <c r="G4836" s="9" t="str">
        <f ca="1">IFERROR(__xludf.DUMMYFUNCTION("""COMPUTED_VALUE"""),"1 USD = 86.1516 PKR")</f>
        <v>1 USD = 86.1516 PKR</v>
      </c>
      <c r="H4836" s="9" t="str">
        <f ca="1">IFERROR(__xludf.DUMMYFUNCTION("""COMPUTED_VALUE"""),"USD PKR rate for 20/10/2010")</f>
        <v>USD PKR rate for 20/10/2010</v>
      </c>
      <c r="I4836" s="9"/>
    </row>
    <row r="4837" spans="1:9" ht="14.25" customHeight="1" x14ac:dyDescent="0.3">
      <c r="A4837" s="10">
        <v>44554</v>
      </c>
      <c r="B4837" s="12">
        <v>178.1</v>
      </c>
      <c r="C4837" s="8">
        <f t="shared" si="37"/>
        <v>187.54410488839716</v>
      </c>
      <c r="D4837" s="9">
        <f t="shared" si="36"/>
        <v>74.978288985917672</v>
      </c>
      <c r="E4837" s="9"/>
      <c r="F4837" s="9">
        <f ca="1">IFERROR(__xludf.DUMMYFUNCTION("""COMPUTED_VALUE"""),40470)</f>
        <v>40470</v>
      </c>
      <c r="G4837" s="9" t="str">
        <f ca="1">IFERROR(__xludf.DUMMYFUNCTION("""COMPUTED_VALUE"""),"1 USD = 86.3634 PKR")</f>
        <v>1 USD = 86.3634 PKR</v>
      </c>
      <c r="H4837" s="9" t="str">
        <f ca="1">IFERROR(__xludf.DUMMYFUNCTION("""COMPUTED_VALUE"""),"USD PKR rate for 19/10/2010")</f>
        <v>USD PKR rate for 19/10/2010</v>
      </c>
      <c r="I4837" s="9"/>
    </row>
    <row r="4838" spans="1:9" ht="14.25" customHeight="1" x14ac:dyDescent="0.3">
      <c r="A4838" s="10">
        <v>44555</v>
      </c>
      <c r="B4838" s="12">
        <v>178.10650000000001</v>
      </c>
      <c r="C4838" s="8">
        <f t="shared" si="37"/>
        <v>187.57764710811338</v>
      </c>
      <c r="D4838" s="9">
        <f t="shared" si="36"/>
        <v>74.981026818714938</v>
      </c>
      <c r="E4838" s="9"/>
      <c r="F4838" s="9">
        <f ca="1">IFERROR(__xludf.DUMMYFUNCTION("""COMPUTED_VALUE"""),40469)</f>
        <v>40469</v>
      </c>
      <c r="G4838" s="9" t="str">
        <f ca="1">IFERROR(__xludf.DUMMYFUNCTION("""COMPUTED_VALUE"""),"1 USD = 85.9926 PKR")</f>
        <v>1 USD = 85.9926 PKR</v>
      </c>
      <c r="H4838" s="9" t="str">
        <f ca="1">IFERROR(__xludf.DUMMYFUNCTION("""COMPUTED_VALUE"""),"USD PKR rate for 18/10/2010")</f>
        <v>USD PKR rate for 18/10/2010</v>
      </c>
      <c r="I4838" s="9"/>
    </row>
    <row r="4839" spans="1:9" ht="14.25" customHeight="1" x14ac:dyDescent="0.3">
      <c r="A4839" s="10">
        <v>44556</v>
      </c>
      <c r="B4839" s="12">
        <v>178.3064</v>
      </c>
      <c r="C4839" s="8">
        <f t="shared" si="37"/>
        <v>187.61119532684768</v>
      </c>
      <c r="D4839" s="9">
        <f t="shared" si="36"/>
        <v>74.983764651512203</v>
      </c>
      <c r="E4839" s="9"/>
      <c r="F4839" s="9">
        <f ca="1">IFERROR(__xludf.DUMMYFUNCTION("""COMPUTED_VALUE"""),40468)</f>
        <v>40468</v>
      </c>
      <c r="G4839" s="9" t="str">
        <f ca="1">IFERROR(__xludf.DUMMYFUNCTION("""COMPUTED_VALUE"""),"1 USD = 86.2179 PKR")</f>
        <v>1 USD = 86.2179 PKR</v>
      </c>
      <c r="H4839" s="9" t="str">
        <f ca="1">IFERROR(__xludf.DUMMYFUNCTION("""COMPUTED_VALUE"""),"USD PKR rate for 17/10/2010")</f>
        <v>USD PKR rate for 17/10/2010</v>
      </c>
      <c r="I4839" s="9"/>
    </row>
    <row r="4840" spans="1:9" ht="14.25" customHeight="1" x14ac:dyDescent="0.3">
      <c r="A4840" s="10">
        <v>44557</v>
      </c>
      <c r="B4840" s="12">
        <v>175.35120000000001</v>
      </c>
      <c r="C4840" s="8">
        <f t="shared" si="37"/>
        <v>187.64474954567328</v>
      </c>
      <c r="D4840" s="9">
        <f t="shared" si="36"/>
        <v>74.986502484309469</v>
      </c>
      <c r="E4840" s="9"/>
      <c r="F4840" s="9">
        <f ca="1">IFERROR(__xludf.DUMMYFUNCTION("""COMPUTED_VALUE"""),40467)</f>
        <v>40467</v>
      </c>
      <c r="G4840" s="9" t="str">
        <f ca="1">IFERROR(__xludf.DUMMYFUNCTION("""COMPUTED_VALUE"""),"1 USD = 86.0612 PKR")</f>
        <v>1 USD = 86.0612 PKR</v>
      </c>
      <c r="H4840" s="9" t="str">
        <f ca="1">IFERROR(__xludf.DUMMYFUNCTION("""COMPUTED_VALUE"""),"USD PKR rate for 16/10/2010")</f>
        <v>USD PKR rate for 16/10/2010</v>
      </c>
      <c r="I4840" s="9"/>
    </row>
    <row r="4841" spans="1:9" ht="14.25" customHeight="1" x14ac:dyDescent="0.3">
      <c r="A4841" s="10">
        <v>44558</v>
      </c>
      <c r="B4841" s="12">
        <v>178.43600000000001</v>
      </c>
      <c r="C4841" s="8">
        <f t="shared" si="37"/>
        <v>187.67830976566319</v>
      </c>
      <c r="D4841" s="9">
        <f t="shared" si="36"/>
        <v>74.989240317106734</v>
      </c>
      <c r="E4841" s="9"/>
      <c r="F4841" s="9">
        <f ca="1">IFERROR(__xludf.DUMMYFUNCTION("""COMPUTED_VALUE"""),40466)</f>
        <v>40466</v>
      </c>
      <c r="G4841" s="9" t="str">
        <f ca="1">IFERROR(__xludf.DUMMYFUNCTION("""COMPUTED_VALUE"""),"1 USD = 85.5099 PKR")</f>
        <v>1 USD = 85.5099 PKR</v>
      </c>
      <c r="H4841" s="9" t="str">
        <f ca="1">IFERROR(__xludf.DUMMYFUNCTION("""COMPUTED_VALUE"""),"USD PKR rate for 15/10/2010")</f>
        <v>USD PKR rate for 15/10/2010</v>
      </c>
      <c r="I4841" s="9"/>
    </row>
    <row r="4842" spans="1:9" ht="14.25" customHeight="1" x14ac:dyDescent="0.3">
      <c r="A4842" s="10">
        <v>44559</v>
      </c>
      <c r="B4842" s="12">
        <v>178.42140000000001</v>
      </c>
      <c r="C4842" s="8">
        <f t="shared" si="37"/>
        <v>187.71187598789061</v>
      </c>
      <c r="D4842" s="9">
        <f t="shared" si="36"/>
        <v>74.991978149904</v>
      </c>
      <c r="E4842" s="9"/>
      <c r="F4842" s="9">
        <f ca="1">IFERROR(__xludf.DUMMYFUNCTION("""COMPUTED_VALUE"""),40465)</f>
        <v>40465</v>
      </c>
      <c r="G4842" s="9" t="str">
        <f ca="1">IFERROR(__xludf.DUMMYFUNCTION("""COMPUTED_VALUE"""),"1 USD = 85.5646 PKR")</f>
        <v>1 USD = 85.5646 PKR</v>
      </c>
      <c r="H4842" s="9" t="str">
        <f ca="1">IFERROR(__xludf.DUMMYFUNCTION("""COMPUTED_VALUE"""),"USD PKR rate for 14/10/2010")</f>
        <v>USD PKR rate for 14/10/2010</v>
      </c>
      <c r="I4842" s="9"/>
    </row>
    <row r="4843" spans="1:9" ht="14.25" customHeight="1" x14ac:dyDescent="0.3">
      <c r="A4843" s="10">
        <v>44560</v>
      </c>
      <c r="B4843" s="12">
        <v>178.4863</v>
      </c>
      <c r="C4843" s="8">
        <f t="shared" si="37"/>
        <v>187.74544821342911</v>
      </c>
      <c r="D4843" s="9">
        <f t="shared" si="36"/>
        <v>74.994715982701265</v>
      </c>
      <c r="E4843" s="9"/>
      <c r="F4843" s="9">
        <f ca="1">IFERROR(__xludf.DUMMYFUNCTION("""COMPUTED_VALUE"""),40464)</f>
        <v>40464</v>
      </c>
      <c r="G4843" s="9" t="str">
        <f ca="1">IFERROR(__xludf.DUMMYFUNCTION("""COMPUTED_VALUE"""),"1 USD = 86.3238 PKR")</f>
        <v>1 USD = 86.3238 PKR</v>
      </c>
      <c r="H4843" s="9" t="str">
        <f ca="1">IFERROR(__xludf.DUMMYFUNCTION("""COMPUTED_VALUE"""),"USD PKR rate for 13/10/2010")</f>
        <v>USD PKR rate for 13/10/2010</v>
      </c>
      <c r="I4843" s="9"/>
    </row>
    <row r="4844" spans="1:9" ht="14.25" customHeight="1" x14ac:dyDescent="0.3">
      <c r="A4844" s="10">
        <v>44561</v>
      </c>
      <c r="B4844" s="12">
        <v>178.2439</v>
      </c>
      <c r="C4844" s="8">
        <f t="shared" si="37"/>
        <v>187.77902644335256</v>
      </c>
      <c r="D4844" s="9">
        <f t="shared" si="36"/>
        <v>74.997453815498545</v>
      </c>
      <c r="E4844" s="9"/>
      <c r="F4844" s="9">
        <f ca="1">IFERROR(__xludf.DUMMYFUNCTION("""COMPUTED_VALUE"""),40463)</f>
        <v>40463</v>
      </c>
      <c r="G4844" s="9" t="str">
        <f ca="1">IFERROR(__xludf.DUMMYFUNCTION("""COMPUTED_VALUE"""),"1 USD = 86.133 PKR")</f>
        <v>1 USD = 86.133 PKR</v>
      </c>
      <c r="H4844" s="9" t="str">
        <f ca="1">IFERROR(__xludf.DUMMYFUNCTION("""COMPUTED_VALUE"""),"USD PKR rate for 12/10/2010")</f>
        <v>USD PKR rate for 12/10/2010</v>
      </c>
      <c r="I4844" s="9"/>
    </row>
    <row r="4845" spans="1:9" ht="14.25" customHeight="1" x14ac:dyDescent="0.3">
      <c r="A4845" s="10">
        <v>44562</v>
      </c>
      <c r="B4845" s="12">
        <v>178.24350000000001</v>
      </c>
      <c r="C4845" s="8">
        <f t="shared" si="37"/>
        <v>187.81261067873447</v>
      </c>
      <c r="D4845" s="9">
        <f t="shared" si="36"/>
        <v>75.000191648295811</v>
      </c>
      <c r="E4845" s="9"/>
      <c r="F4845" s="9">
        <f ca="1">IFERROR(__xludf.DUMMYFUNCTION("""COMPUTED_VALUE"""),40462)</f>
        <v>40462</v>
      </c>
      <c r="G4845" s="9" t="str">
        <f ca="1">IFERROR(__xludf.DUMMYFUNCTION("""COMPUTED_VALUE"""),"1 USD = 85.9899 PKR")</f>
        <v>1 USD = 85.9899 PKR</v>
      </c>
      <c r="H4845" s="9" t="str">
        <f ca="1">IFERROR(__xludf.DUMMYFUNCTION("""COMPUTED_VALUE"""),"USD PKR rate for 11/10/2010")</f>
        <v>USD PKR rate for 11/10/2010</v>
      </c>
      <c r="I4845" s="9"/>
    </row>
    <row r="4846" spans="1:9" ht="14.25" customHeight="1" x14ac:dyDescent="0.3">
      <c r="A4846" s="10">
        <v>44563</v>
      </c>
      <c r="B4846" s="12">
        <v>177.2122</v>
      </c>
      <c r="C4846" s="8">
        <f t="shared" si="37"/>
        <v>187.84620092064912</v>
      </c>
      <c r="D4846" s="9">
        <f t="shared" si="36"/>
        <v>75.002929481093076</v>
      </c>
      <c r="E4846" s="9"/>
      <c r="F4846" s="9">
        <f ca="1">IFERROR(__xludf.DUMMYFUNCTION("""COMPUTED_VALUE"""),40461)</f>
        <v>40461</v>
      </c>
      <c r="G4846" s="9" t="str">
        <f ca="1">IFERROR(__xludf.DUMMYFUNCTION("""COMPUTED_VALUE"""),"1 USD = 85.4349 PKR")</f>
        <v>1 USD = 85.4349 PKR</v>
      </c>
      <c r="H4846" s="9" t="str">
        <f ca="1">IFERROR(__xludf.DUMMYFUNCTION("""COMPUTED_VALUE"""),"USD PKR rate for 10/10/2010")</f>
        <v>USD PKR rate for 10/10/2010</v>
      </c>
      <c r="I4846" s="9"/>
    </row>
    <row r="4847" spans="1:9" ht="14.25" customHeight="1" x14ac:dyDescent="0.3">
      <c r="A4847" s="10">
        <v>44564</v>
      </c>
      <c r="B4847" s="12">
        <v>176.52690000000001</v>
      </c>
      <c r="C4847" s="8">
        <f t="shared" si="37"/>
        <v>187.87979717017075</v>
      </c>
      <c r="D4847" s="9">
        <f t="shared" si="36"/>
        <v>75.005667313890342</v>
      </c>
      <c r="E4847" s="9"/>
      <c r="F4847" s="9">
        <f ca="1">IFERROR(__xludf.DUMMYFUNCTION("""COMPUTED_VALUE"""),40460)</f>
        <v>40460</v>
      </c>
      <c r="G4847" s="9" t="str">
        <f ca="1">IFERROR(__xludf.DUMMYFUNCTION("""COMPUTED_VALUE"""),"1 USD = 85.4358 PKR")</f>
        <v>1 USD = 85.4358 PKR</v>
      </c>
      <c r="H4847" s="9" t="str">
        <f ca="1">IFERROR(__xludf.DUMMYFUNCTION("""COMPUTED_VALUE"""),"USD PKR rate for 09/10/2010")</f>
        <v>USD PKR rate for 09/10/2010</v>
      </c>
      <c r="I4847" s="9"/>
    </row>
    <row r="4848" spans="1:9" ht="14.25" customHeight="1" x14ac:dyDescent="0.3">
      <c r="A4848" s="10">
        <v>44565</v>
      </c>
      <c r="B4848" s="12">
        <v>176.67609999999999</v>
      </c>
      <c r="C4848" s="8">
        <f t="shared" si="37"/>
        <v>187.91339942837365</v>
      </c>
      <c r="D4848" s="9">
        <f t="shared" ref="D4848:D5102" si="38">(A4848-$A$3)/365.2524</f>
        <v>75.008405146687608</v>
      </c>
      <c r="E4848" s="9"/>
      <c r="F4848" s="9">
        <f ca="1">IFERROR(__xludf.DUMMYFUNCTION("""COMPUTED_VALUE"""),40459)</f>
        <v>40459</v>
      </c>
      <c r="G4848" s="9" t="str">
        <f ca="1">IFERROR(__xludf.DUMMYFUNCTION("""COMPUTED_VALUE"""),"1 USD = 85.876 PKR")</f>
        <v>1 USD = 85.876 PKR</v>
      </c>
      <c r="H4848" s="9" t="str">
        <f ca="1">IFERROR(__xludf.DUMMYFUNCTION("""COMPUTED_VALUE"""),"USD PKR rate for 08/10/2010")</f>
        <v>USD PKR rate for 08/10/2010</v>
      </c>
      <c r="I4848" s="9"/>
    </row>
    <row r="4849" spans="1:9" ht="14.25" customHeight="1" x14ac:dyDescent="0.3">
      <c r="A4849" s="10">
        <v>44566</v>
      </c>
      <c r="B4849" s="12">
        <v>176.64869999999999</v>
      </c>
      <c r="C4849" s="8">
        <f t="shared" ref="C4849:C5103" si="39">(1+$C$1)^D4849*$C$3</f>
        <v>187.94700769633278</v>
      </c>
      <c r="D4849" s="9">
        <f t="shared" si="38"/>
        <v>75.011142979484873</v>
      </c>
      <c r="E4849" s="9"/>
      <c r="F4849" s="9">
        <f ca="1">IFERROR(__xludf.DUMMYFUNCTION("""COMPUTED_VALUE"""),40458)</f>
        <v>40458</v>
      </c>
      <c r="G4849" s="9" t="str">
        <f ca="1">IFERROR(__xludf.DUMMYFUNCTION("""COMPUTED_VALUE"""),"1 USD = 86.3158 PKR")</f>
        <v>1 USD = 86.3158 PKR</v>
      </c>
      <c r="H4849" s="9" t="str">
        <f ca="1">IFERROR(__xludf.DUMMYFUNCTION("""COMPUTED_VALUE"""),"USD PKR rate for 07/10/2010")</f>
        <v>USD PKR rate for 07/10/2010</v>
      </c>
      <c r="I4849" s="9"/>
    </row>
    <row r="4850" spans="1:9" ht="14.25" customHeight="1" x14ac:dyDescent="0.3">
      <c r="A4850" s="10">
        <v>44567</v>
      </c>
      <c r="B4850" s="12">
        <v>176.81880000000001</v>
      </c>
      <c r="C4850" s="8">
        <f t="shared" si="39"/>
        <v>187.98062197512292</v>
      </c>
      <c r="D4850" s="9">
        <f t="shared" si="38"/>
        <v>75.013880812282139</v>
      </c>
      <c r="E4850" s="9"/>
      <c r="F4850" s="9">
        <f ca="1">IFERROR(__xludf.DUMMYFUNCTION("""COMPUTED_VALUE"""),40457)</f>
        <v>40457</v>
      </c>
      <c r="G4850" s="9" t="str">
        <f ca="1">IFERROR(__xludf.DUMMYFUNCTION("""COMPUTED_VALUE"""),"1 USD = 86.1708 PKR")</f>
        <v>1 USD = 86.1708 PKR</v>
      </c>
      <c r="H4850" s="9" t="str">
        <f ca="1">IFERROR(__xludf.DUMMYFUNCTION("""COMPUTED_VALUE"""),"USD PKR rate for 06/10/2010")</f>
        <v>USD PKR rate for 06/10/2010</v>
      </c>
      <c r="I4850" s="9"/>
    </row>
    <row r="4851" spans="1:9" ht="14.25" customHeight="1" x14ac:dyDescent="0.3">
      <c r="A4851" s="10">
        <v>44568</v>
      </c>
      <c r="B4851" s="12">
        <v>176.9939</v>
      </c>
      <c r="C4851" s="8">
        <f t="shared" si="39"/>
        <v>188.01424226581898</v>
      </c>
      <c r="D4851" s="9">
        <f t="shared" si="38"/>
        <v>75.016618645079404</v>
      </c>
      <c r="E4851" s="9"/>
      <c r="F4851" s="9">
        <f ca="1">IFERROR(__xludf.DUMMYFUNCTION("""COMPUTED_VALUE"""),40456)</f>
        <v>40456</v>
      </c>
      <c r="G4851" s="9" t="str">
        <f ca="1">IFERROR(__xludf.DUMMYFUNCTION("""COMPUTED_VALUE"""),"1 USD = 86.2314 PKR")</f>
        <v>1 USD = 86.2314 PKR</v>
      </c>
      <c r="H4851" s="9" t="str">
        <f ca="1">IFERROR(__xludf.DUMMYFUNCTION("""COMPUTED_VALUE"""),"USD PKR rate for 05/10/2010")</f>
        <v>USD PKR rate for 05/10/2010</v>
      </c>
      <c r="I4851" s="9"/>
    </row>
    <row r="4852" spans="1:9" ht="14.25" customHeight="1" x14ac:dyDescent="0.3">
      <c r="A4852" s="10">
        <v>44569</v>
      </c>
      <c r="B4852" s="12">
        <v>175.72620000000001</v>
      </c>
      <c r="C4852" s="8">
        <f t="shared" si="39"/>
        <v>188.04786856949625</v>
      </c>
      <c r="D4852" s="9">
        <f t="shared" si="38"/>
        <v>75.01935647787667</v>
      </c>
      <c r="E4852" s="9"/>
      <c r="F4852" s="9">
        <f ca="1">IFERROR(__xludf.DUMMYFUNCTION("""COMPUTED_VALUE"""),40455)</f>
        <v>40455</v>
      </c>
      <c r="G4852" s="9" t="str">
        <f ca="1">IFERROR(__xludf.DUMMYFUNCTION("""COMPUTED_VALUE"""),"1 USD = 86.0695 PKR")</f>
        <v>1 USD = 86.0695 PKR</v>
      </c>
      <c r="H4852" s="9" t="str">
        <f ca="1">IFERROR(__xludf.DUMMYFUNCTION("""COMPUTED_VALUE"""),"USD PKR rate for 04/10/2010")</f>
        <v>USD PKR rate for 04/10/2010</v>
      </c>
      <c r="I4852" s="9"/>
    </row>
    <row r="4853" spans="1:9" ht="14.25" customHeight="1" x14ac:dyDescent="0.3">
      <c r="A4853" s="10">
        <v>44570</v>
      </c>
      <c r="B4853" s="12">
        <v>175.97049999999999</v>
      </c>
      <c r="C4853" s="8">
        <f t="shared" si="39"/>
        <v>188.08150088723016</v>
      </c>
      <c r="D4853" s="9">
        <f t="shared" si="38"/>
        <v>75.022094310673936</v>
      </c>
      <c r="E4853" s="9"/>
      <c r="F4853" s="9">
        <f ca="1">IFERROR(__xludf.DUMMYFUNCTION("""COMPUTED_VALUE"""),40454)</f>
        <v>40454</v>
      </c>
      <c r="G4853" s="9" t="str">
        <f ca="1">IFERROR(__xludf.DUMMYFUNCTION("""COMPUTED_VALUE"""),"1 USD = 86.2315 PKR")</f>
        <v>1 USD = 86.2315 PKR</v>
      </c>
      <c r="H4853" s="9" t="str">
        <f ca="1">IFERROR(__xludf.DUMMYFUNCTION("""COMPUTED_VALUE"""),"USD PKR rate for 03/10/2010")</f>
        <v>USD PKR rate for 03/10/2010</v>
      </c>
      <c r="I4853" s="9"/>
    </row>
    <row r="4854" spans="1:9" ht="14.25" customHeight="1" x14ac:dyDescent="0.3">
      <c r="A4854" s="10">
        <v>44571</v>
      </c>
      <c r="B4854" s="12">
        <v>176.74789999999999</v>
      </c>
      <c r="C4854" s="8">
        <f t="shared" si="39"/>
        <v>188.1151392200963</v>
      </c>
      <c r="D4854" s="9">
        <f t="shared" si="38"/>
        <v>75.024832143471201</v>
      </c>
      <c r="E4854" s="9"/>
      <c r="F4854" s="9">
        <f ca="1">IFERROR(__xludf.DUMMYFUNCTION("""COMPUTED_VALUE"""),40453)</f>
        <v>40453</v>
      </c>
      <c r="G4854" s="9" t="str">
        <f ca="1">IFERROR(__xludf.DUMMYFUNCTION("""COMPUTED_VALUE"""),"1 USD = 86.2316 PKR")</f>
        <v>1 USD = 86.2316 PKR</v>
      </c>
      <c r="H4854" s="9" t="str">
        <f ca="1">IFERROR(__xludf.DUMMYFUNCTION("""COMPUTED_VALUE"""),"USD PKR rate for 02/10/2010")</f>
        <v>USD PKR rate for 02/10/2010</v>
      </c>
      <c r="I4854" s="9"/>
    </row>
    <row r="4855" spans="1:9" ht="14.25" customHeight="1" x14ac:dyDescent="0.3">
      <c r="A4855" s="10">
        <v>44572</v>
      </c>
      <c r="B4855" s="12">
        <v>176.66120000000001</v>
      </c>
      <c r="C4855" s="8">
        <f t="shared" si="39"/>
        <v>188.14878356917049</v>
      </c>
      <c r="D4855" s="9">
        <f t="shared" si="38"/>
        <v>75.027569976268467</v>
      </c>
      <c r="E4855" s="9"/>
      <c r="F4855" s="9">
        <f ca="1">IFERROR(__xludf.DUMMYFUNCTION("""COMPUTED_VALUE"""),40452)</f>
        <v>40452</v>
      </c>
      <c r="G4855" s="9" t="str">
        <f ca="1">IFERROR(__xludf.DUMMYFUNCTION("""COMPUTED_VALUE"""),"1 USD = 86.38 PKR")</f>
        <v>1 USD = 86.38 PKR</v>
      </c>
      <c r="H4855" s="9" t="str">
        <f ca="1">IFERROR(__xludf.DUMMYFUNCTION("""COMPUTED_VALUE"""),"USD PKR rate for 01/10/2010")</f>
        <v>USD PKR rate for 01/10/2010</v>
      </c>
      <c r="I4855" s="9"/>
    </row>
    <row r="4856" spans="1:9" ht="14.25" customHeight="1" x14ac:dyDescent="0.3">
      <c r="A4856" s="10">
        <v>44573</v>
      </c>
      <c r="B4856" s="12">
        <v>176.1825</v>
      </c>
      <c r="C4856" s="8">
        <f t="shared" si="39"/>
        <v>188.18243393552868</v>
      </c>
      <c r="D4856" s="9">
        <f t="shared" si="38"/>
        <v>75.030307809065732</v>
      </c>
      <c r="E4856" s="9"/>
      <c r="F4856" s="9">
        <f ca="1">IFERROR(__xludf.DUMMYFUNCTION("""COMPUTED_VALUE"""),40451)</f>
        <v>40451</v>
      </c>
      <c r="G4856" s="9" t="str">
        <f ca="1">IFERROR(__xludf.DUMMYFUNCTION("""COMPUTED_VALUE"""),"1 USD = 86.403 PKR")</f>
        <v>1 USD = 86.403 PKR</v>
      </c>
      <c r="H4856" s="9" t="str">
        <f ca="1">IFERROR(__xludf.DUMMYFUNCTION("""COMPUTED_VALUE"""),"USD PKR rate for 30/09/2010")</f>
        <v>USD PKR rate for 30/09/2010</v>
      </c>
      <c r="I4856" s="9"/>
    </row>
    <row r="4857" spans="1:9" ht="14.25" customHeight="1" x14ac:dyDescent="0.3">
      <c r="A4857" s="10">
        <v>44574</v>
      </c>
      <c r="B4857" s="12">
        <v>176.40430000000001</v>
      </c>
      <c r="C4857" s="8">
        <f t="shared" si="39"/>
        <v>188.21609032024699</v>
      </c>
      <c r="D4857" s="9">
        <f t="shared" si="38"/>
        <v>75.033045641862998</v>
      </c>
      <c r="E4857" s="9"/>
      <c r="F4857" s="9">
        <f ca="1">IFERROR(__xludf.DUMMYFUNCTION("""COMPUTED_VALUE"""),40450)</f>
        <v>40450</v>
      </c>
      <c r="G4857" s="9" t="str">
        <f ca="1">IFERROR(__xludf.DUMMYFUNCTION("""COMPUTED_VALUE"""),"1 USD = 86.5074 PKR")</f>
        <v>1 USD = 86.5074 PKR</v>
      </c>
      <c r="H4857" s="9" t="str">
        <f ca="1">IFERROR(__xludf.DUMMYFUNCTION("""COMPUTED_VALUE"""),"USD PKR rate for 29/09/2010")</f>
        <v>USD PKR rate for 29/09/2010</v>
      </c>
      <c r="I4857" s="9"/>
    </row>
    <row r="4858" spans="1:9" ht="14.25" customHeight="1" x14ac:dyDescent="0.3">
      <c r="A4858" s="10">
        <v>44575</v>
      </c>
      <c r="B4858" s="12">
        <v>176.15629999999999</v>
      </c>
      <c r="C4858" s="8">
        <f t="shared" si="39"/>
        <v>188.24975272440204</v>
      </c>
      <c r="D4858" s="9">
        <f t="shared" si="38"/>
        <v>75.035783474660263</v>
      </c>
      <c r="E4858" s="9"/>
      <c r="F4858" s="9">
        <f ca="1">IFERROR(__xludf.DUMMYFUNCTION("""COMPUTED_VALUE"""),40449)</f>
        <v>40449</v>
      </c>
      <c r="G4858" s="9" t="str">
        <f ca="1">IFERROR(__xludf.DUMMYFUNCTION("""COMPUTED_VALUE"""),"1 USD = 86.3972 PKR")</f>
        <v>1 USD = 86.3972 PKR</v>
      </c>
      <c r="H4858" s="9" t="str">
        <f ca="1">IFERROR(__xludf.DUMMYFUNCTION("""COMPUTED_VALUE"""),"USD PKR rate for 28/09/2010")</f>
        <v>USD PKR rate for 28/09/2010</v>
      </c>
      <c r="I4858" s="9"/>
    </row>
    <row r="4859" spans="1:9" ht="14.25" customHeight="1" x14ac:dyDescent="0.3">
      <c r="A4859" s="10">
        <v>44576</v>
      </c>
      <c r="B4859" s="12">
        <v>176.1567</v>
      </c>
      <c r="C4859" s="8">
        <f t="shared" si="39"/>
        <v>188.28342114907028</v>
      </c>
      <c r="D4859" s="9">
        <f t="shared" si="38"/>
        <v>75.038521307457529</v>
      </c>
      <c r="E4859" s="9"/>
      <c r="F4859" s="9">
        <f ca="1">IFERROR(__xludf.DUMMYFUNCTION("""COMPUTED_VALUE"""),40448)</f>
        <v>40448</v>
      </c>
      <c r="G4859" s="9" t="str">
        <f ca="1">IFERROR(__xludf.DUMMYFUNCTION("""COMPUTED_VALUE"""),"1 USD = 86.3591 PKR")</f>
        <v>1 USD = 86.3591 PKR</v>
      </c>
      <c r="H4859" s="9" t="str">
        <f ca="1">IFERROR(__xludf.DUMMYFUNCTION("""COMPUTED_VALUE"""),"USD PKR rate for 27/09/2010")</f>
        <v>USD PKR rate for 27/09/2010</v>
      </c>
      <c r="I4859" s="9"/>
    </row>
    <row r="4860" spans="1:9" ht="14.25" customHeight="1" x14ac:dyDescent="0.3">
      <c r="A4860" s="10">
        <v>44577</v>
      </c>
      <c r="B4860" s="12">
        <v>175.9144</v>
      </c>
      <c r="C4860" s="8">
        <f t="shared" si="39"/>
        <v>188.31709559532845</v>
      </c>
      <c r="D4860" s="9">
        <f t="shared" si="38"/>
        <v>75.041259140254795</v>
      </c>
      <c r="E4860" s="9"/>
      <c r="F4860" s="9">
        <f ca="1">IFERROR(__xludf.DUMMYFUNCTION("""COMPUTED_VALUE"""),40447)</f>
        <v>40447</v>
      </c>
      <c r="G4860" s="9" t="str">
        <f ca="1">IFERROR(__xludf.DUMMYFUNCTION("""COMPUTED_VALUE"""),"1 USD = 86.1734 PKR")</f>
        <v>1 USD = 86.1734 PKR</v>
      </c>
      <c r="H4860" s="9" t="str">
        <f ca="1">IFERROR(__xludf.DUMMYFUNCTION("""COMPUTED_VALUE"""),"USD PKR rate for 26/09/2010")</f>
        <v>USD PKR rate for 26/09/2010</v>
      </c>
      <c r="I4860" s="9"/>
    </row>
    <row r="4861" spans="1:9" ht="14.25" customHeight="1" x14ac:dyDescent="0.3">
      <c r="A4861" s="10">
        <v>44578</v>
      </c>
      <c r="B4861" s="12">
        <v>175.9659</v>
      </c>
      <c r="C4861" s="8">
        <f t="shared" si="39"/>
        <v>188.35077606425358</v>
      </c>
      <c r="D4861" s="9">
        <f t="shared" si="38"/>
        <v>75.04399697305206</v>
      </c>
      <c r="E4861" s="9"/>
      <c r="F4861" s="9">
        <f ca="1">IFERROR(__xludf.DUMMYFUNCTION("""COMPUTED_VALUE"""),40446)</f>
        <v>40446</v>
      </c>
      <c r="G4861" s="9" t="str">
        <f ca="1">IFERROR(__xludf.DUMMYFUNCTION("""COMPUTED_VALUE"""),"1 USD = 86.1468 PKR")</f>
        <v>1 USD = 86.1468 PKR</v>
      </c>
      <c r="H4861" s="9" t="str">
        <f ca="1">IFERROR(__xludf.DUMMYFUNCTION("""COMPUTED_VALUE"""),"USD PKR rate for 25/09/2010")</f>
        <v>USD PKR rate for 25/09/2010</v>
      </c>
      <c r="I4861" s="9"/>
    </row>
    <row r="4862" spans="1:9" ht="14.25" customHeight="1" x14ac:dyDescent="0.3">
      <c r="A4862" s="10">
        <v>44579</v>
      </c>
      <c r="B4862" s="12">
        <v>176.0224</v>
      </c>
      <c r="C4862" s="8">
        <f t="shared" si="39"/>
        <v>188.38446255692276</v>
      </c>
      <c r="D4862" s="9">
        <f t="shared" si="38"/>
        <v>75.046734805849326</v>
      </c>
      <c r="E4862" s="9"/>
      <c r="F4862" s="9">
        <f ca="1">IFERROR(__xludf.DUMMYFUNCTION("""COMPUTED_VALUE"""),40445)</f>
        <v>40445</v>
      </c>
      <c r="G4862" s="9" t="str">
        <f ca="1">IFERROR(__xludf.DUMMYFUNCTION("""COMPUTED_VALUE"""),"1 USD = 86.1818 PKR")</f>
        <v>1 USD = 86.1818 PKR</v>
      </c>
      <c r="H4862" s="9" t="str">
        <f ca="1">IFERROR(__xludf.DUMMYFUNCTION("""COMPUTED_VALUE"""),"USD PKR rate for 24/09/2010")</f>
        <v>USD PKR rate for 24/09/2010</v>
      </c>
      <c r="I4862" s="9"/>
    </row>
    <row r="4863" spans="1:9" ht="14.25" customHeight="1" x14ac:dyDescent="0.3">
      <c r="A4863" s="10">
        <v>44580</v>
      </c>
      <c r="B4863" s="12">
        <v>176.24850000000001</v>
      </c>
      <c r="C4863" s="8">
        <f t="shared" si="39"/>
        <v>188.41815507441333</v>
      </c>
      <c r="D4863" s="9">
        <f t="shared" si="38"/>
        <v>75.049472638646591</v>
      </c>
      <c r="E4863" s="9"/>
      <c r="F4863" s="9">
        <f ca="1">IFERROR(__xludf.DUMMYFUNCTION("""COMPUTED_VALUE"""),40444)</f>
        <v>40444</v>
      </c>
      <c r="G4863" s="9" t="str">
        <f ca="1">IFERROR(__xludf.DUMMYFUNCTION("""COMPUTED_VALUE"""),"1 USD = 86.0491 PKR")</f>
        <v>1 USD = 86.0491 PKR</v>
      </c>
      <c r="H4863" s="9" t="str">
        <f ca="1">IFERROR(__xludf.DUMMYFUNCTION("""COMPUTED_VALUE"""),"USD PKR rate for 23/09/2010")</f>
        <v>USD PKR rate for 23/09/2010</v>
      </c>
      <c r="I4863" s="9"/>
    </row>
    <row r="4864" spans="1:9" ht="14.25" customHeight="1" x14ac:dyDescent="0.3">
      <c r="A4864" s="10">
        <v>44581</v>
      </c>
      <c r="B4864" s="12">
        <v>176.4828</v>
      </c>
      <c r="C4864" s="8">
        <f t="shared" si="39"/>
        <v>188.45185361780287</v>
      </c>
      <c r="D4864" s="9">
        <f t="shared" si="38"/>
        <v>75.052210471443857</v>
      </c>
      <c r="E4864" s="9"/>
      <c r="F4864" s="9">
        <f ca="1">IFERROR(__xludf.DUMMYFUNCTION("""COMPUTED_VALUE"""),40443)</f>
        <v>40443</v>
      </c>
      <c r="G4864" s="9" t="str">
        <f ca="1">IFERROR(__xludf.DUMMYFUNCTION("""COMPUTED_VALUE"""),"1 USD = 85.949 PKR")</f>
        <v>1 USD = 85.949 PKR</v>
      </c>
      <c r="H4864" s="9" t="str">
        <f ca="1">IFERROR(__xludf.DUMMYFUNCTION("""COMPUTED_VALUE"""),"USD PKR rate for 22/09/2010")</f>
        <v>USD PKR rate for 22/09/2010</v>
      </c>
      <c r="I4864" s="9"/>
    </row>
    <row r="4865" spans="1:9" ht="14.25" customHeight="1" x14ac:dyDescent="0.3">
      <c r="A4865" s="10">
        <v>44582</v>
      </c>
      <c r="B4865" s="12">
        <v>176.38149999999999</v>
      </c>
      <c r="C4865" s="8">
        <f t="shared" si="39"/>
        <v>188.48555818816911</v>
      </c>
      <c r="D4865" s="9">
        <f t="shared" si="38"/>
        <v>75.054948304241123</v>
      </c>
      <c r="E4865" s="9"/>
      <c r="F4865" s="9">
        <f ca="1">IFERROR(__xludf.DUMMYFUNCTION("""COMPUTED_VALUE"""),40442)</f>
        <v>40442</v>
      </c>
      <c r="G4865" s="9" t="str">
        <f ca="1">IFERROR(__xludf.DUMMYFUNCTION("""COMPUTED_VALUE"""),"1 USD = 85.7381 PKR")</f>
        <v>1 USD = 85.7381 PKR</v>
      </c>
      <c r="H4865" s="9" t="str">
        <f ca="1">IFERROR(__xludf.DUMMYFUNCTION("""COMPUTED_VALUE"""),"USD PKR rate for 21/09/2010")</f>
        <v>USD PKR rate for 21/09/2010</v>
      </c>
      <c r="I4865" s="9"/>
    </row>
    <row r="4866" spans="1:9" ht="14.25" customHeight="1" x14ac:dyDescent="0.3">
      <c r="A4866" s="10">
        <v>44583</v>
      </c>
      <c r="B4866" s="12">
        <v>176.4564</v>
      </c>
      <c r="C4866" s="8">
        <f t="shared" si="39"/>
        <v>188.51926878658975</v>
      </c>
      <c r="D4866" s="9">
        <f t="shared" si="38"/>
        <v>75.057686137038388</v>
      </c>
      <c r="E4866" s="9"/>
      <c r="F4866" s="9">
        <f ca="1">IFERROR(__xludf.DUMMYFUNCTION("""COMPUTED_VALUE"""),40441)</f>
        <v>40441</v>
      </c>
      <c r="G4866" s="9" t="str">
        <f ca="1">IFERROR(__xludf.DUMMYFUNCTION("""COMPUTED_VALUE"""),"1 USD = 86.0257 PKR")</f>
        <v>1 USD = 86.0257 PKR</v>
      </c>
      <c r="H4866" s="9" t="str">
        <f ca="1">IFERROR(__xludf.DUMMYFUNCTION("""COMPUTED_VALUE"""),"USD PKR rate for 20/09/2010")</f>
        <v>USD PKR rate for 20/09/2010</v>
      </c>
      <c r="I4866" s="9"/>
    </row>
    <row r="4867" spans="1:9" ht="14.25" customHeight="1" x14ac:dyDescent="0.3">
      <c r="A4867" s="10">
        <v>44584</v>
      </c>
      <c r="B4867" s="12">
        <v>176.28829999999999</v>
      </c>
      <c r="C4867" s="8">
        <f t="shared" si="39"/>
        <v>188.55298541414328</v>
      </c>
      <c r="D4867" s="9">
        <f t="shared" si="38"/>
        <v>75.060423969835654</v>
      </c>
      <c r="E4867" s="9"/>
      <c r="F4867" s="9">
        <f ca="1">IFERROR(__xludf.DUMMYFUNCTION("""COMPUTED_VALUE"""),40440)</f>
        <v>40440</v>
      </c>
      <c r="G4867" s="9" t="str">
        <f ca="1">IFERROR(__xludf.DUMMYFUNCTION("""COMPUTED_VALUE"""),"1 USD = 86.1073 PKR")</f>
        <v>1 USD = 86.1073 PKR</v>
      </c>
      <c r="H4867" s="9" t="str">
        <f ca="1">IFERROR(__xludf.DUMMYFUNCTION("""COMPUTED_VALUE"""),"USD PKR rate for 19/09/2010")</f>
        <v>USD PKR rate for 19/09/2010</v>
      </c>
      <c r="I4867" s="9"/>
    </row>
    <row r="4868" spans="1:9" ht="14.25" customHeight="1" x14ac:dyDescent="0.3">
      <c r="A4868" s="10">
        <v>44585</v>
      </c>
      <c r="B4868" s="12">
        <v>176.43709999999999</v>
      </c>
      <c r="C4868" s="8">
        <f t="shared" si="39"/>
        <v>188.58670807190785</v>
      </c>
      <c r="D4868" s="9">
        <f t="shared" si="38"/>
        <v>75.063161802632919</v>
      </c>
      <c r="E4868" s="9"/>
      <c r="F4868" s="9">
        <f ca="1">IFERROR(__xludf.DUMMYFUNCTION("""COMPUTED_VALUE"""),40439)</f>
        <v>40439</v>
      </c>
      <c r="G4868" s="9" t="str">
        <f ca="1">IFERROR(__xludf.DUMMYFUNCTION("""COMPUTED_VALUE"""),"1 USD = 85.9199 PKR")</f>
        <v>1 USD = 85.9199 PKR</v>
      </c>
      <c r="H4868" s="9" t="str">
        <f ca="1">IFERROR(__xludf.DUMMYFUNCTION("""COMPUTED_VALUE"""),"USD PKR rate for 18/09/2010")</f>
        <v>USD PKR rate for 18/09/2010</v>
      </c>
      <c r="I4868" s="9"/>
    </row>
    <row r="4869" spans="1:9" ht="14.25" customHeight="1" x14ac:dyDescent="0.3">
      <c r="A4869" s="10">
        <v>44586</v>
      </c>
      <c r="B4869" s="12">
        <v>176.44630000000001</v>
      </c>
      <c r="C4869" s="8">
        <f t="shared" si="39"/>
        <v>188.62043676096192</v>
      </c>
      <c r="D4869" s="9">
        <f t="shared" si="38"/>
        <v>75.065899635430185</v>
      </c>
      <c r="E4869" s="9"/>
      <c r="F4869" s="9">
        <f ca="1">IFERROR(__xludf.DUMMYFUNCTION("""COMPUTED_VALUE"""),40438)</f>
        <v>40438</v>
      </c>
      <c r="G4869" s="9" t="str">
        <f ca="1">IFERROR(__xludf.DUMMYFUNCTION("""COMPUTED_VALUE"""),"1 USD = 85.744 PKR")</f>
        <v>1 USD = 85.744 PKR</v>
      </c>
      <c r="H4869" s="9" t="str">
        <f ca="1">IFERROR(__xludf.DUMMYFUNCTION("""COMPUTED_VALUE"""),"USD PKR rate for 17/09/2010")</f>
        <v>USD PKR rate for 17/09/2010</v>
      </c>
      <c r="I4869" s="9"/>
    </row>
    <row r="4870" spans="1:9" ht="14.25" customHeight="1" x14ac:dyDescent="0.3">
      <c r="A4870" s="10">
        <v>44587</v>
      </c>
      <c r="B4870" s="12">
        <v>176.87270000000001</v>
      </c>
      <c r="C4870" s="8">
        <f t="shared" si="39"/>
        <v>188.65417148238424</v>
      </c>
      <c r="D4870" s="9">
        <f t="shared" si="38"/>
        <v>75.06863746822745</v>
      </c>
      <c r="E4870" s="9"/>
      <c r="F4870" s="9">
        <f ca="1">IFERROR(__xludf.DUMMYFUNCTION("""COMPUTED_VALUE"""),40437)</f>
        <v>40437</v>
      </c>
      <c r="G4870" s="9" t="str">
        <f ca="1">IFERROR(__xludf.DUMMYFUNCTION("""COMPUTED_VALUE"""),"1 USD = 85.7191 PKR")</f>
        <v>1 USD = 85.7191 PKR</v>
      </c>
      <c r="H4870" s="9" t="str">
        <f ca="1">IFERROR(__xludf.DUMMYFUNCTION("""COMPUTED_VALUE"""),"USD PKR rate for 16/09/2010")</f>
        <v>USD PKR rate for 16/09/2010</v>
      </c>
      <c r="I4870" s="9"/>
    </row>
    <row r="4871" spans="1:9" ht="14.25" customHeight="1" x14ac:dyDescent="0.3">
      <c r="A4871" s="10">
        <v>44588</v>
      </c>
      <c r="B4871" s="12">
        <v>176.96029999999999</v>
      </c>
      <c r="C4871" s="8">
        <f t="shared" si="39"/>
        <v>188.6879122372537</v>
      </c>
      <c r="D4871" s="9">
        <f t="shared" si="38"/>
        <v>75.071375301024716</v>
      </c>
      <c r="E4871" s="9"/>
      <c r="F4871" s="9">
        <f ca="1">IFERROR(__xludf.DUMMYFUNCTION("""COMPUTED_VALUE"""),40436)</f>
        <v>40436</v>
      </c>
      <c r="G4871" s="9" t="str">
        <f ca="1">IFERROR(__xludf.DUMMYFUNCTION("""COMPUTED_VALUE"""),"1 USD = 85.7831 PKR")</f>
        <v>1 USD = 85.7831 PKR</v>
      </c>
      <c r="H4871" s="9" t="str">
        <f ca="1">IFERROR(__xludf.DUMMYFUNCTION("""COMPUTED_VALUE"""),"USD PKR rate for 15/09/2010")</f>
        <v>USD PKR rate for 15/09/2010</v>
      </c>
      <c r="I4871" s="9"/>
    </row>
    <row r="4872" spans="1:9" ht="14.25" customHeight="1" x14ac:dyDescent="0.3">
      <c r="A4872" s="10">
        <v>44589</v>
      </c>
      <c r="B4872" s="12">
        <v>176.94630000000001</v>
      </c>
      <c r="C4872" s="8">
        <f t="shared" si="39"/>
        <v>188.72165902664929</v>
      </c>
      <c r="D4872" s="9">
        <f t="shared" si="38"/>
        <v>75.074113133821982</v>
      </c>
      <c r="E4872" s="9"/>
      <c r="F4872" s="9">
        <f ca="1">IFERROR(__xludf.DUMMYFUNCTION("""COMPUTED_VALUE"""),40435)</f>
        <v>40435</v>
      </c>
      <c r="G4872" s="9" t="str">
        <f ca="1">IFERROR(__xludf.DUMMYFUNCTION("""COMPUTED_VALUE"""),"1 USD = 85.5567 PKR")</f>
        <v>1 USD = 85.5567 PKR</v>
      </c>
      <c r="H4872" s="9" t="str">
        <f ca="1">IFERROR(__xludf.DUMMYFUNCTION("""COMPUTED_VALUE"""),"USD PKR rate for 14/09/2010")</f>
        <v>USD PKR rate for 14/09/2010</v>
      </c>
      <c r="I4872" s="9"/>
    </row>
    <row r="4873" spans="1:9" ht="14.25" customHeight="1" x14ac:dyDescent="0.3">
      <c r="A4873" s="10">
        <v>44590</v>
      </c>
      <c r="B4873" s="12">
        <v>176.95009999999999</v>
      </c>
      <c r="C4873" s="8">
        <f t="shared" si="39"/>
        <v>188.75541185165036</v>
      </c>
      <c r="D4873" s="9">
        <f t="shared" si="38"/>
        <v>75.076850966619247</v>
      </c>
      <c r="E4873" s="9"/>
      <c r="F4873" s="9">
        <f ca="1">IFERROR(__xludf.DUMMYFUNCTION("""COMPUTED_VALUE"""),40434)</f>
        <v>40434</v>
      </c>
      <c r="G4873" s="9" t="str">
        <f ca="1">IFERROR(__xludf.DUMMYFUNCTION("""COMPUTED_VALUE"""),"1 USD = 85.5103 PKR")</f>
        <v>1 USD = 85.5103 PKR</v>
      </c>
      <c r="H4873" s="9" t="str">
        <f ca="1">IFERROR(__xludf.DUMMYFUNCTION("""COMPUTED_VALUE"""),"USD PKR rate for 13/09/2010")</f>
        <v>USD PKR rate for 13/09/2010</v>
      </c>
      <c r="I4873" s="9"/>
    </row>
    <row r="4874" spans="1:9" ht="14.25" customHeight="1" x14ac:dyDescent="0.3">
      <c r="A4874" s="10">
        <v>44591</v>
      </c>
      <c r="B4874" s="12">
        <v>176.51480000000001</v>
      </c>
      <c r="C4874" s="8">
        <f t="shared" si="39"/>
        <v>188.7891707133364</v>
      </c>
      <c r="D4874" s="9">
        <f t="shared" si="38"/>
        <v>75.079588799416513</v>
      </c>
      <c r="E4874" s="9"/>
      <c r="F4874" s="9">
        <f ca="1">IFERROR(__xludf.DUMMYFUNCTION("""COMPUTED_VALUE"""),40433)</f>
        <v>40433</v>
      </c>
      <c r="G4874" s="9" t="str">
        <f ca="1">IFERROR(__xludf.DUMMYFUNCTION("""COMPUTED_VALUE"""),"1 USD = 85.7405 PKR")</f>
        <v>1 USD = 85.7405 PKR</v>
      </c>
      <c r="H4874" s="9" t="str">
        <f ca="1">IFERROR(__xludf.DUMMYFUNCTION("""COMPUTED_VALUE"""),"USD PKR rate for 12/09/2010")</f>
        <v>USD PKR rate for 12/09/2010</v>
      </c>
      <c r="I4874" s="9"/>
    </row>
    <row r="4875" spans="1:9" ht="14.25" customHeight="1" x14ac:dyDescent="0.3">
      <c r="A4875" s="10">
        <v>44592</v>
      </c>
      <c r="B4875" s="12">
        <v>176.72749999999999</v>
      </c>
      <c r="C4875" s="8">
        <f t="shared" si="39"/>
        <v>188.82293561278684</v>
      </c>
      <c r="D4875" s="9">
        <f t="shared" si="38"/>
        <v>75.082326632213778</v>
      </c>
      <c r="E4875" s="9"/>
      <c r="F4875" s="9">
        <f ca="1">IFERROR(__xludf.DUMMYFUNCTION("""COMPUTED_VALUE"""),40432)</f>
        <v>40432</v>
      </c>
      <c r="G4875" s="9" t="str">
        <f ca="1">IFERROR(__xludf.DUMMYFUNCTION("""COMPUTED_VALUE"""),"1 USD = 85.7549 PKR")</f>
        <v>1 USD = 85.7549 PKR</v>
      </c>
      <c r="H4875" s="9" t="str">
        <f ca="1">IFERROR(__xludf.DUMMYFUNCTION("""COMPUTED_VALUE"""),"USD PKR rate for 11/09/2010")</f>
        <v>USD PKR rate for 11/09/2010</v>
      </c>
      <c r="I4875" s="9"/>
    </row>
    <row r="4876" spans="1:9" ht="14.25" customHeight="1" x14ac:dyDescent="0.3">
      <c r="A4876" s="10">
        <v>44593</v>
      </c>
      <c r="B4876" s="12">
        <v>176.5087</v>
      </c>
      <c r="C4876" s="8">
        <f t="shared" si="39"/>
        <v>188.85670655108191</v>
      </c>
      <c r="D4876" s="9">
        <f t="shared" si="38"/>
        <v>75.085064465011044</v>
      </c>
      <c r="E4876" s="9"/>
      <c r="F4876" s="9">
        <f ca="1">IFERROR(__xludf.DUMMYFUNCTION("""COMPUTED_VALUE"""),40431)</f>
        <v>40431</v>
      </c>
      <c r="G4876" s="9" t="str">
        <f ca="1">IFERROR(__xludf.DUMMYFUNCTION("""COMPUTED_VALUE"""),"1 USD = 85.5889 PKR")</f>
        <v>1 USD = 85.5889 PKR</v>
      </c>
      <c r="H4876" s="9" t="str">
        <f ca="1">IFERROR(__xludf.DUMMYFUNCTION("""COMPUTED_VALUE"""),"USD PKR rate for 10/09/2010")</f>
        <v>USD PKR rate for 10/09/2010</v>
      </c>
      <c r="I4876" s="9"/>
    </row>
    <row r="4877" spans="1:9" ht="14.25" customHeight="1" x14ac:dyDescent="0.3">
      <c r="A4877" s="10">
        <v>44594</v>
      </c>
      <c r="B4877" s="12">
        <v>176.3092</v>
      </c>
      <c r="C4877" s="8">
        <f t="shared" si="39"/>
        <v>188.89048352930146</v>
      </c>
      <c r="D4877" s="9">
        <f t="shared" si="38"/>
        <v>75.08780229780831</v>
      </c>
      <c r="E4877" s="9"/>
      <c r="F4877" s="9">
        <f ca="1">IFERROR(__xludf.DUMMYFUNCTION("""COMPUTED_VALUE"""),40430)</f>
        <v>40430</v>
      </c>
      <c r="G4877" s="9" t="str">
        <f ca="1">IFERROR(__xludf.DUMMYFUNCTION("""COMPUTED_VALUE"""),"1 USD = 85.8022 PKR")</f>
        <v>1 USD = 85.8022 PKR</v>
      </c>
      <c r="H4877" s="9" t="str">
        <f ca="1">IFERROR(__xludf.DUMMYFUNCTION("""COMPUTED_VALUE"""),"USD PKR rate for 09/09/2010")</f>
        <v>USD PKR rate for 09/09/2010</v>
      </c>
      <c r="I4877" s="9"/>
    </row>
    <row r="4878" spans="1:9" ht="14.25" customHeight="1" x14ac:dyDescent="0.3">
      <c r="A4878" s="10">
        <v>44595</v>
      </c>
      <c r="B4878" s="12">
        <v>175.99680000000001</v>
      </c>
      <c r="C4878" s="8">
        <f t="shared" si="39"/>
        <v>188.92426654852574</v>
      </c>
      <c r="D4878" s="9">
        <f t="shared" si="38"/>
        <v>75.090540130605575</v>
      </c>
      <c r="E4878" s="9"/>
      <c r="F4878" s="9">
        <f ca="1">IFERROR(__xludf.DUMMYFUNCTION("""COMPUTED_VALUE"""),40429)</f>
        <v>40429</v>
      </c>
      <c r="G4878" s="9" t="str">
        <f ca="1">IFERROR(__xludf.DUMMYFUNCTION("""COMPUTED_VALUE"""),"1 USD = 85.8198 PKR")</f>
        <v>1 USD = 85.8198 PKR</v>
      </c>
      <c r="H4878" s="9" t="str">
        <f ca="1">IFERROR(__xludf.DUMMYFUNCTION("""COMPUTED_VALUE"""),"USD PKR rate for 08/09/2010")</f>
        <v>USD PKR rate for 08/09/2010</v>
      </c>
      <c r="I4878" s="9"/>
    </row>
    <row r="4879" spans="1:9" ht="14.25" customHeight="1" x14ac:dyDescent="0.3">
      <c r="A4879" s="10">
        <v>44596</v>
      </c>
      <c r="B4879" s="12">
        <v>175.46940000000001</v>
      </c>
      <c r="C4879" s="8">
        <f t="shared" si="39"/>
        <v>188.95805560983518</v>
      </c>
      <c r="D4879" s="9">
        <f t="shared" si="38"/>
        <v>75.093277963402841</v>
      </c>
      <c r="E4879" s="9"/>
      <c r="F4879" s="9">
        <f ca="1">IFERROR(__xludf.DUMMYFUNCTION("""COMPUTED_VALUE"""),40428)</f>
        <v>40428</v>
      </c>
      <c r="G4879" s="9" t="str">
        <f ca="1">IFERROR(__xludf.DUMMYFUNCTION("""COMPUTED_VALUE"""),"1 USD = 85.7516 PKR")</f>
        <v>1 USD = 85.7516 PKR</v>
      </c>
      <c r="H4879" s="9" t="str">
        <f ca="1">IFERROR(__xludf.DUMMYFUNCTION("""COMPUTED_VALUE"""),"USD PKR rate for 07/09/2010")</f>
        <v>USD PKR rate for 07/09/2010</v>
      </c>
      <c r="I4879" s="9"/>
    </row>
    <row r="4880" spans="1:9" ht="14.25" customHeight="1" x14ac:dyDescent="0.3">
      <c r="A4880" s="10">
        <v>44597</v>
      </c>
      <c r="B4880" s="12">
        <v>175.4725</v>
      </c>
      <c r="C4880" s="8">
        <f t="shared" si="39"/>
        <v>188.9918507143104</v>
      </c>
      <c r="D4880" s="9">
        <f t="shared" si="38"/>
        <v>75.096015796200106</v>
      </c>
      <c r="E4880" s="9"/>
      <c r="F4880" s="9">
        <f ca="1">IFERROR(__xludf.DUMMYFUNCTION("""COMPUTED_VALUE"""),40427)</f>
        <v>40427</v>
      </c>
      <c r="G4880" s="9" t="str">
        <f ca="1">IFERROR(__xludf.DUMMYFUNCTION("""COMPUTED_VALUE"""),"1 USD = 85.4013 PKR")</f>
        <v>1 USD = 85.4013 PKR</v>
      </c>
      <c r="H4880" s="9" t="str">
        <f ca="1">IFERROR(__xludf.DUMMYFUNCTION("""COMPUTED_VALUE"""),"USD PKR rate for 06/09/2010")</f>
        <v>USD PKR rate for 06/09/2010</v>
      </c>
      <c r="I4880" s="9"/>
    </row>
    <row r="4881" spans="1:9" ht="14.25" customHeight="1" x14ac:dyDescent="0.3">
      <c r="A4881" s="10">
        <v>44598</v>
      </c>
      <c r="B4881" s="12">
        <v>174.4795</v>
      </c>
      <c r="C4881" s="8">
        <f t="shared" si="39"/>
        <v>189.02565186303224</v>
      </c>
      <c r="D4881" s="9">
        <f t="shared" si="38"/>
        <v>75.098753628997372</v>
      </c>
      <c r="E4881" s="9"/>
      <c r="F4881" s="9">
        <f ca="1">IFERROR(__xludf.DUMMYFUNCTION("""COMPUTED_VALUE"""),40426)</f>
        <v>40426</v>
      </c>
      <c r="G4881" s="9" t="str">
        <f ca="1">IFERROR(__xludf.DUMMYFUNCTION("""COMPUTED_VALUE"""),"1 USD = 85.1226 PKR")</f>
        <v>1 USD = 85.1226 PKR</v>
      </c>
      <c r="H4881" s="9" t="str">
        <f ca="1">IFERROR(__xludf.DUMMYFUNCTION("""COMPUTED_VALUE"""),"USD PKR rate for 05/09/2010")</f>
        <v>USD PKR rate for 05/09/2010</v>
      </c>
      <c r="I4881" s="9"/>
    </row>
    <row r="4882" spans="1:9" ht="14.25" customHeight="1" x14ac:dyDescent="0.3">
      <c r="A4882" s="10">
        <v>44599</v>
      </c>
      <c r="B4882" s="12">
        <v>174.5778</v>
      </c>
      <c r="C4882" s="8">
        <f t="shared" si="39"/>
        <v>189.05945905708168</v>
      </c>
      <c r="D4882" s="9">
        <f t="shared" si="38"/>
        <v>75.101491461794637</v>
      </c>
      <c r="E4882" s="9"/>
      <c r="F4882" s="9">
        <f ca="1">IFERROR(__xludf.DUMMYFUNCTION("""COMPUTED_VALUE"""),40425)</f>
        <v>40425</v>
      </c>
      <c r="G4882" s="9" t="str">
        <f ca="1">IFERROR(__xludf.DUMMYFUNCTION("""COMPUTED_VALUE"""),"1 USD = 85.119 PKR")</f>
        <v>1 USD = 85.119 PKR</v>
      </c>
      <c r="H4882" s="9" t="str">
        <f ca="1">IFERROR(__xludf.DUMMYFUNCTION("""COMPUTED_VALUE"""),"USD PKR rate for 04/09/2010")</f>
        <v>USD PKR rate for 04/09/2010</v>
      </c>
      <c r="I4882" s="9"/>
    </row>
    <row r="4883" spans="1:9" ht="14.25" customHeight="1" x14ac:dyDescent="0.3">
      <c r="A4883" s="10">
        <v>44600</v>
      </c>
      <c r="B4883" s="12">
        <v>174.3366</v>
      </c>
      <c r="C4883" s="8">
        <f t="shared" si="39"/>
        <v>189.09327229753995</v>
      </c>
      <c r="D4883" s="9">
        <f t="shared" si="38"/>
        <v>75.104229294591903</v>
      </c>
      <c r="E4883" s="9"/>
      <c r="F4883" s="9">
        <f ca="1">IFERROR(__xludf.DUMMYFUNCTION("""COMPUTED_VALUE"""),40424)</f>
        <v>40424</v>
      </c>
      <c r="G4883" s="9" t="str">
        <f ca="1">IFERROR(__xludf.DUMMYFUNCTION("""COMPUTED_VALUE"""),"1 USD = 85.5015 PKR")</f>
        <v>1 USD = 85.5015 PKR</v>
      </c>
      <c r="H4883" s="9" t="str">
        <f ca="1">IFERROR(__xludf.DUMMYFUNCTION("""COMPUTED_VALUE"""),"USD PKR rate for 03/09/2010")</f>
        <v>USD PKR rate for 03/09/2010</v>
      </c>
      <c r="I4883" s="9"/>
    </row>
    <row r="4884" spans="1:9" ht="14.25" customHeight="1" x14ac:dyDescent="0.3">
      <c r="A4884" s="10">
        <v>44601</v>
      </c>
      <c r="B4884" s="12">
        <v>174.78299999999999</v>
      </c>
      <c r="C4884" s="8">
        <f t="shared" si="39"/>
        <v>189.1270915854885</v>
      </c>
      <c r="D4884" s="9">
        <f t="shared" si="38"/>
        <v>75.106967127389169</v>
      </c>
      <c r="E4884" s="9"/>
      <c r="F4884" s="9">
        <f ca="1">IFERROR(__xludf.DUMMYFUNCTION("""COMPUTED_VALUE"""),40423)</f>
        <v>40423</v>
      </c>
      <c r="G4884" s="9" t="str">
        <f ca="1">IFERROR(__xludf.DUMMYFUNCTION("""COMPUTED_VALUE"""),"1 USD = 85.8049 PKR")</f>
        <v>1 USD = 85.8049 PKR</v>
      </c>
      <c r="H4884" s="9" t="str">
        <f ca="1">IFERROR(__xludf.DUMMYFUNCTION("""COMPUTED_VALUE"""),"USD PKR rate for 02/09/2010")</f>
        <v>USD PKR rate for 02/09/2010</v>
      </c>
      <c r="I4884" s="9"/>
    </row>
    <row r="4885" spans="1:9" ht="14.25" customHeight="1" x14ac:dyDescent="0.3">
      <c r="A4885" s="10">
        <v>44602</v>
      </c>
      <c r="B4885" s="12">
        <v>174.89760000000001</v>
      </c>
      <c r="C4885" s="8">
        <f t="shared" si="39"/>
        <v>189.16091692200865</v>
      </c>
      <c r="D4885" s="9">
        <f t="shared" si="38"/>
        <v>75.109704960186434</v>
      </c>
      <c r="E4885" s="9"/>
      <c r="F4885" s="9">
        <f ca="1">IFERROR(__xludf.DUMMYFUNCTION("""COMPUTED_VALUE"""),40422)</f>
        <v>40422</v>
      </c>
      <c r="G4885" s="9" t="str">
        <f ca="1">IFERROR(__xludf.DUMMYFUNCTION("""COMPUTED_VALUE"""),"1 USD = 85.5985 PKR")</f>
        <v>1 USD = 85.5985 PKR</v>
      </c>
      <c r="H4885" s="9" t="str">
        <f ca="1">IFERROR(__xludf.DUMMYFUNCTION("""COMPUTED_VALUE"""),"USD PKR rate for 01/09/2010")</f>
        <v>USD PKR rate for 01/09/2010</v>
      </c>
      <c r="I4885" s="9"/>
    </row>
    <row r="4886" spans="1:9" ht="14.25" customHeight="1" x14ac:dyDescent="0.3">
      <c r="A4886" s="10">
        <v>44603</v>
      </c>
      <c r="B4886" s="12">
        <v>174.84989999999999</v>
      </c>
      <c r="C4886" s="8">
        <f t="shared" si="39"/>
        <v>189.19474830818254</v>
      </c>
      <c r="D4886" s="9">
        <f t="shared" si="38"/>
        <v>75.1124427929837</v>
      </c>
      <c r="E4886" s="9"/>
      <c r="F4886" s="9">
        <f ca="1">IFERROR(__xludf.DUMMYFUNCTION("""COMPUTED_VALUE"""),40421)</f>
        <v>40421</v>
      </c>
      <c r="G4886" s="9" t="str">
        <f ca="1">IFERROR(__xludf.DUMMYFUNCTION("""COMPUTED_VALUE"""),"1 USD = 85.8082 PKR")</f>
        <v>1 USD = 85.8082 PKR</v>
      </c>
      <c r="H4886" s="9" t="str">
        <f ca="1">IFERROR(__xludf.DUMMYFUNCTION("""COMPUTED_VALUE"""),"USD PKR rate for 31/08/2010")</f>
        <v>USD PKR rate for 31/08/2010</v>
      </c>
      <c r="I4886" s="9"/>
    </row>
    <row r="4887" spans="1:9" ht="14.25" customHeight="1" x14ac:dyDescent="0.3">
      <c r="A4887" s="10">
        <v>44604</v>
      </c>
      <c r="B4887" s="12">
        <v>175.34370000000001</v>
      </c>
      <c r="C4887" s="8">
        <f t="shared" si="39"/>
        <v>189.22858574509206</v>
      </c>
      <c r="D4887" s="9">
        <f t="shared" si="38"/>
        <v>75.115180625780965</v>
      </c>
      <c r="E4887" s="9"/>
      <c r="F4887" s="9">
        <f ca="1">IFERROR(__xludf.DUMMYFUNCTION("""COMPUTED_VALUE"""),40420)</f>
        <v>40420</v>
      </c>
      <c r="G4887" s="9" t="str">
        <f ca="1">IFERROR(__xludf.DUMMYFUNCTION("""COMPUTED_VALUE"""),"1 USD = 85.5077 PKR")</f>
        <v>1 USD = 85.5077 PKR</v>
      </c>
      <c r="H4887" s="9" t="str">
        <f ca="1">IFERROR(__xludf.DUMMYFUNCTION("""COMPUTED_VALUE"""),"USD PKR rate for 30/08/2010")</f>
        <v>USD PKR rate for 30/08/2010</v>
      </c>
      <c r="I4887" s="9"/>
    </row>
    <row r="4888" spans="1:9" ht="14.25" customHeight="1" x14ac:dyDescent="0.3">
      <c r="A4888" s="10">
        <v>44605</v>
      </c>
      <c r="B4888" s="12">
        <v>175.22190000000001</v>
      </c>
      <c r="C4888" s="8">
        <f t="shared" si="39"/>
        <v>189.26242923381932</v>
      </c>
      <c r="D4888" s="9">
        <f t="shared" si="38"/>
        <v>75.117918458578231</v>
      </c>
      <c r="E4888" s="9"/>
      <c r="F4888" s="9">
        <f ca="1">IFERROR(__xludf.DUMMYFUNCTION("""COMPUTED_VALUE"""),40419)</f>
        <v>40419</v>
      </c>
      <c r="G4888" s="9" t="str">
        <f ca="1">IFERROR(__xludf.DUMMYFUNCTION("""COMPUTED_VALUE"""),"1 USD = 85.233 PKR")</f>
        <v>1 USD = 85.233 PKR</v>
      </c>
      <c r="H4888" s="9" t="str">
        <f ca="1">IFERROR(__xludf.DUMMYFUNCTION("""COMPUTED_VALUE"""),"USD PKR rate for 29/08/2010")</f>
        <v>USD PKR rate for 29/08/2010</v>
      </c>
      <c r="I4888" s="9"/>
    </row>
    <row r="4889" spans="1:9" ht="14.25" customHeight="1" x14ac:dyDescent="0.3">
      <c r="A4889" s="10">
        <v>44606</v>
      </c>
      <c r="B4889" s="12">
        <v>175.50069999999999</v>
      </c>
      <c r="C4889" s="8">
        <f t="shared" si="39"/>
        <v>189.29627877544669</v>
      </c>
      <c r="D4889" s="9">
        <f t="shared" si="38"/>
        <v>75.120656291375496</v>
      </c>
      <c r="E4889" s="9"/>
      <c r="F4889" s="9">
        <f ca="1">IFERROR(__xludf.DUMMYFUNCTION("""COMPUTED_VALUE"""),40418)</f>
        <v>40418</v>
      </c>
      <c r="G4889" s="9" t="str">
        <f ca="1">IFERROR(__xludf.DUMMYFUNCTION("""COMPUTED_VALUE"""),"1 USD = 85.2547 PKR")</f>
        <v>1 USD = 85.2547 PKR</v>
      </c>
      <c r="H4889" s="9" t="str">
        <f ca="1">IFERROR(__xludf.DUMMYFUNCTION("""COMPUTED_VALUE"""),"USD PKR rate for 28/08/2010")</f>
        <v>USD PKR rate for 28/08/2010</v>
      </c>
      <c r="I4889" s="9"/>
    </row>
    <row r="4890" spans="1:9" ht="14.25" customHeight="1" x14ac:dyDescent="0.3">
      <c r="A4890" s="10">
        <v>44607</v>
      </c>
      <c r="B4890" s="12">
        <v>175.75819999999999</v>
      </c>
      <c r="C4890" s="8">
        <f t="shared" si="39"/>
        <v>189.33013437105672</v>
      </c>
      <c r="D4890" s="9">
        <f t="shared" si="38"/>
        <v>75.123394124172762</v>
      </c>
      <c r="E4890" s="9"/>
      <c r="F4890" s="9">
        <f ca="1">IFERROR(__xludf.DUMMYFUNCTION("""COMPUTED_VALUE"""),40417)</f>
        <v>40417</v>
      </c>
      <c r="G4890" s="9" t="str">
        <f ca="1">IFERROR(__xludf.DUMMYFUNCTION("""COMPUTED_VALUE"""),"1 USD = 85.4527 PKR")</f>
        <v>1 USD = 85.4527 PKR</v>
      </c>
      <c r="H4890" s="9" t="str">
        <f ca="1">IFERROR(__xludf.DUMMYFUNCTION("""COMPUTED_VALUE"""),"USD PKR rate for 27/08/2010")</f>
        <v>USD PKR rate for 27/08/2010</v>
      </c>
      <c r="I4890" s="9"/>
    </row>
    <row r="4891" spans="1:9" ht="14.25" customHeight="1" x14ac:dyDescent="0.3">
      <c r="A4891" s="10">
        <v>44608</v>
      </c>
      <c r="B4891" s="12">
        <v>176.1463</v>
      </c>
      <c r="C4891" s="8">
        <f t="shared" si="39"/>
        <v>189.36399602173222</v>
      </c>
      <c r="D4891" s="9">
        <f t="shared" si="38"/>
        <v>75.126131956970028</v>
      </c>
      <c r="E4891" s="9"/>
      <c r="F4891" s="9">
        <f ca="1">IFERROR(__xludf.DUMMYFUNCTION("""COMPUTED_VALUE"""),40416)</f>
        <v>40416</v>
      </c>
      <c r="G4891" s="9" t="str">
        <f ca="1">IFERROR(__xludf.DUMMYFUNCTION("""COMPUTED_VALUE"""),"1 USD = 85.5814 PKR")</f>
        <v>1 USD = 85.5814 PKR</v>
      </c>
      <c r="H4891" s="9" t="str">
        <f ca="1">IFERROR(__xludf.DUMMYFUNCTION("""COMPUTED_VALUE"""),"USD PKR rate for 26/08/2010")</f>
        <v>USD PKR rate for 26/08/2010</v>
      </c>
      <c r="I4891" s="9"/>
    </row>
    <row r="4892" spans="1:9" ht="14.25" customHeight="1" x14ac:dyDescent="0.3">
      <c r="A4892" s="10">
        <v>44609</v>
      </c>
      <c r="B4892" s="12">
        <v>175.8306</v>
      </c>
      <c r="C4892" s="8">
        <f t="shared" si="39"/>
        <v>189.39786372855608</v>
      </c>
      <c r="D4892" s="9">
        <f t="shared" si="38"/>
        <v>75.128869789767293</v>
      </c>
      <c r="E4892" s="9"/>
      <c r="F4892" s="9">
        <f ca="1">IFERROR(__xludf.DUMMYFUNCTION("""COMPUTED_VALUE"""),40415)</f>
        <v>40415</v>
      </c>
      <c r="G4892" s="9" t="str">
        <f ca="1">IFERROR(__xludf.DUMMYFUNCTION("""COMPUTED_VALUE"""),"1 USD = 85.9125 PKR")</f>
        <v>1 USD = 85.9125 PKR</v>
      </c>
      <c r="H4892" s="9" t="str">
        <f ca="1">IFERROR(__xludf.DUMMYFUNCTION("""COMPUTED_VALUE"""),"USD PKR rate for 25/08/2010")</f>
        <v>USD PKR rate for 25/08/2010</v>
      </c>
      <c r="I4892" s="9"/>
    </row>
    <row r="4893" spans="1:9" ht="14.25" customHeight="1" x14ac:dyDescent="0.3">
      <c r="A4893" s="10">
        <v>44610</v>
      </c>
      <c r="B4893" s="12">
        <v>175.35290000000001</v>
      </c>
      <c r="C4893" s="8">
        <f t="shared" si="39"/>
        <v>189.43173749261146</v>
      </c>
      <c r="D4893" s="9">
        <f t="shared" si="38"/>
        <v>75.131607622564559</v>
      </c>
      <c r="E4893" s="9"/>
      <c r="F4893" s="9">
        <f ca="1">IFERROR(__xludf.DUMMYFUNCTION("""COMPUTED_VALUE"""),40414)</f>
        <v>40414</v>
      </c>
      <c r="G4893" s="9" t="str">
        <f ca="1">IFERROR(__xludf.DUMMYFUNCTION("""COMPUTED_VALUE"""),"1 USD = 85.9533 PKR")</f>
        <v>1 USD = 85.9533 PKR</v>
      </c>
      <c r="H4893" s="9" t="str">
        <f ca="1">IFERROR(__xludf.DUMMYFUNCTION("""COMPUTED_VALUE"""),"USD PKR rate for 24/08/2010")</f>
        <v>USD PKR rate for 24/08/2010</v>
      </c>
      <c r="I4893" s="9"/>
    </row>
    <row r="4894" spans="1:9" ht="14.25" customHeight="1" x14ac:dyDescent="0.3">
      <c r="A4894" s="10">
        <v>44611</v>
      </c>
      <c r="B4894" s="12">
        <v>175.35249999999999</v>
      </c>
      <c r="C4894" s="8">
        <f t="shared" si="39"/>
        <v>189.46561731498156</v>
      </c>
      <c r="D4894" s="9">
        <f t="shared" si="38"/>
        <v>75.134345455361824</v>
      </c>
      <c r="E4894" s="9"/>
      <c r="F4894" s="9">
        <f ca="1">IFERROR(__xludf.DUMMYFUNCTION("""COMPUTED_VALUE"""),40413)</f>
        <v>40413</v>
      </c>
      <c r="G4894" s="9" t="str">
        <f ca="1">IFERROR(__xludf.DUMMYFUNCTION("""COMPUTED_VALUE"""),"1 USD = 85.6153 PKR")</f>
        <v>1 USD = 85.6153 PKR</v>
      </c>
      <c r="H4894" s="9" t="str">
        <f ca="1">IFERROR(__xludf.DUMMYFUNCTION("""COMPUTED_VALUE"""),"USD PKR rate for 23/08/2010")</f>
        <v>USD PKR rate for 23/08/2010</v>
      </c>
      <c r="I4894" s="9"/>
    </row>
    <row r="4895" spans="1:9" ht="14.25" customHeight="1" x14ac:dyDescent="0.3">
      <c r="A4895" s="10">
        <v>44612</v>
      </c>
      <c r="B4895" s="12">
        <v>175.5856</v>
      </c>
      <c r="C4895" s="8">
        <f t="shared" si="39"/>
        <v>189.49950319675017</v>
      </c>
      <c r="D4895" s="9">
        <f t="shared" si="38"/>
        <v>75.13708328815909</v>
      </c>
      <c r="E4895" s="9"/>
      <c r="F4895" s="9">
        <f ca="1">IFERROR(__xludf.DUMMYFUNCTION("""COMPUTED_VALUE"""),40412)</f>
        <v>40412</v>
      </c>
      <c r="G4895" s="9" t="str">
        <f ca="1">IFERROR(__xludf.DUMMYFUNCTION("""COMPUTED_VALUE"""),"1 USD = 85.5472 PKR")</f>
        <v>1 USD = 85.5472 PKR</v>
      </c>
      <c r="H4895" s="9" t="str">
        <f ca="1">IFERROR(__xludf.DUMMYFUNCTION("""COMPUTED_VALUE"""),"USD PKR rate for 22/08/2010")</f>
        <v>USD PKR rate for 22/08/2010</v>
      </c>
      <c r="I4895" s="9"/>
    </row>
    <row r="4896" spans="1:9" ht="14.25" customHeight="1" x14ac:dyDescent="0.3">
      <c r="A4896" s="10">
        <v>44613</v>
      </c>
      <c r="B4896" s="12">
        <v>176.33019999999999</v>
      </c>
      <c r="C4896" s="8">
        <f t="shared" si="39"/>
        <v>189.5333951390009</v>
      </c>
      <c r="D4896" s="9">
        <f t="shared" si="38"/>
        <v>75.139821120956356</v>
      </c>
      <c r="E4896" s="9"/>
      <c r="F4896" s="9">
        <f ca="1">IFERROR(__xludf.DUMMYFUNCTION("""COMPUTED_VALUE"""),40411)</f>
        <v>40411</v>
      </c>
      <c r="G4896" s="9" t="str">
        <f ca="1">IFERROR(__xludf.DUMMYFUNCTION("""COMPUTED_VALUE"""),"1 USD = 85.5468 PKR")</f>
        <v>1 USD = 85.5468 PKR</v>
      </c>
      <c r="H4896" s="9" t="str">
        <f ca="1">IFERROR(__xludf.DUMMYFUNCTION("""COMPUTED_VALUE"""),"USD PKR rate for 21/08/2010")</f>
        <v>USD PKR rate for 21/08/2010</v>
      </c>
      <c r="I4896" s="9"/>
    </row>
    <row r="4897" spans="1:9" ht="14.25" customHeight="1" x14ac:dyDescent="0.3">
      <c r="A4897" s="10">
        <v>44614</v>
      </c>
      <c r="B4897" s="12">
        <v>176.0883</v>
      </c>
      <c r="C4897" s="8">
        <f t="shared" si="39"/>
        <v>189.56729314281765</v>
      </c>
      <c r="D4897" s="9">
        <f t="shared" si="38"/>
        <v>75.142558953753621</v>
      </c>
      <c r="E4897" s="9"/>
      <c r="F4897" s="9">
        <f ca="1">IFERROR(__xludf.DUMMYFUNCTION("""COMPUTED_VALUE"""),40410)</f>
        <v>40410</v>
      </c>
      <c r="G4897" s="9" t="str">
        <f ca="1">IFERROR(__xludf.DUMMYFUNCTION("""COMPUTED_VALUE"""),"1 USD = 85.7785 PKR")</f>
        <v>1 USD = 85.7785 PKR</v>
      </c>
      <c r="H4897" s="9" t="str">
        <f ca="1">IFERROR(__xludf.DUMMYFUNCTION("""COMPUTED_VALUE"""),"USD PKR rate for 20/08/2010")</f>
        <v>USD PKR rate for 20/08/2010</v>
      </c>
      <c r="I4897" s="9"/>
    </row>
    <row r="4898" spans="1:9" ht="14.25" customHeight="1" x14ac:dyDescent="0.3">
      <c r="A4898" s="10">
        <v>44615</v>
      </c>
      <c r="B4898" s="12">
        <v>176.5017</v>
      </c>
      <c r="C4898" s="8">
        <f t="shared" si="39"/>
        <v>189.60119720928455</v>
      </c>
      <c r="D4898" s="9">
        <f t="shared" si="38"/>
        <v>75.145296786550887</v>
      </c>
      <c r="E4898" s="9"/>
      <c r="F4898" s="9">
        <f ca="1">IFERROR(__xludf.DUMMYFUNCTION("""COMPUTED_VALUE"""),40409)</f>
        <v>40409</v>
      </c>
      <c r="G4898" s="9" t="str">
        <f ca="1">IFERROR(__xludf.DUMMYFUNCTION("""COMPUTED_VALUE"""),"1 USD = 85.6352 PKR")</f>
        <v>1 USD = 85.6352 PKR</v>
      </c>
      <c r="H4898" s="9" t="str">
        <f ca="1">IFERROR(__xludf.DUMMYFUNCTION("""COMPUTED_VALUE"""),"USD PKR rate for 19/08/2010")</f>
        <v>USD PKR rate for 19/08/2010</v>
      </c>
      <c r="I4898" s="9"/>
    </row>
    <row r="4899" spans="1:9" ht="14.25" customHeight="1" x14ac:dyDescent="0.3">
      <c r="A4899" s="10">
        <v>44616</v>
      </c>
      <c r="B4899" s="12">
        <v>176.43700000000001</v>
      </c>
      <c r="C4899" s="8">
        <f t="shared" si="39"/>
        <v>189.63510733948584</v>
      </c>
      <c r="D4899" s="9">
        <f t="shared" si="38"/>
        <v>75.148034619348152</v>
      </c>
      <c r="E4899" s="9"/>
      <c r="F4899" s="9">
        <f ca="1">IFERROR(__xludf.DUMMYFUNCTION("""COMPUTED_VALUE"""),40408)</f>
        <v>40408</v>
      </c>
      <c r="G4899" s="9" t="str">
        <f ca="1">IFERROR(__xludf.DUMMYFUNCTION("""COMPUTED_VALUE"""),"1 USD = 85.4028 PKR")</f>
        <v>1 USD = 85.4028 PKR</v>
      </c>
      <c r="H4899" s="9" t="str">
        <f ca="1">IFERROR(__xludf.DUMMYFUNCTION("""COMPUTED_VALUE"""),"USD PKR rate for 18/08/2010")</f>
        <v>USD PKR rate for 18/08/2010</v>
      </c>
      <c r="I4899" s="9"/>
    </row>
    <row r="4900" spans="1:9" ht="14.25" customHeight="1" x14ac:dyDescent="0.3">
      <c r="A4900" s="10">
        <v>44617</v>
      </c>
      <c r="B4900" s="12">
        <v>175.2439</v>
      </c>
      <c r="C4900" s="8">
        <f t="shared" si="39"/>
        <v>189.6690235345061</v>
      </c>
      <c r="D4900" s="9">
        <f t="shared" si="38"/>
        <v>75.150772452145418</v>
      </c>
      <c r="E4900" s="9"/>
      <c r="F4900" s="9">
        <f ca="1">IFERROR(__xludf.DUMMYFUNCTION("""COMPUTED_VALUE"""),40407)</f>
        <v>40407</v>
      </c>
      <c r="G4900" s="9" t="str">
        <f ca="1">IFERROR(__xludf.DUMMYFUNCTION("""COMPUTED_VALUE"""),"1 USD = 85.5804 PKR")</f>
        <v>1 USD = 85.5804 PKR</v>
      </c>
      <c r="H4900" s="9" t="str">
        <f ca="1">IFERROR(__xludf.DUMMYFUNCTION("""COMPUTED_VALUE"""),"USD PKR rate for 17/08/2010")</f>
        <v>USD PKR rate for 17/08/2010</v>
      </c>
      <c r="I4900" s="9"/>
    </row>
    <row r="4901" spans="1:9" ht="14.25" customHeight="1" x14ac:dyDescent="0.3">
      <c r="A4901" s="10">
        <v>44618</v>
      </c>
      <c r="B4901" s="12">
        <v>176.2364</v>
      </c>
      <c r="C4901" s="8">
        <f t="shared" si="39"/>
        <v>189.70294579542994</v>
      </c>
      <c r="D4901" s="9">
        <f t="shared" si="38"/>
        <v>75.153510284942683</v>
      </c>
      <c r="E4901" s="9"/>
      <c r="F4901" s="9">
        <f ca="1">IFERROR(__xludf.DUMMYFUNCTION("""COMPUTED_VALUE"""),40406)</f>
        <v>40406</v>
      </c>
      <c r="G4901" s="9" t="str">
        <f ca="1">IFERROR(__xludf.DUMMYFUNCTION("""COMPUTED_VALUE"""),"1 USD = 85.2931 PKR")</f>
        <v>1 USD = 85.2931 PKR</v>
      </c>
      <c r="H4901" s="9" t="str">
        <f ca="1">IFERROR(__xludf.DUMMYFUNCTION("""COMPUTED_VALUE"""),"USD PKR rate for 16/08/2010")</f>
        <v>USD PKR rate for 16/08/2010</v>
      </c>
      <c r="I4901" s="9"/>
    </row>
    <row r="4902" spans="1:9" ht="14.25" customHeight="1" x14ac:dyDescent="0.3">
      <c r="A4902" s="10">
        <v>44619</v>
      </c>
      <c r="B4902" s="12">
        <v>175.96610000000001</v>
      </c>
      <c r="C4902" s="8">
        <f t="shared" si="39"/>
        <v>189.73687412334232</v>
      </c>
      <c r="D4902" s="9">
        <f t="shared" si="38"/>
        <v>75.156248117739949</v>
      </c>
      <c r="E4902" s="9"/>
      <c r="F4902" s="9">
        <f ca="1">IFERROR(__xludf.DUMMYFUNCTION("""COMPUTED_VALUE"""),40405)</f>
        <v>40405</v>
      </c>
      <c r="G4902" s="9" t="str">
        <f ca="1">IFERROR(__xludf.DUMMYFUNCTION("""COMPUTED_VALUE"""),"1 USD = 85.2834 PKR")</f>
        <v>1 USD = 85.2834 PKR</v>
      </c>
      <c r="H4902" s="9" t="str">
        <f ca="1">IFERROR(__xludf.DUMMYFUNCTION("""COMPUTED_VALUE"""),"USD PKR rate for 15/08/2010")</f>
        <v>USD PKR rate for 15/08/2010</v>
      </c>
      <c r="I4902" s="9"/>
    </row>
    <row r="4903" spans="1:9" ht="14.25" customHeight="1" x14ac:dyDescent="0.3">
      <c r="A4903" s="10">
        <v>44620</v>
      </c>
      <c r="B4903" s="12">
        <v>177.45920000000001</v>
      </c>
      <c r="C4903" s="8">
        <f t="shared" si="39"/>
        <v>189.77080851932814</v>
      </c>
      <c r="D4903" s="9">
        <f t="shared" si="38"/>
        <v>75.158985950537215</v>
      </c>
      <c r="E4903" s="9"/>
      <c r="F4903" s="9">
        <f ca="1">IFERROR(__xludf.DUMMYFUNCTION("""COMPUTED_VALUE"""),40404)</f>
        <v>40404</v>
      </c>
      <c r="G4903" s="9" t="str">
        <f ca="1">IFERROR(__xludf.DUMMYFUNCTION("""COMPUTED_VALUE"""),"1 USD = 85.3004 PKR")</f>
        <v>1 USD = 85.3004 PKR</v>
      </c>
      <c r="H4903" s="9" t="str">
        <f ca="1">IFERROR(__xludf.DUMMYFUNCTION("""COMPUTED_VALUE"""),"USD PKR rate for 14/08/2010")</f>
        <v>USD PKR rate for 14/08/2010</v>
      </c>
      <c r="I4903" s="9"/>
    </row>
    <row r="4904" spans="1:9" ht="14.25" customHeight="1" x14ac:dyDescent="0.3">
      <c r="A4904" s="10">
        <v>44621</v>
      </c>
      <c r="B4904" s="12">
        <v>177.5609</v>
      </c>
      <c r="C4904" s="8">
        <f t="shared" si="39"/>
        <v>189.80474898447295</v>
      </c>
      <c r="D4904" s="9">
        <f t="shared" si="38"/>
        <v>75.16172378333448</v>
      </c>
      <c r="E4904" s="9"/>
      <c r="F4904" s="9">
        <f ca="1">IFERROR(__xludf.DUMMYFUNCTION("""COMPUTED_VALUE"""),40403)</f>
        <v>40403</v>
      </c>
      <c r="G4904" s="9" t="str">
        <f ca="1">IFERROR(__xludf.DUMMYFUNCTION("""COMPUTED_VALUE"""),"1 USD = 85.7711 PKR")</f>
        <v>1 USD = 85.7711 PKR</v>
      </c>
      <c r="H4904" s="9" t="str">
        <f ca="1">IFERROR(__xludf.DUMMYFUNCTION("""COMPUTED_VALUE"""),"USD PKR rate for 13/08/2010")</f>
        <v>USD PKR rate for 13/08/2010</v>
      </c>
      <c r="I4904" s="9"/>
    </row>
    <row r="4905" spans="1:9" ht="14.25" customHeight="1" x14ac:dyDescent="0.3">
      <c r="A4905" s="10">
        <v>44622</v>
      </c>
      <c r="B4905" s="12">
        <v>177.68719999999999</v>
      </c>
      <c r="C4905" s="8">
        <f t="shared" si="39"/>
        <v>189.83869551986214</v>
      </c>
      <c r="D4905" s="9">
        <f t="shared" si="38"/>
        <v>75.164461616131746</v>
      </c>
      <c r="E4905" s="9"/>
      <c r="F4905" s="9">
        <f ca="1">IFERROR(__xludf.DUMMYFUNCTION("""COMPUTED_VALUE"""),40402)</f>
        <v>40402</v>
      </c>
      <c r="G4905" s="9" t="str">
        <f ca="1">IFERROR(__xludf.DUMMYFUNCTION("""COMPUTED_VALUE"""),"1 USD = 85.7536 PKR")</f>
        <v>1 USD = 85.7536 PKR</v>
      </c>
      <c r="H4905" s="9" t="str">
        <f ca="1">IFERROR(__xludf.DUMMYFUNCTION("""COMPUTED_VALUE"""),"USD PKR rate for 12/08/2010")</f>
        <v>USD PKR rate for 12/08/2010</v>
      </c>
      <c r="I4905" s="9"/>
    </row>
    <row r="4906" spans="1:9" ht="14.25" customHeight="1" x14ac:dyDescent="0.3">
      <c r="A4906" s="10">
        <v>44623</v>
      </c>
      <c r="B4906" s="12">
        <v>178.68180000000001</v>
      </c>
      <c r="C4906" s="8">
        <f t="shared" si="39"/>
        <v>189.87264812658128</v>
      </c>
      <c r="D4906" s="9">
        <f t="shared" si="38"/>
        <v>75.167199448929011</v>
      </c>
      <c r="E4906" s="9"/>
      <c r="F4906" s="9">
        <f ca="1">IFERROR(__xludf.DUMMYFUNCTION("""COMPUTED_VALUE"""),40401)</f>
        <v>40401</v>
      </c>
      <c r="G4906" s="9" t="str">
        <f ca="1">IFERROR(__xludf.DUMMYFUNCTION("""COMPUTED_VALUE"""),"1 USD = 85.8137 PKR")</f>
        <v>1 USD = 85.8137 PKR</v>
      </c>
      <c r="H4906" s="9" t="str">
        <f ca="1">IFERROR(__xludf.DUMMYFUNCTION("""COMPUTED_VALUE"""),"USD PKR rate for 11/08/2010")</f>
        <v>USD PKR rate for 11/08/2010</v>
      </c>
      <c r="I4906" s="9"/>
    </row>
    <row r="4907" spans="1:9" ht="14.25" customHeight="1" x14ac:dyDescent="0.3">
      <c r="A4907" s="10">
        <v>44624</v>
      </c>
      <c r="B4907" s="12">
        <v>179.08750000000001</v>
      </c>
      <c r="C4907" s="8">
        <f t="shared" si="39"/>
        <v>189.90660680571628</v>
      </c>
      <c r="D4907" s="9">
        <f t="shared" si="38"/>
        <v>75.169937281726277</v>
      </c>
      <c r="E4907" s="9"/>
      <c r="F4907" s="9">
        <f ca="1">IFERROR(__xludf.DUMMYFUNCTION("""COMPUTED_VALUE"""),40400)</f>
        <v>40400</v>
      </c>
      <c r="G4907" s="9" t="str">
        <f ca="1">IFERROR(__xludf.DUMMYFUNCTION("""COMPUTED_VALUE"""),"1 USD = 85.9135 PKR")</f>
        <v>1 USD = 85.9135 PKR</v>
      </c>
      <c r="H4907" s="9" t="str">
        <f ca="1">IFERROR(__xludf.DUMMYFUNCTION("""COMPUTED_VALUE"""),"USD PKR rate for 10/08/2010")</f>
        <v>USD PKR rate for 10/08/2010</v>
      </c>
      <c r="I4907" s="9"/>
    </row>
    <row r="4908" spans="1:9" ht="14.25" customHeight="1" x14ac:dyDescent="0.3">
      <c r="A4908" s="10">
        <v>44625</v>
      </c>
      <c r="B4908" s="12">
        <v>179.08750000000001</v>
      </c>
      <c r="C4908" s="8">
        <f t="shared" si="39"/>
        <v>189.94057155835316</v>
      </c>
      <c r="D4908" s="9">
        <f t="shared" si="38"/>
        <v>75.172675114523543</v>
      </c>
      <c r="E4908" s="9"/>
      <c r="F4908" s="9">
        <f ca="1">IFERROR(__xludf.DUMMYFUNCTION("""COMPUTED_VALUE"""),40399)</f>
        <v>40399</v>
      </c>
      <c r="G4908" s="9" t="str">
        <f ca="1">IFERROR(__xludf.DUMMYFUNCTION("""COMPUTED_VALUE"""),"1 USD = 85.7145 PKR")</f>
        <v>1 USD = 85.7145 PKR</v>
      </c>
      <c r="H4908" s="9" t="str">
        <f ca="1">IFERROR(__xludf.DUMMYFUNCTION("""COMPUTED_VALUE"""),"USD PKR rate for 09/08/2010")</f>
        <v>USD PKR rate for 09/08/2010</v>
      </c>
      <c r="I4908" s="9"/>
    </row>
    <row r="4909" spans="1:9" ht="14.25" customHeight="1" x14ac:dyDescent="0.3">
      <c r="A4909" s="10">
        <v>44626</v>
      </c>
      <c r="B4909" s="12">
        <v>178.83590000000001</v>
      </c>
      <c r="C4909" s="8">
        <f t="shared" si="39"/>
        <v>189.97454238557819</v>
      </c>
      <c r="D4909" s="9">
        <f t="shared" si="38"/>
        <v>75.175412947320808</v>
      </c>
      <c r="E4909" s="9"/>
      <c r="F4909" s="9">
        <f ca="1">IFERROR(__xludf.DUMMYFUNCTION("""COMPUTED_VALUE"""),40398)</f>
        <v>40398</v>
      </c>
      <c r="G4909" s="9" t="str">
        <f ca="1">IFERROR(__xludf.DUMMYFUNCTION("""COMPUTED_VALUE"""),"1 USD = 85.4212 PKR")</f>
        <v>1 USD = 85.4212 PKR</v>
      </c>
      <c r="H4909" s="9" t="str">
        <f ca="1">IFERROR(__xludf.DUMMYFUNCTION("""COMPUTED_VALUE"""),"USD PKR rate for 08/08/2010")</f>
        <v>USD PKR rate for 08/08/2010</v>
      </c>
      <c r="I4909" s="9"/>
    </row>
    <row r="4910" spans="1:9" ht="14.25" customHeight="1" x14ac:dyDescent="0.3">
      <c r="A4910" s="10">
        <v>44627</v>
      </c>
      <c r="B4910" s="12">
        <v>177.88630000000001</v>
      </c>
      <c r="C4910" s="8">
        <f t="shared" si="39"/>
        <v>190.00851928847777</v>
      </c>
      <c r="D4910" s="9">
        <f t="shared" si="38"/>
        <v>75.178150780118074</v>
      </c>
      <c r="E4910" s="9"/>
      <c r="F4910" s="9">
        <f ca="1">IFERROR(__xludf.DUMMYFUNCTION("""COMPUTED_VALUE"""),40397)</f>
        <v>40397</v>
      </c>
      <c r="G4910" s="9" t="str">
        <f ca="1">IFERROR(__xludf.DUMMYFUNCTION("""COMPUTED_VALUE"""),"1 USD = 85.3796 PKR")</f>
        <v>1 USD = 85.3796 PKR</v>
      </c>
      <c r="H4910" s="9" t="str">
        <f ca="1">IFERROR(__xludf.DUMMYFUNCTION("""COMPUTED_VALUE"""),"USD PKR rate for 07/08/2010")</f>
        <v>USD PKR rate for 07/08/2010</v>
      </c>
      <c r="I4910" s="9"/>
    </row>
    <row r="4911" spans="1:9" ht="14.25" customHeight="1" x14ac:dyDescent="0.3">
      <c r="A4911" s="10">
        <v>44628</v>
      </c>
      <c r="B4911" s="12">
        <v>178.67949999999999</v>
      </c>
      <c r="C4911" s="8">
        <f t="shared" si="39"/>
        <v>190.04250226813861</v>
      </c>
      <c r="D4911" s="9">
        <f t="shared" si="38"/>
        <v>75.180888612915339</v>
      </c>
      <c r="E4911" s="9"/>
      <c r="F4911" s="9">
        <f ca="1">IFERROR(__xludf.DUMMYFUNCTION("""COMPUTED_VALUE"""),40396)</f>
        <v>40396</v>
      </c>
      <c r="G4911" s="9" t="str">
        <f ca="1">IFERROR(__xludf.DUMMYFUNCTION("""COMPUTED_VALUE"""),"1 USD = 85.4881 PKR")</f>
        <v>1 USD = 85.4881 PKR</v>
      </c>
      <c r="H4911" s="9" t="str">
        <f ca="1">IFERROR(__xludf.DUMMYFUNCTION("""COMPUTED_VALUE"""),"USD PKR rate for 06/08/2010")</f>
        <v>USD PKR rate for 06/08/2010</v>
      </c>
      <c r="I4911" s="9"/>
    </row>
    <row r="4912" spans="1:9" ht="14.25" customHeight="1" x14ac:dyDescent="0.3">
      <c r="A4912" s="10">
        <v>44629</v>
      </c>
      <c r="B4912" s="12">
        <v>178.98410000000001</v>
      </c>
      <c r="C4912" s="8">
        <f t="shared" si="39"/>
        <v>190.07649132564731</v>
      </c>
      <c r="D4912" s="9">
        <f t="shared" si="38"/>
        <v>75.183626445712605</v>
      </c>
      <c r="E4912" s="9"/>
      <c r="F4912" s="9">
        <f ca="1">IFERROR(__xludf.DUMMYFUNCTION("""COMPUTED_VALUE"""),40395)</f>
        <v>40395</v>
      </c>
      <c r="G4912" s="9" t="str">
        <f ca="1">IFERROR(__xludf.DUMMYFUNCTION("""COMPUTED_VALUE"""),"1 USD = 85.6804 PKR")</f>
        <v>1 USD = 85.6804 PKR</v>
      </c>
      <c r="H4912" s="9" t="str">
        <f ca="1">IFERROR(__xludf.DUMMYFUNCTION("""COMPUTED_VALUE"""),"USD PKR rate for 05/08/2010")</f>
        <v>USD PKR rate for 05/08/2010</v>
      </c>
      <c r="I4912" s="9"/>
    </row>
    <row r="4913" spans="1:9" ht="14.25" customHeight="1" x14ac:dyDescent="0.3">
      <c r="A4913" s="10">
        <v>44630</v>
      </c>
      <c r="B4913" s="12">
        <v>178.93090000000001</v>
      </c>
      <c r="C4913" s="8">
        <f t="shared" si="39"/>
        <v>190.11048646209125</v>
      </c>
      <c r="D4913" s="9">
        <f t="shared" si="38"/>
        <v>75.18636427850987</v>
      </c>
      <c r="E4913" s="9"/>
      <c r="F4913" s="9">
        <f ca="1">IFERROR(__xludf.DUMMYFUNCTION("""COMPUTED_VALUE"""),40394)</f>
        <v>40394</v>
      </c>
      <c r="G4913" s="9" t="str">
        <f ca="1">IFERROR(__xludf.DUMMYFUNCTION("""COMPUTED_VALUE"""),"1 USD = 85.8406 PKR")</f>
        <v>1 USD = 85.8406 PKR</v>
      </c>
      <c r="H4913" s="9" t="str">
        <f ca="1">IFERROR(__xludf.DUMMYFUNCTION("""COMPUTED_VALUE"""),"USD PKR rate for 04/08/2010")</f>
        <v>USD PKR rate for 04/08/2010</v>
      </c>
      <c r="I4913" s="9"/>
    </row>
    <row r="4914" spans="1:9" ht="14.25" customHeight="1" x14ac:dyDescent="0.3">
      <c r="A4914" s="10">
        <v>44631</v>
      </c>
      <c r="B4914" s="12">
        <v>178.69839999999999</v>
      </c>
      <c r="C4914" s="8">
        <f t="shared" si="39"/>
        <v>190.14448767855743</v>
      </c>
      <c r="D4914" s="9">
        <f t="shared" si="38"/>
        <v>75.189102111307136</v>
      </c>
      <c r="E4914" s="9"/>
      <c r="F4914" s="9">
        <f ca="1">IFERROR(__xludf.DUMMYFUNCTION("""COMPUTED_VALUE"""),40393)</f>
        <v>40393</v>
      </c>
      <c r="G4914" s="9" t="str">
        <f ca="1">IFERROR(__xludf.DUMMYFUNCTION("""COMPUTED_VALUE"""),"1 USD = 85.6969 PKR")</f>
        <v>1 USD = 85.6969 PKR</v>
      </c>
      <c r="H4914" s="9" t="str">
        <f ca="1">IFERROR(__xludf.DUMMYFUNCTION("""COMPUTED_VALUE"""),"USD PKR rate for 03/08/2010")</f>
        <v>USD PKR rate for 03/08/2010</v>
      </c>
      <c r="I4914" s="9"/>
    </row>
    <row r="4915" spans="1:9" ht="14.25" customHeight="1" x14ac:dyDescent="0.3">
      <c r="A4915" s="10">
        <v>44632</v>
      </c>
      <c r="B4915" s="12">
        <v>178.69319999999999</v>
      </c>
      <c r="C4915" s="8">
        <f t="shared" si="39"/>
        <v>190.17849497613335</v>
      </c>
      <c r="D4915" s="9">
        <f t="shared" si="38"/>
        <v>75.191839944104402</v>
      </c>
      <c r="E4915" s="9"/>
      <c r="F4915" s="9">
        <f ca="1">IFERROR(__xludf.DUMMYFUNCTION("""COMPUTED_VALUE"""),40392)</f>
        <v>40392</v>
      </c>
      <c r="G4915" s="9" t="str">
        <f ca="1">IFERROR(__xludf.DUMMYFUNCTION("""COMPUTED_VALUE"""),"1 USD = 85.2611 PKR")</f>
        <v>1 USD = 85.2611 PKR</v>
      </c>
      <c r="H4915" s="9" t="str">
        <f ca="1">IFERROR(__xludf.DUMMYFUNCTION("""COMPUTED_VALUE"""),"USD PKR rate for 02/08/2010")</f>
        <v>USD PKR rate for 02/08/2010</v>
      </c>
      <c r="I4915" s="9"/>
    </row>
    <row r="4916" spans="1:9" ht="14.25" customHeight="1" x14ac:dyDescent="0.3">
      <c r="A4916" s="10">
        <v>44633</v>
      </c>
      <c r="B4916" s="12">
        <v>178.8468</v>
      </c>
      <c r="C4916" s="8">
        <f t="shared" si="39"/>
        <v>190.21250835590649</v>
      </c>
      <c r="D4916" s="9">
        <f t="shared" si="38"/>
        <v>75.194577776901667</v>
      </c>
      <c r="E4916" s="9"/>
      <c r="F4916" s="9">
        <f ca="1">IFERROR(__xludf.DUMMYFUNCTION("""COMPUTED_VALUE"""),40391)</f>
        <v>40391</v>
      </c>
      <c r="G4916" s="9" t="str">
        <f ca="1">IFERROR(__xludf.DUMMYFUNCTION("""COMPUTED_VALUE"""),"1 USD = 85.1273 PKR")</f>
        <v>1 USD = 85.1273 PKR</v>
      </c>
      <c r="H4916" s="9" t="str">
        <f ca="1">IFERROR(__xludf.DUMMYFUNCTION("""COMPUTED_VALUE"""),"USD PKR rate for 01/08/2010")</f>
        <v>USD PKR rate for 01/08/2010</v>
      </c>
      <c r="I4916" s="9"/>
    </row>
    <row r="4917" spans="1:9" ht="14.25" customHeight="1" x14ac:dyDescent="0.3">
      <c r="A4917" s="10">
        <v>44634</v>
      </c>
      <c r="B4917" s="12">
        <v>179.12719999999999</v>
      </c>
      <c r="C4917" s="8">
        <f t="shared" si="39"/>
        <v>190.24652781896481</v>
      </c>
      <c r="D4917" s="9">
        <f t="shared" si="38"/>
        <v>75.197315609698933</v>
      </c>
      <c r="E4917" s="9"/>
      <c r="F4917" s="9">
        <f ca="1">IFERROR(__xludf.DUMMYFUNCTION("""COMPUTED_VALUE"""),40390)</f>
        <v>40390</v>
      </c>
      <c r="G4917" s="9" t="str">
        <f ca="1">IFERROR(__xludf.DUMMYFUNCTION("""COMPUTED_VALUE"""),"1 USD = 85.13 PKR")</f>
        <v>1 USD = 85.13 PKR</v>
      </c>
      <c r="H4917" s="9" t="str">
        <f ca="1">IFERROR(__xludf.DUMMYFUNCTION("""COMPUTED_VALUE"""),"USD PKR rate for 31/07/2010")</f>
        <v>USD PKR rate for 31/07/2010</v>
      </c>
      <c r="I4917" s="9"/>
    </row>
    <row r="4918" spans="1:9" ht="14.25" customHeight="1" x14ac:dyDescent="0.3">
      <c r="A4918" s="10">
        <v>44635</v>
      </c>
      <c r="B4918" s="12">
        <v>179.2405</v>
      </c>
      <c r="C4918" s="8">
        <f t="shared" si="39"/>
        <v>190.28055336639616</v>
      </c>
      <c r="D4918" s="9">
        <f t="shared" si="38"/>
        <v>75.200053442496198</v>
      </c>
      <c r="E4918" s="9"/>
      <c r="F4918" s="9">
        <f ca="1">IFERROR(__xludf.DUMMYFUNCTION("""COMPUTED_VALUE"""),40389)</f>
        <v>40389</v>
      </c>
      <c r="G4918" s="9" t="str">
        <f ca="1">IFERROR(__xludf.DUMMYFUNCTION("""COMPUTED_VALUE"""),"1 USD = 85.6166 PKR")</f>
        <v>1 USD = 85.6166 PKR</v>
      </c>
      <c r="H4918" s="9" t="str">
        <f ca="1">IFERROR(__xludf.DUMMYFUNCTION("""COMPUTED_VALUE"""),"USD PKR rate for 30/07/2010")</f>
        <v>USD PKR rate for 30/07/2010</v>
      </c>
      <c r="I4918" s="9"/>
    </row>
    <row r="4919" spans="1:9" ht="14.25" customHeight="1" x14ac:dyDescent="0.3">
      <c r="A4919" s="10">
        <v>44636</v>
      </c>
      <c r="B4919" s="12">
        <v>179.6926</v>
      </c>
      <c r="C4919" s="8">
        <f t="shared" si="39"/>
        <v>190.31458499928883</v>
      </c>
      <c r="D4919" s="9">
        <f t="shared" si="38"/>
        <v>75.202791275293464</v>
      </c>
      <c r="E4919" s="9"/>
      <c r="F4919" s="9">
        <f ca="1">IFERROR(__xludf.DUMMYFUNCTION("""COMPUTED_VALUE"""),40388)</f>
        <v>40388</v>
      </c>
      <c r="G4919" s="9" t="str">
        <f ca="1">IFERROR(__xludf.DUMMYFUNCTION("""COMPUTED_VALUE"""),"1 USD = 85.7108 PKR")</f>
        <v>1 USD = 85.7108 PKR</v>
      </c>
      <c r="H4919" s="9" t="str">
        <f ca="1">IFERROR(__xludf.DUMMYFUNCTION("""COMPUTED_VALUE"""),"USD PKR rate for 29/07/2010")</f>
        <v>USD PKR rate for 29/07/2010</v>
      </c>
      <c r="I4919" s="9"/>
    </row>
    <row r="4920" spans="1:9" ht="14.25" customHeight="1" x14ac:dyDescent="0.3">
      <c r="A4920" s="10">
        <v>44637</v>
      </c>
      <c r="B4920" s="12">
        <v>179.69329999999999</v>
      </c>
      <c r="C4920" s="8">
        <f t="shared" si="39"/>
        <v>190.34862271873112</v>
      </c>
      <c r="D4920" s="9">
        <f t="shared" si="38"/>
        <v>75.20552910809073</v>
      </c>
      <c r="E4920" s="9"/>
      <c r="F4920" s="9">
        <f ca="1">IFERROR(__xludf.DUMMYFUNCTION("""COMPUTED_VALUE"""),40387)</f>
        <v>40387</v>
      </c>
      <c r="G4920" s="9" t="str">
        <f ca="1">IFERROR(__xludf.DUMMYFUNCTION("""COMPUTED_VALUE"""),"1 USD = 85.5231 PKR")</f>
        <v>1 USD = 85.5231 PKR</v>
      </c>
      <c r="H4920" s="9" t="str">
        <f ca="1">IFERROR(__xludf.DUMMYFUNCTION("""COMPUTED_VALUE"""),"USD PKR rate for 28/07/2010")</f>
        <v>USD PKR rate for 28/07/2010</v>
      </c>
      <c r="I4920" s="9"/>
    </row>
    <row r="4921" spans="1:9" ht="14.25" customHeight="1" x14ac:dyDescent="0.3">
      <c r="A4921" s="10">
        <v>44638</v>
      </c>
      <c r="B4921" s="12">
        <v>179.1816</v>
      </c>
      <c r="C4921" s="8">
        <f t="shared" si="39"/>
        <v>190.38266652581152</v>
      </c>
      <c r="D4921" s="9">
        <f t="shared" si="38"/>
        <v>75.208266940887995</v>
      </c>
      <c r="E4921" s="9"/>
      <c r="F4921" s="9">
        <f ca="1">IFERROR(__xludf.DUMMYFUNCTION("""COMPUTED_VALUE"""),40386)</f>
        <v>40386</v>
      </c>
      <c r="G4921" s="9" t="str">
        <f ca="1">IFERROR(__xludf.DUMMYFUNCTION("""COMPUTED_VALUE"""),"1 USD = 85.4949 PKR")</f>
        <v>1 USD = 85.4949 PKR</v>
      </c>
      <c r="H4921" s="9" t="str">
        <f ca="1">IFERROR(__xludf.DUMMYFUNCTION("""COMPUTED_VALUE"""),"USD PKR rate for 27/07/2010")</f>
        <v>USD PKR rate for 27/07/2010</v>
      </c>
      <c r="I4921" s="9"/>
    </row>
    <row r="4922" spans="1:9" ht="14.25" customHeight="1" x14ac:dyDescent="0.3">
      <c r="A4922" s="10">
        <v>44639</v>
      </c>
      <c r="B4922" s="12">
        <v>179.1816</v>
      </c>
      <c r="C4922" s="8">
        <f t="shared" si="39"/>
        <v>190.41671642161904</v>
      </c>
      <c r="D4922" s="9">
        <f t="shared" si="38"/>
        <v>75.211004773685261</v>
      </c>
      <c r="E4922" s="9"/>
      <c r="F4922" s="9">
        <f ca="1">IFERROR(__xludf.DUMMYFUNCTION("""COMPUTED_VALUE"""),40385)</f>
        <v>40385</v>
      </c>
      <c r="G4922" s="9" t="str">
        <f ca="1">IFERROR(__xludf.DUMMYFUNCTION("""COMPUTED_VALUE"""),"1 USD = 85.2423 PKR")</f>
        <v>1 USD = 85.2423 PKR</v>
      </c>
      <c r="H4922" s="9" t="str">
        <f ca="1">IFERROR(__xludf.DUMMYFUNCTION("""COMPUTED_VALUE"""),"USD PKR rate for 26/07/2010")</f>
        <v>USD PKR rate for 26/07/2010</v>
      </c>
      <c r="I4922" s="9"/>
    </row>
    <row r="4923" spans="1:9" ht="14.25" customHeight="1" x14ac:dyDescent="0.3">
      <c r="A4923" s="10">
        <v>44640</v>
      </c>
      <c r="B4923" s="12">
        <v>180.6729</v>
      </c>
      <c r="C4923" s="8">
        <f t="shared" si="39"/>
        <v>190.45077240724257</v>
      </c>
      <c r="D4923" s="9">
        <f t="shared" si="38"/>
        <v>75.213742606482526</v>
      </c>
      <c r="E4923" s="9"/>
      <c r="F4923" s="9">
        <f ca="1">IFERROR(__xludf.DUMMYFUNCTION("""COMPUTED_VALUE"""),40384)</f>
        <v>40384</v>
      </c>
      <c r="G4923" s="9" t="str">
        <f ca="1">IFERROR(__xludf.DUMMYFUNCTION("""COMPUTED_VALUE"""),"1 USD = 85.1493 PKR")</f>
        <v>1 USD = 85.1493 PKR</v>
      </c>
      <c r="H4923" s="9" t="str">
        <f ca="1">IFERROR(__xludf.DUMMYFUNCTION("""COMPUTED_VALUE"""),"USD PKR rate for 25/07/2010")</f>
        <v>USD PKR rate for 25/07/2010</v>
      </c>
      <c r="I4923" s="9"/>
    </row>
    <row r="4924" spans="1:9" ht="14.25" customHeight="1" x14ac:dyDescent="0.3">
      <c r="A4924" s="10">
        <v>44641</v>
      </c>
      <c r="B4924" s="12">
        <v>181.4753</v>
      </c>
      <c r="C4924" s="8">
        <f t="shared" si="39"/>
        <v>190.48483448377127</v>
      </c>
      <c r="D4924" s="9">
        <f t="shared" si="38"/>
        <v>75.216480439279792</v>
      </c>
      <c r="E4924" s="9"/>
      <c r="F4924" s="9">
        <f ca="1">IFERROR(__xludf.DUMMYFUNCTION("""COMPUTED_VALUE"""),40383)</f>
        <v>40383</v>
      </c>
      <c r="G4924" s="9" t="str">
        <f ca="1">IFERROR(__xludf.DUMMYFUNCTION("""COMPUTED_VALUE"""),"1 USD = 85.1552 PKR")</f>
        <v>1 USD = 85.1552 PKR</v>
      </c>
      <c r="H4924" s="9" t="str">
        <f ca="1">IFERROR(__xludf.DUMMYFUNCTION("""COMPUTED_VALUE"""),"USD PKR rate for 24/07/2010")</f>
        <v>USD PKR rate for 24/07/2010</v>
      </c>
      <c r="I4924" s="9"/>
    </row>
    <row r="4925" spans="1:9" ht="14.25" customHeight="1" x14ac:dyDescent="0.3">
      <c r="A4925" s="10">
        <v>44642</v>
      </c>
      <c r="B4925" s="12">
        <v>181.35480000000001</v>
      </c>
      <c r="C4925" s="8">
        <f t="shared" si="39"/>
        <v>190.51890265229443</v>
      </c>
      <c r="D4925" s="9">
        <f t="shared" si="38"/>
        <v>75.219218272077057</v>
      </c>
      <c r="E4925" s="9"/>
      <c r="F4925" s="9">
        <f ca="1">IFERROR(__xludf.DUMMYFUNCTION("""COMPUTED_VALUE"""),40382)</f>
        <v>40382</v>
      </c>
      <c r="G4925" s="9" t="str">
        <f ca="1">IFERROR(__xludf.DUMMYFUNCTION("""COMPUTED_VALUE"""),"1 USD = 85.2887 PKR")</f>
        <v>1 USD = 85.2887 PKR</v>
      </c>
      <c r="H4925" s="9" t="str">
        <f ca="1">IFERROR(__xludf.DUMMYFUNCTION("""COMPUTED_VALUE"""),"USD PKR rate for 23/07/2010")</f>
        <v>USD PKR rate for 23/07/2010</v>
      </c>
      <c r="I4925" s="9"/>
    </row>
    <row r="4926" spans="1:9" ht="14.25" customHeight="1" x14ac:dyDescent="0.3">
      <c r="A4926" s="10">
        <v>44643</v>
      </c>
      <c r="B4926" s="12">
        <v>181.82380000000001</v>
      </c>
      <c r="C4926" s="8">
        <f t="shared" si="39"/>
        <v>190.55297691390163</v>
      </c>
      <c r="D4926" s="9">
        <f t="shared" si="38"/>
        <v>75.221956104874323</v>
      </c>
      <c r="E4926" s="9"/>
      <c r="F4926" s="9">
        <f ca="1">IFERROR(__xludf.DUMMYFUNCTION("""COMPUTED_VALUE"""),40381)</f>
        <v>40381</v>
      </c>
      <c r="G4926" s="9" t="str">
        <f ca="1">IFERROR(__xludf.DUMMYFUNCTION("""COMPUTED_VALUE"""),"1 USD = 85.3371 PKR")</f>
        <v>1 USD = 85.3371 PKR</v>
      </c>
      <c r="H4926" s="9" t="str">
        <f ca="1">IFERROR(__xludf.DUMMYFUNCTION("""COMPUTED_VALUE"""),"USD PKR rate for 22/07/2010")</f>
        <v>USD PKR rate for 22/07/2010</v>
      </c>
      <c r="I4926" s="9"/>
    </row>
    <row r="4927" spans="1:9" ht="14.25" customHeight="1" x14ac:dyDescent="0.3">
      <c r="A4927" s="10">
        <v>44644</v>
      </c>
      <c r="B4927" s="12">
        <v>181.99639999999999</v>
      </c>
      <c r="C4927" s="8">
        <f t="shared" si="39"/>
        <v>190.58705726968265</v>
      </c>
      <c r="D4927" s="9">
        <f t="shared" si="38"/>
        <v>75.224693937671589</v>
      </c>
      <c r="E4927" s="9"/>
      <c r="F4927" s="9">
        <f ca="1">IFERROR(__xludf.DUMMYFUNCTION("""COMPUTED_VALUE"""),40380)</f>
        <v>40380</v>
      </c>
      <c r="G4927" s="9" t="str">
        <f ca="1">IFERROR(__xludf.DUMMYFUNCTION("""COMPUTED_VALUE"""),"1 USD = 85.5171 PKR")</f>
        <v>1 USD = 85.5171 PKR</v>
      </c>
      <c r="H4927" s="9" t="str">
        <f ca="1">IFERROR(__xludf.DUMMYFUNCTION("""COMPUTED_VALUE"""),"USD PKR rate for 21/07/2010")</f>
        <v>USD PKR rate for 21/07/2010</v>
      </c>
      <c r="I4927" s="9"/>
    </row>
    <row r="4928" spans="1:9" ht="14.25" customHeight="1" x14ac:dyDescent="0.3">
      <c r="A4928" s="10">
        <v>44645</v>
      </c>
      <c r="B4928" s="12">
        <v>181.5504</v>
      </c>
      <c r="C4928" s="8">
        <f t="shared" si="39"/>
        <v>190.62114372072742</v>
      </c>
      <c r="D4928" s="9">
        <f t="shared" si="38"/>
        <v>75.227431770468854</v>
      </c>
      <c r="E4928" s="9"/>
      <c r="F4928" s="9">
        <f ca="1">IFERROR(__xludf.DUMMYFUNCTION("""COMPUTED_VALUE"""),40379)</f>
        <v>40379</v>
      </c>
      <c r="G4928" s="9" t="str">
        <f ca="1">IFERROR(__xludf.DUMMYFUNCTION("""COMPUTED_VALUE"""),"1 USD = 85.6442 PKR")</f>
        <v>1 USD = 85.6442 PKR</v>
      </c>
      <c r="H4928" s="9" t="str">
        <f ca="1">IFERROR(__xludf.DUMMYFUNCTION("""COMPUTED_VALUE"""),"USD PKR rate for 20/07/2010")</f>
        <v>USD PKR rate for 20/07/2010</v>
      </c>
      <c r="I4928" s="9"/>
    </row>
    <row r="4929" spans="1:9" ht="14.25" customHeight="1" x14ac:dyDescent="0.3">
      <c r="A4929" s="10">
        <v>44646</v>
      </c>
      <c r="B4929" s="12">
        <v>181.54320000000001</v>
      </c>
      <c r="C4929" s="8">
        <f t="shared" si="39"/>
        <v>190.655236268126</v>
      </c>
      <c r="D4929" s="9">
        <f t="shared" si="38"/>
        <v>75.23016960326612</v>
      </c>
      <c r="E4929" s="9"/>
      <c r="F4929" s="9">
        <f ca="1">IFERROR(__xludf.DUMMYFUNCTION("""COMPUTED_VALUE"""),40378)</f>
        <v>40378</v>
      </c>
      <c r="G4929" s="9" t="str">
        <f ca="1">IFERROR(__xludf.DUMMYFUNCTION("""COMPUTED_VALUE"""),"1 USD = 85.803 PKR")</f>
        <v>1 USD = 85.803 PKR</v>
      </c>
      <c r="H4929" s="9" t="str">
        <f ca="1">IFERROR(__xludf.DUMMYFUNCTION("""COMPUTED_VALUE"""),"USD PKR rate for 19/07/2010")</f>
        <v>USD PKR rate for 19/07/2010</v>
      </c>
      <c r="I4929" s="9"/>
    </row>
    <row r="4930" spans="1:9" ht="14.25" customHeight="1" x14ac:dyDescent="0.3">
      <c r="A4930" s="10">
        <v>44647</v>
      </c>
      <c r="B4930" s="12">
        <v>182.5454</v>
      </c>
      <c r="C4930" s="8">
        <f t="shared" si="39"/>
        <v>190.68933491296869</v>
      </c>
      <c r="D4930" s="9">
        <f t="shared" si="38"/>
        <v>75.232907436063385</v>
      </c>
      <c r="E4930" s="9"/>
      <c r="F4930" s="9">
        <f ca="1">IFERROR(__xludf.DUMMYFUNCTION("""COMPUTED_VALUE"""),40377)</f>
        <v>40377</v>
      </c>
      <c r="G4930" s="9" t="str">
        <f ca="1">IFERROR(__xludf.DUMMYFUNCTION("""COMPUTED_VALUE"""),"1 USD = 85.9247 PKR")</f>
        <v>1 USD = 85.9247 PKR</v>
      </c>
      <c r="H4930" s="9" t="str">
        <f ca="1">IFERROR(__xludf.DUMMYFUNCTION("""COMPUTED_VALUE"""),"USD PKR rate for 18/07/2010")</f>
        <v>USD PKR rate for 18/07/2010</v>
      </c>
      <c r="I4930" s="9"/>
    </row>
    <row r="4931" spans="1:9" ht="14.25" customHeight="1" x14ac:dyDescent="0.3">
      <c r="A4931" s="10">
        <v>44648</v>
      </c>
      <c r="B4931" s="12">
        <v>182.369</v>
      </c>
      <c r="C4931" s="8">
        <f t="shared" si="39"/>
        <v>190.72343965634624</v>
      </c>
      <c r="D4931" s="9">
        <f t="shared" si="38"/>
        <v>75.235645268860651</v>
      </c>
      <c r="E4931" s="9"/>
      <c r="F4931" s="9">
        <f ca="1">IFERROR(__xludf.DUMMYFUNCTION("""COMPUTED_VALUE"""),40376)</f>
        <v>40376</v>
      </c>
      <c r="G4931" s="9" t="str">
        <f ca="1">IFERROR(__xludf.DUMMYFUNCTION("""COMPUTED_VALUE"""),"1 USD = 85.9282 PKR")</f>
        <v>1 USD = 85.9282 PKR</v>
      </c>
      <c r="H4931" s="9" t="str">
        <f ca="1">IFERROR(__xludf.DUMMYFUNCTION("""COMPUTED_VALUE"""),"USD PKR rate for 17/07/2010")</f>
        <v>USD PKR rate for 17/07/2010</v>
      </c>
      <c r="I4931" s="9"/>
    </row>
    <row r="4932" spans="1:9" ht="14.25" customHeight="1" x14ac:dyDescent="0.3">
      <c r="A4932" s="10">
        <v>44649</v>
      </c>
      <c r="B4932" s="12">
        <v>182.44059999999999</v>
      </c>
      <c r="C4932" s="8">
        <f t="shared" si="39"/>
        <v>190.75755049934924</v>
      </c>
      <c r="D4932" s="9">
        <f t="shared" si="38"/>
        <v>75.238383101657917</v>
      </c>
      <c r="E4932" s="9"/>
      <c r="F4932" s="9">
        <f ca="1">IFERROR(__xludf.DUMMYFUNCTION("""COMPUTED_VALUE"""),40375)</f>
        <v>40375</v>
      </c>
      <c r="G4932" s="9" t="str">
        <f ca="1">IFERROR(__xludf.DUMMYFUNCTION("""COMPUTED_VALUE"""),"1 USD = 85.5105 PKR")</f>
        <v>1 USD = 85.5105 PKR</v>
      </c>
      <c r="H4932" s="9" t="str">
        <f ca="1">IFERROR(__xludf.DUMMYFUNCTION("""COMPUTED_VALUE"""),"USD PKR rate for 16/07/2010")</f>
        <v>USD PKR rate for 16/07/2010</v>
      </c>
      <c r="I4932" s="9"/>
    </row>
    <row r="4933" spans="1:9" ht="14.25" customHeight="1" x14ac:dyDescent="0.3">
      <c r="A4933" s="10">
        <v>44650</v>
      </c>
      <c r="B4933" s="12">
        <v>182.55510000000001</v>
      </c>
      <c r="C4933" s="8">
        <f t="shared" si="39"/>
        <v>190.79166744306866</v>
      </c>
      <c r="D4933" s="9">
        <f t="shared" si="38"/>
        <v>75.241120934455182</v>
      </c>
      <c r="E4933" s="9"/>
      <c r="F4933" s="9">
        <f ca="1">IFERROR(__xludf.DUMMYFUNCTION("""COMPUTED_VALUE"""),40374)</f>
        <v>40374</v>
      </c>
      <c r="G4933" s="9" t="str">
        <f ca="1">IFERROR(__xludf.DUMMYFUNCTION("""COMPUTED_VALUE"""),"1 USD = 85.3262 PKR")</f>
        <v>1 USD = 85.3262 PKR</v>
      </c>
      <c r="H4933" s="9" t="str">
        <f ca="1">IFERROR(__xludf.DUMMYFUNCTION("""COMPUTED_VALUE"""),"USD PKR rate for 15/07/2010")</f>
        <v>USD PKR rate for 15/07/2010</v>
      </c>
      <c r="I4933" s="9"/>
    </row>
    <row r="4934" spans="1:9" ht="14.25" customHeight="1" x14ac:dyDescent="0.3">
      <c r="A4934" s="10">
        <v>44651</v>
      </c>
      <c r="B4934" s="12">
        <v>182.3519</v>
      </c>
      <c r="C4934" s="8">
        <f t="shared" si="39"/>
        <v>190.82579048859549</v>
      </c>
      <c r="D4934" s="9">
        <f t="shared" si="38"/>
        <v>75.243858767252448</v>
      </c>
      <c r="E4934" s="9"/>
      <c r="F4934" s="9">
        <f ca="1">IFERROR(__xludf.DUMMYFUNCTION("""COMPUTED_VALUE"""),40373)</f>
        <v>40373</v>
      </c>
      <c r="G4934" s="9" t="str">
        <f ca="1">IFERROR(__xludf.DUMMYFUNCTION("""COMPUTED_VALUE"""),"1 USD = 85.4875 PKR")</f>
        <v>1 USD = 85.4875 PKR</v>
      </c>
      <c r="H4934" s="9" t="str">
        <f ca="1">IFERROR(__xludf.DUMMYFUNCTION("""COMPUTED_VALUE"""),"USD PKR rate for 14/07/2010")</f>
        <v>USD PKR rate for 14/07/2010</v>
      </c>
      <c r="I4934" s="9"/>
    </row>
    <row r="4935" spans="1:9" ht="14.25" customHeight="1" x14ac:dyDescent="0.3">
      <c r="A4935" s="10">
        <v>44652</v>
      </c>
      <c r="B4935" s="12">
        <v>183.8485</v>
      </c>
      <c r="C4935" s="8">
        <f t="shared" si="39"/>
        <v>190.85991963702114</v>
      </c>
      <c r="D4935" s="9">
        <f t="shared" si="38"/>
        <v>75.246596600049713</v>
      </c>
      <c r="E4935" s="9"/>
      <c r="F4935" s="9">
        <f ca="1">IFERROR(__xludf.DUMMYFUNCTION("""COMPUTED_VALUE"""),40372)</f>
        <v>40372</v>
      </c>
      <c r="G4935" s="9" t="str">
        <f ca="1">IFERROR(__xludf.DUMMYFUNCTION("""COMPUTED_VALUE"""),"1 USD = 85.5459 PKR")</f>
        <v>1 USD = 85.5459 PKR</v>
      </c>
      <c r="H4935" s="9" t="str">
        <f ca="1">IFERROR(__xludf.DUMMYFUNCTION("""COMPUTED_VALUE"""),"USD PKR rate for 13/07/2010")</f>
        <v>USD PKR rate for 13/07/2010</v>
      </c>
      <c r="I4935" s="9"/>
    </row>
    <row r="4936" spans="1:9" ht="14.25" customHeight="1" x14ac:dyDescent="0.3">
      <c r="A4936" s="10">
        <v>44653</v>
      </c>
      <c r="B4936" s="12">
        <v>184.79259999999999</v>
      </c>
      <c r="C4936" s="8">
        <f t="shared" si="39"/>
        <v>190.89405488943709</v>
      </c>
      <c r="D4936" s="9">
        <f t="shared" si="38"/>
        <v>75.249334432846979</v>
      </c>
      <c r="E4936" s="9"/>
      <c r="F4936" s="9">
        <f ca="1">IFERROR(__xludf.DUMMYFUNCTION("""COMPUTED_VALUE"""),40371)</f>
        <v>40371</v>
      </c>
      <c r="G4936" s="9" t="str">
        <f ca="1">IFERROR(__xludf.DUMMYFUNCTION("""COMPUTED_VALUE"""),"1 USD = 85.6547 PKR")</f>
        <v>1 USD = 85.6547 PKR</v>
      </c>
      <c r="H4936" s="9" t="str">
        <f ca="1">IFERROR(__xludf.DUMMYFUNCTION("""COMPUTED_VALUE"""),"USD PKR rate for 12/07/2010")</f>
        <v>USD PKR rate for 12/07/2010</v>
      </c>
      <c r="I4936" s="9"/>
    </row>
    <row r="4937" spans="1:9" ht="14.25" customHeight="1" x14ac:dyDescent="0.3">
      <c r="A4937" s="10">
        <v>44654</v>
      </c>
      <c r="B4937" s="12">
        <v>184.59639999999999</v>
      </c>
      <c r="C4937" s="8">
        <f t="shared" si="39"/>
        <v>190.92819624693504</v>
      </c>
      <c r="D4937" s="9">
        <f t="shared" si="38"/>
        <v>75.252072265644244</v>
      </c>
      <c r="E4937" s="9"/>
      <c r="F4937" s="9">
        <f ca="1">IFERROR(__xludf.DUMMYFUNCTION("""COMPUTED_VALUE"""),40370)</f>
        <v>40370</v>
      </c>
      <c r="G4937" s="9" t="str">
        <f ca="1">IFERROR(__xludf.DUMMYFUNCTION("""COMPUTED_VALUE"""),"1 USD = 86.0582 PKR")</f>
        <v>1 USD = 86.0582 PKR</v>
      </c>
      <c r="H4937" s="9" t="str">
        <f ca="1">IFERROR(__xludf.DUMMYFUNCTION("""COMPUTED_VALUE"""),"USD PKR rate for 11/07/2010")</f>
        <v>USD PKR rate for 11/07/2010</v>
      </c>
      <c r="I4937" s="9"/>
    </row>
    <row r="4938" spans="1:9" ht="14.25" customHeight="1" x14ac:dyDescent="0.3">
      <c r="A4938" s="10">
        <v>44655</v>
      </c>
      <c r="B4938" s="12">
        <v>184.09530000000001</v>
      </c>
      <c r="C4938" s="8">
        <f t="shared" si="39"/>
        <v>190.96234371060683</v>
      </c>
      <c r="D4938" s="9">
        <f t="shared" si="38"/>
        <v>75.25481009844151</v>
      </c>
      <c r="E4938" s="9"/>
      <c r="F4938" s="9">
        <f ca="1">IFERROR(__xludf.DUMMYFUNCTION("""COMPUTED_VALUE"""),40369)</f>
        <v>40369</v>
      </c>
      <c r="G4938" s="9" t="str">
        <f ca="1">IFERROR(__xludf.DUMMYFUNCTION("""COMPUTED_VALUE"""),"1 USD = 86.0356 PKR")</f>
        <v>1 USD = 86.0356 PKR</v>
      </c>
      <c r="H4938" s="9" t="str">
        <f ca="1">IFERROR(__xludf.DUMMYFUNCTION("""COMPUTED_VALUE"""),"USD PKR rate for 10/07/2010")</f>
        <v>USD PKR rate for 10/07/2010</v>
      </c>
      <c r="I4938" s="9"/>
    </row>
    <row r="4939" spans="1:9" ht="14.25" customHeight="1" x14ac:dyDescent="0.3">
      <c r="A4939" s="10">
        <v>44656</v>
      </c>
      <c r="B4939" s="12">
        <v>184.48060000000001</v>
      </c>
      <c r="C4939" s="8">
        <f t="shared" si="39"/>
        <v>190.99649728154444</v>
      </c>
      <c r="D4939" s="9">
        <f t="shared" si="38"/>
        <v>75.257547931238776</v>
      </c>
      <c r="E4939" s="9"/>
      <c r="F4939" s="9">
        <f ca="1">IFERROR(__xludf.DUMMYFUNCTION("""COMPUTED_VALUE"""),40368)</f>
        <v>40368</v>
      </c>
      <c r="G4939" s="9" t="str">
        <f ca="1">IFERROR(__xludf.DUMMYFUNCTION("""COMPUTED_VALUE"""),"1 USD = 85.8424 PKR")</f>
        <v>1 USD = 85.8424 PKR</v>
      </c>
      <c r="H4939" s="9" t="str">
        <f ca="1">IFERROR(__xludf.DUMMYFUNCTION("""COMPUTED_VALUE"""),"USD PKR rate for 09/07/2010")</f>
        <v>USD PKR rate for 09/07/2010</v>
      </c>
      <c r="I4939" s="9"/>
    </row>
    <row r="4940" spans="1:9" ht="14.25" customHeight="1" x14ac:dyDescent="0.3">
      <c r="A4940" s="10">
        <v>44657</v>
      </c>
      <c r="B4940" s="12">
        <v>186.0514</v>
      </c>
      <c r="C4940" s="8">
        <f t="shared" si="39"/>
        <v>191.03065696084047</v>
      </c>
      <c r="D4940" s="9">
        <f t="shared" si="38"/>
        <v>75.260285764036041</v>
      </c>
      <c r="E4940" s="9"/>
      <c r="F4940" s="9">
        <f ca="1">IFERROR(__xludf.DUMMYFUNCTION("""COMPUTED_VALUE"""),40367)</f>
        <v>40367</v>
      </c>
      <c r="G4940" s="9" t="str">
        <f ca="1">IFERROR(__xludf.DUMMYFUNCTION("""COMPUTED_VALUE"""),"1 USD = 85.8776 PKR")</f>
        <v>1 USD = 85.8776 PKR</v>
      </c>
      <c r="H4940" s="9" t="str">
        <f ca="1">IFERROR(__xludf.DUMMYFUNCTION("""COMPUTED_VALUE"""),"USD PKR rate for 08/07/2010")</f>
        <v>USD PKR rate for 08/07/2010</v>
      </c>
      <c r="I4940" s="9"/>
    </row>
    <row r="4941" spans="1:9" ht="14.25" customHeight="1" x14ac:dyDescent="0.3">
      <c r="A4941" s="10">
        <v>44658</v>
      </c>
      <c r="B4941" s="12">
        <v>186.05420000000001</v>
      </c>
      <c r="C4941" s="8">
        <f t="shared" si="39"/>
        <v>191.06482274958722</v>
      </c>
      <c r="D4941" s="9">
        <f t="shared" si="38"/>
        <v>75.263023596833307</v>
      </c>
      <c r="E4941" s="9"/>
      <c r="F4941" s="9">
        <f ca="1">IFERROR(__xludf.DUMMYFUNCTION("""COMPUTED_VALUE"""),40366)</f>
        <v>40366</v>
      </c>
      <c r="G4941" s="9" t="str">
        <f ca="1">IFERROR(__xludf.DUMMYFUNCTION("""COMPUTED_VALUE"""),"1 USD = 85.5308 PKR")</f>
        <v>1 USD = 85.5308 PKR</v>
      </c>
      <c r="H4941" s="9" t="str">
        <f ca="1">IFERROR(__xludf.DUMMYFUNCTION("""COMPUTED_VALUE"""),"USD PKR rate for 07/07/2010")</f>
        <v>USD PKR rate for 07/07/2010</v>
      </c>
      <c r="I4941" s="9"/>
    </row>
    <row r="4942" spans="1:9" ht="14.25" customHeight="1" x14ac:dyDescent="0.3">
      <c r="A4942" s="10">
        <v>44659</v>
      </c>
      <c r="B4942" s="12">
        <v>186.28059999999999</v>
      </c>
      <c r="C4942" s="8">
        <f t="shared" si="39"/>
        <v>191.09899464887738</v>
      </c>
      <c r="D4942" s="9">
        <f t="shared" si="38"/>
        <v>75.265761429630572</v>
      </c>
      <c r="E4942" s="9"/>
      <c r="F4942" s="9">
        <f ca="1">IFERROR(__xludf.DUMMYFUNCTION("""COMPUTED_VALUE"""),40365)</f>
        <v>40365</v>
      </c>
      <c r="G4942" s="9" t="str">
        <f ca="1">IFERROR(__xludf.DUMMYFUNCTION("""COMPUTED_VALUE"""),"1 USD = 85.6129 PKR")</f>
        <v>1 USD = 85.6129 PKR</v>
      </c>
      <c r="H4942" s="9" t="str">
        <f ca="1">IFERROR(__xludf.DUMMYFUNCTION("""COMPUTED_VALUE"""),"USD PKR rate for 06/07/2010")</f>
        <v>USD PKR rate for 06/07/2010</v>
      </c>
      <c r="I4942" s="9"/>
    </row>
    <row r="4943" spans="1:9" ht="14.25" customHeight="1" x14ac:dyDescent="0.3">
      <c r="A4943" s="10">
        <v>44660</v>
      </c>
      <c r="B4943" s="12">
        <v>186.28059999999999</v>
      </c>
      <c r="C4943" s="8">
        <f t="shared" si="39"/>
        <v>191.13317265980382</v>
      </c>
      <c r="D4943" s="9">
        <f t="shared" si="38"/>
        <v>75.268499262427838</v>
      </c>
      <c r="E4943" s="9"/>
      <c r="F4943" s="9">
        <f ca="1">IFERROR(__xludf.DUMMYFUNCTION("""COMPUTED_VALUE"""),40364)</f>
        <v>40364</v>
      </c>
      <c r="G4943" s="9" t="str">
        <f ca="1">IFERROR(__xludf.DUMMYFUNCTION("""COMPUTED_VALUE"""),"1 USD = 85.7812 PKR")</f>
        <v>1 USD = 85.7812 PKR</v>
      </c>
      <c r="H4943" s="9" t="str">
        <f ca="1">IFERROR(__xludf.DUMMYFUNCTION("""COMPUTED_VALUE"""),"USD PKR rate for 05/07/2010")</f>
        <v>USD PKR rate for 05/07/2010</v>
      </c>
      <c r="I4943" s="9"/>
    </row>
    <row r="4944" spans="1:9" ht="14.25" customHeight="1" x14ac:dyDescent="0.3">
      <c r="A4944" s="10">
        <v>44661</v>
      </c>
      <c r="B4944" s="12">
        <v>186.26650000000001</v>
      </c>
      <c r="C4944" s="8">
        <f t="shared" si="39"/>
        <v>191.16735678345955</v>
      </c>
      <c r="D4944" s="9">
        <f t="shared" si="38"/>
        <v>75.271237095225104</v>
      </c>
      <c r="E4944" s="9"/>
      <c r="F4944" s="9">
        <f ca="1">IFERROR(__xludf.DUMMYFUNCTION("""COMPUTED_VALUE"""),40363)</f>
        <v>40363</v>
      </c>
      <c r="G4944" s="9" t="str">
        <f ca="1">IFERROR(__xludf.DUMMYFUNCTION("""COMPUTED_VALUE"""),"1 USD = 85.6168 PKR")</f>
        <v>1 USD = 85.6168 PKR</v>
      </c>
      <c r="H4944" s="9" t="str">
        <f ca="1">IFERROR(__xludf.DUMMYFUNCTION("""COMPUTED_VALUE"""),"USD PKR rate for 04/07/2010")</f>
        <v>USD PKR rate for 04/07/2010</v>
      </c>
      <c r="I4944" s="9"/>
    </row>
    <row r="4945" spans="1:9" ht="14.25" customHeight="1" x14ac:dyDescent="0.3">
      <c r="A4945" s="10">
        <v>44662</v>
      </c>
      <c r="B4945" s="12">
        <v>182.9657</v>
      </c>
      <c r="C4945" s="8">
        <f t="shared" si="39"/>
        <v>191.20154702093794</v>
      </c>
      <c r="D4945" s="9">
        <f t="shared" si="38"/>
        <v>75.273974928022369</v>
      </c>
      <c r="E4945" s="9"/>
      <c r="F4945" s="9">
        <f ca="1">IFERROR(__xludf.DUMMYFUNCTION("""COMPUTED_VALUE"""),40362)</f>
        <v>40362</v>
      </c>
      <c r="G4945" s="9" t="str">
        <f ca="1">IFERROR(__xludf.DUMMYFUNCTION("""COMPUTED_VALUE"""),"1 USD = 85.5843 PKR")</f>
        <v>1 USD = 85.5843 PKR</v>
      </c>
      <c r="H4945" s="9" t="str">
        <f ca="1">IFERROR(__xludf.DUMMYFUNCTION("""COMPUTED_VALUE"""),"USD PKR rate for 03/07/2010")</f>
        <v>USD PKR rate for 03/07/2010</v>
      </c>
      <c r="I4945" s="9"/>
    </row>
    <row r="4946" spans="1:9" ht="14.25" customHeight="1" x14ac:dyDescent="0.3">
      <c r="A4946" s="10">
        <v>44663</v>
      </c>
      <c r="B4946" s="12">
        <v>182.0462</v>
      </c>
      <c r="C4946" s="8">
        <f t="shared" si="39"/>
        <v>191.23574337333235</v>
      </c>
      <c r="D4946" s="9">
        <f t="shared" si="38"/>
        <v>75.276712760819635</v>
      </c>
      <c r="E4946" s="9"/>
      <c r="F4946" s="9">
        <f ca="1">IFERROR(__xludf.DUMMYFUNCTION("""COMPUTED_VALUE"""),40361)</f>
        <v>40361</v>
      </c>
      <c r="G4946" s="9" t="str">
        <f ca="1">IFERROR(__xludf.DUMMYFUNCTION("""COMPUTED_VALUE"""),"1 USD = 85.7514 PKR")</f>
        <v>1 USD = 85.7514 PKR</v>
      </c>
      <c r="H4946" s="9" t="str">
        <f ca="1">IFERROR(__xludf.DUMMYFUNCTION("""COMPUTED_VALUE"""),"USD PKR rate for 02/07/2010")</f>
        <v>USD PKR rate for 02/07/2010</v>
      </c>
      <c r="I4946" s="9"/>
    </row>
    <row r="4947" spans="1:9" ht="14.25" customHeight="1" x14ac:dyDescent="0.3">
      <c r="A4947" s="10">
        <v>44664</v>
      </c>
      <c r="B4947" s="12">
        <v>181.59190000000001</v>
      </c>
      <c r="C4947" s="8">
        <f t="shared" si="39"/>
        <v>191.2699458417365</v>
      </c>
      <c r="D4947" s="9">
        <f t="shared" si="38"/>
        <v>75.2794505936169</v>
      </c>
      <c r="E4947" s="9"/>
      <c r="F4947" s="9">
        <f ca="1">IFERROR(__xludf.DUMMYFUNCTION("""COMPUTED_VALUE"""),40360)</f>
        <v>40360</v>
      </c>
      <c r="G4947" s="9" t="str">
        <f ca="1">IFERROR(__xludf.DUMMYFUNCTION("""COMPUTED_VALUE"""),"1 USD = 85.4204 PKR")</f>
        <v>1 USD = 85.4204 PKR</v>
      </c>
      <c r="H4947" s="9" t="str">
        <f ca="1">IFERROR(__xludf.DUMMYFUNCTION("""COMPUTED_VALUE"""),"USD PKR rate for 01/07/2010")</f>
        <v>USD PKR rate for 01/07/2010</v>
      </c>
      <c r="I4947" s="9"/>
    </row>
    <row r="4948" spans="1:9" ht="14.25" customHeight="1" x14ac:dyDescent="0.3">
      <c r="A4948" s="10">
        <v>44665</v>
      </c>
      <c r="B4948" s="12">
        <v>181.2783</v>
      </c>
      <c r="C4948" s="8">
        <f t="shared" si="39"/>
        <v>191.30415442724399</v>
      </c>
      <c r="D4948" s="9">
        <f t="shared" si="38"/>
        <v>75.282188426414166</v>
      </c>
      <c r="E4948" s="9"/>
      <c r="F4948" s="9">
        <f ca="1">IFERROR(__xludf.DUMMYFUNCTION("""COMPUTED_VALUE"""),40359)</f>
        <v>40359</v>
      </c>
      <c r="G4948" s="9" t="str">
        <f ca="1">IFERROR(__xludf.DUMMYFUNCTION("""COMPUTED_VALUE"""),"1 USD = 85.4665 PKR")</f>
        <v>1 USD = 85.4665 PKR</v>
      </c>
      <c r="H4948" s="9" t="str">
        <f ca="1">IFERROR(__xludf.DUMMYFUNCTION("""COMPUTED_VALUE"""),"USD PKR rate for 30/06/2010")</f>
        <v>USD PKR rate for 30/06/2010</v>
      </c>
      <c r="I4948" s="9"/>
    </row>
    <row r="4949" spans="1:9" ht="14.25" customHeight="1" x14ac:dyDescent="0.3">
      <c r="A4949" s="10">
        <v>44666</v>
      </c>
      <c r="B4949" s="12">
        <v>181.85040000000001</v>
      </c>
      <c r="C4949" s="8">
        <f t="shared" si="39"/>
        <v>191.33836913094927</v>
      </c>
      <c r="D4949" s="9">
        <f t="shared" si="38"/>
        <v>75.284926259211431</v>
      </c>
      <c r="E4949" s="9"/>
      <c r="F4949" s="9">
        <f ca="1">IFERROR(__xludf.DUMMYFUNCTION("""COMPUTED_VALUE"""),40358)</f>
        <v>40358</v>
      </c>
      <c r="G4949" s="9" t="str">
        <f ca="1">IFERROR(__xludf.DUMMYFUNCTION("""COMPUTED_VALUE"""),"1 USD = 85.6067 PKR")</f>
        <v>1 USD = 85.6067 PKR</v>
      </c>
      <c r="H4949" s="9" t="str">
        <f ca="1">IFERROR(__xludf.DUMMYFUNCTION("""COMPUTED_VALUE"""),"USD PKR rate for 29/06/2010")</f>
        <v>USD PKR rate for 29/06/2010</v>
      </c>
      <c r="I4949" s="9"/>
    </row>
    <row r="4950" spans="1:9" ht="14.25" customHeight="1" x14ac:dyDescent="0.3">
      <c r="A4950" s="10">
        <v>44667</v>
      </c>
      <c r="B4950" s="12">
        <v>181.8503</v>
      </c>
      <c r="C4950" s="8">
        <f t="shared" si="39"/>
        <v>191.37258995394637</v>
      </c>
      <c r="D4950" s="9">
        <f t="shared" si="38"/>
        <v>75.287664092008697</v>
      </c>
      <c r="E4950" s="9"/>
      <c r="F4950" s="9">
        <f ca="1">IFERROR(__xludf.DUMMYFUNCTION("""COMPUTED_VALUE"""),40357)</f>
        <v>40357</v>
      </c>
      <c r="G4950" s="9" t="str">
        <f ca="1">IFERROR(__xludf.DUMMYFUNCTION("""COMPUTED_VALUE"""),"1 USD = 85.3031 PKR")</f>
        <v>1 USD = 85.3031 PKR</v>
      </c>
      <c r="H4950" s="9" t="str">
        <f ca="1">IFERROR(__xludf.DUMMYFUNCTION("""COMPUTED_VALUE"""),"USD PKR rate for 28/06/2010")</f>
        <v>USD PKR rate for 28/06/2010</v>
      </c>
      <c r="I4950" s="9"/>
    </row>
    <row r="4951" spans="1:9" ht="14.25" customHeight="1" x14ac:dyDescent="0.3">
      <c r="A4951" s="10">
        <v>44668</v>
      </c>
      <c r="B4951" s="12">
        <v>182.4059</v>
      </c>
      <c r="C4951" s="8">
        <f t="shared" si="39"/>
        <v>191.40681689732975</v>
      </c>
      <c r="D4951" s="9">
        <f t="shared" si="38"/>
        <v>75.290401924805963</v>
      </c>
      <c r="E4951" s="9"/>
      <c r="F4951" s="9">
        <f ca="1">IFERROR(__xludf.DUMMYFUNCTION("""COMPUTED_VALUE"""),40356)</f>
        <v>40356</v>
      </c>
      <c r="G4951" s="9" t="str">
        <f ca="1">IFERROR(__xludf.DUMMYFUNCTION("""COMPUTED_VALUE"""),"1 USD = 84.982 PKR")</f>
        <v>1 USD = 84.982 PKR</v>
      </c>
      <c r="H4951" s="9" t="str">
        <f ca="1">IFERROR(__xludf.DUMMYFUNCTION("""COMPUTED_VALUE"""),"USD PKR rate for 27/06/2010")</f>
        <v>USD PKR rate for 27/06/2010</v>
      </c>
      <c r="I4951" s="9"/>
    </row>
    <row r="4952" spans="1:9" ht="14.25" customHeight="1" x14ac:dyDescent="0.3">
      <c r="A4952" s="10">
        <v>44669</v>
      </c>
      <c r="B4952" s="12">
        <v>182.48869999999999</v>
      </c>
      <c r="C4952" s="8">
        <f t="shared" si="39"/>
        <v>191.44104996219397</v>
      </c>
      <c r="D4952" s="9">
        <f t="shared" si="38"/>
        <v>75.293139757603228</v>
      </c>
      <c r="E4952" s="9"/>
      <c r="F4952" s="9">
        <f ca="1">IFERROR(__xludf.DUMMYFUNCTION("""COMPUTED_VALUE"""),40355)</f>
        <v>40355</v>
      </c>
      <c r="G4952" s="9" t="str">
        <f ca="1">IFERROR(__xludf.DUMMYFUNCTION("""COMPUTED_VALUE"""),"1 USD = 85.0185 PKR")</f>
        <v>1 USD = 85.0185 PKR</v>
      </c>
      <c r="H4952" s="9" t="str">
        <f ca="1">IFERROR(__xludf.DUMMYFUNCTION("""COMPUTED_VALUE"""),"USD PKR rate for 26/06/2010")</f>
        <v>USD PKR rate for 26/06/2010</v>
      </c>
      <c r="I4952" s="9"/>
    </row>
    <row r="4953" spans="1:9" ht="14.25" customHeight="1" x14ac:dyDescent="0.3">
      <c r="A4953" s="10">
        <v>44670</v>
      </c>
      <c r="B4953" s="12">
        <v>184.01570000000001</v>
      </c>
      <c r="C4953" s="8">
        <f t="shared" si="39"/>
        <v>191.47528914963399</v>
      </c>
      <c r="D4953" s="9">
        <f t="shared" si="38"/>
        <v>75.295877590400494</v>
      </c>
      <c r="E4953" s="9"/>
      <c r="F4953" s="9">
        <f ca="1">IFERROR(__xludf.DUMMYFUNCTION("""COMPUTED_VALUE"""),40354)</f>
        <v>40354</v>
      </c>
      <c r="G4953" s="9" t="str">
        <f ca="1">IFERROR(__xludf.DUMMYFUNCTION("""COMPUTED_VALUE"""),"1 USD = 85.3508 PKR")</f>
        <v>1 USD = 85.3508 PKR</v>
      </c>
      <c r="H4953" s="9" t="str">
        <f ca="1">IFERROR(__xludf.DUMMYFUNCTION("""COMPUTED_VALUE"""),"USD PKR rate for 25/06/2010")</f>
        <v>USD PKR rate for 25/06/2010</v>
      </c>
      <c r="I4953" s="9"/>
    </row>
    <row r="4954" spans="1:9" ht="14.25" customHeight="1" x14ac:dyDescent="0.3">
      <c r="A4954" s="10">
        <v>44671</v>
      </c>
      <c r="B4954" s="12">
        <v>185.62710000000001</v>
      </c>
      <c r="C4954" s="8">
        <f t="shared" si="39"/>
        <v>191.50953446074473</v>
      </c>
      <c r="D4954" s="9">
        <f t="shared" si="38"/>
        <v>75.298615423197759</v>
      </c>
      <c r="E4954" s="9"/>
      <c r="F4954" s="9">
        <f ca="1">IFERROR(__xludf.DUMMYFUNCTION("""COMPUTED_VALUE"""),40353)</f>
        <v>40353</v>
      </c>
      <c r="G4954" s="9" t="str">
        <f ca="1">IFERROR(__xludf.DUMMYFUNCTION("""COMPUTED_VALUE"""),"1 USD = 85.325 PKR")</f>
        <v>1 USD = 85.325 PKR</v>
      </c>
      <c r="H4954" s="9" t="str">
        <f ca="1">IFERROR(__xludf.DUMMYFUNCTION("""COMPUTED_VALUE"""),"USD PKR rate for 24/06/2010")</f>
        <v>USD PKR rate for 24/06/2010</v>
      </c>
      <c r="I4954" s="9"/>
    </row>
    <row r="4955" spans="1:9" ht="14.25" customHeight="1" x14ac:dyDescent="0.3">
      <c r="A4955" s="10">
        <v>44672</v>
      </c>
      <c r="B4955" s="12">
        <v>187.87260000000001</v>
      </c>
      <c r="C4955" s="8">
        <f t="shared" si="39"/>
        <v>191.54378589662142</v>
      </c>
      <c r="D4955" s="9">
        <f t="shared" si="38"/>
        <v>75.301353255995025</v>
      </c>
      <c r="E4955" s="9"/>
      <c r="F4955" s="9">
        <f ca="1">IFERROR(__xludf.DUMMYFUNCTION("""COMPUTED_VALUE"""),40352)</f>
        <v>40352</v>
      </c>
      <c r="G4955" s="9" t="str">
        <f ca="1">IFERROR(__xludf.DUMMYFUNCTION("""COMPUTED_VALUE"""),"1 USD = 85.5551 PKR")</f>
        <v>1 USD = 85.5551 PKR</v>
      </c>
      <c r="H4955" s="9" t="str">
        <f ca="1">IFERROR(__xludf.DUMMYFUNCTION("""COMPUTED_VALUE"""),"USD PKR rate for 23/06/2010")</f>
        <v>USD PKR rate for 23/06/2010</v>
      </c>
      <c r="I4955" s="9"/>
    </row>
    <row r="4956" spans="1:9" ht="14.25" customHeight="1" x14ac:dyDescent="0.3">
      <c r="A4956" s="10">
        <v>44673</v>
      </c>
      <c r="B4956" s="12">
        <v>187.42490000000001</v>
      </c>
      <c r="C4956" s="8">
        <f t="shared" si="39"/>
        <v>191.57804345835945</v>
      </c>
      <c r="D4956" s="9">
        <f t="shared" si="38"/>
        <v>75.304091088792291</v>
      </c>
      <c r="E4956" s="9"/>
      <c r="F4956" s="9">
        <f ca="1">IFERROR(__xludf.DUMMYFUNCTION("""COMPUTED_VALUE"""),40351)</f>
        <v>40351</v>
      </c>
      <c r="G4956" s="9" t="str">
        <f ca="1">IFERROR(__xludf.DUMMYFUNCTION("""COMPUTED_VALUE"""),"1 USD = 85.6362 PKR")</f>
        <v>1 USD = 85.6362 PKR</v>
      </c>
      <c r="H4956" s="9" t="str">
        <f ca="1">IFERROR(__xludf.DUMMYFUNCTION("""COMPUTED_VALUE"""),"USD PKR rate for 22/06/2010")</f>
        <v>USD PKR rate for 22/06/2010</v>
      </c>
      <c r="I4956" s="9"/>
    </row>
    <row r="4957" spans="1:9" ht="14.25" customHeight="1" x14ac:dyDescent="0.3">
      <c r="A4957" s="10">
        <v>44674</v>
      </c>
      <c r="B4957" s="12">
        <v>186.76050000000001</v>
      </c>
      <c r="C4957" s="8">
        <f t="shared" si="39"/>
        <v>191.61230714705434</v>
      </c>
      <c r="D4957" s="9">
        <f t="shared" si="38"/>
        <v>75.306828921589556</v>
      </c>
      <c r="E4957" s="9"/>
      <c r="F4957" s="9">
        <f ca="1">IFERROR(__xludf.DUMMYFUNCTION("""COMPUTED_VALUE"""),40350)</f>
        <v>40350</v>
      </c>
      <c r="G4957" s="9" t="str">
        <f ca="1">IFERROR(__xludf.DUMMYFUNCTION("""COMPUTED_VALUE"""),"1 USD = 85.7168 PKR")</f>
        <v>1 USD = 85.7168 PKR</v>
      </c>
      <c r="H4957" s="9" t="str">
        <f ca="1">IFERROR(__xludf.DUMMYFUNCTION("""COMPUTED_VALUE"""),"USD PKR rate for 21/06/2010")</f>
        <v>USD PKR rate for 21/06/2010</v>
      </c>
      <c r="I4957" s="9"/>
    </row>
    <row r="4958" spans="1:9" ht="14.25" customHeight="1" x14ac:dyDescent="0.3">
      <c r="A4958" s="10">
        <v>44675</v>
      </c>
      <c r="B4958" s="12">
        <v>187.0016</v>
      </c>
      <c r="C4958" s="8">
        <f t="shared" si="39"/>
        <v>191.64657696380215</v>
      </c>
      <c r="D4958" s="9">
        <f t="shared" si="38"/>
        <v>75.309566754386822</v>
      </c>
      <c r="E4958" s="9"/>
      <c r="F4958" s="9">
        <f ca="1">IFERROR(__xludf.DUMMYFUNCTION("""COMPUTED_VALUE"""),40349)</f>
        <v>40349</v>
      </c>
      <c r="G4958" s="9" t="str">
        <f ca="1">IFERROR(__xludf.DUMMYFUNCTION("""COMPUTED_VALUE"""),"1 USD = 85.8598 PKR")</f>
        <v>1 USD = 85.8598 PKR</v>
      </c>
      <c r="H4958" s="9" t="str">
        <f ca="1">IFERROR(__xludf.DUMMYFUNCTION("""COMPUTED_VALUE"""),"USD PKR rate for 20/06/2010")</f>
        <v>USD PKR rate for 20/06/2010</v>
      </c>
      <c r="I4958" s="9"/>
    </row>
    <row r="4959" spans="1:9" ht="14.25" customHeight="1" x14ac:dyDescent="0.3">
      <c r="A4959" s="10">
        <v>44676</v>
      </c>
      <c r="B4959" s="12">
        <v>186.37119999999999</v>
      </c>
      <c r="C4959" s="8">
        <f t="shared" si="39"/>
        <v>191.68085290969876</v>
      </c>
      <c r="D4959" s="9">
        <f t="shared" si="38"/>
        <v>75.312304587184087</v>
      </c>
      <c r="E4959" s="9"/>
      <c r="F4959" s="9">
        <f ca="1">IFERROR(__xludf.DUMMYFUNCTION("""COMPUTED_VALUE"""),40348)</f>
        <v>40348</v>
      </c>
      <c r="G4959" s="9" t="str">
        <f ca="1">IFERROR(__xludf.DUMMYFUNCTION("""COMPUTED_VALUE"""),"1 USD = 85.8598 PKR")</f>
        <v>1 USD = 85.8598 PKR</v>
      </c>
      <c r="H4959" s="9" t="str">
        <f ca="1">IFERROR(__xludf.DUMMYFUNCTION("""COMPUTED_VALUE"""),"USD PKR rate for 19/06/2010")</f>
        <v>USD PKR rate for 19/06/2010</v>
      </c>
      <c r="I4959" s="9"/>
    </row>
    <row r="4960" spans="1:9" ht="14.25" customHeight="1" x14ac:dyDescent="0.3">
      <c r="A4960" s="10">
        <v>44677</v>
      </c>
      <c r="B4960" s="12">
        <v>185.78579999999999</v>
      </c>
      <c r="C4960" s="8">
        <f t="shared" si="39"/>
        <v>191.71513498584036</v>
      </c>
      <c r="D4960" s="9">
        <f t="shared" si="38"/>
        <v>75.315042419981353</v>
      </c>
      <c r="E4960" s="9"/>
      <c r="F4960" s="9">
        <f ca="1">IFERROR(__xludf.DUMMYFUNCTION("""COMPUTED_VALUE"""),40347)</f>
        <v>40347</v>
      </c>
      <c r="G4960" s="9" t="str">
        <f ca="1">IFERROR(__xludf.DUMMYFUNCTION("""COMPUTED_VALUE"""),"1 USD = 85.7207 PKR")</f>
        <v>1 USD = 85.7207 PKR</v>
      </c>
      <c r="H4960" s="9" t="str">
        <f ca="1">IFERROR(__xludf.DUMMYFUNCTION("""COMPUTED_VALUE"""),"USD PKR rate for 18/06/2010")</f>
        <v>USD PKR rate for 18/06/2010</v>
      </c>
      <c r="I4960" s="9"/>
    </row>
    <row r="4961" spans="1:9" ht="14.25" customHeight="1" x14ac:dyDescent="0.3">
      <c r="A4961" s="10">
        <v>44678</v>
      </c>
      <c r="B4961" s="12">
        <v>185.75980000000001</v>
      </c>
      <c r="C4961" s="8">
        <f t="shared" si="39"/>
        <v>191.74942319332337</v>
      </c>
      <c r="D4961" s="9">
        <f t="shared" si="38"/>
        <v>75.317780252778618</v>
      </c>
      <c r="E4961" s="9"/>
      <c r="F4961" s="9">
        <f ca="1">IFERROR(__xludf.DUMMYFUNCTION("""COMPUTED_VALUE"""),40346)</f>
        <v>40346</v>
      </c>
      <c r="G4961" s="9" t="str">
        <f ca="1">IFERROR(__xludf.DUMMYFUNCTION("""COMPUTED_VALUE"""),"1 USD = 85.312 PKR")</f>
        <v>1 USD = 85.312 PKR</v>
      </c>
      <c r="H4961" s="9" t="str">
        <f ca="1">IFERROR(__xludf.DUMMYFUNCTION("""COMPUTED_VALUE"""),"USD PKR rate for 17/06/2010")</f>
        <v>USD PKR rate for 17/06/2010</v>
      </c>
      <c r="I4961" s="9"/>
    </row>
    <row r="4962" spans="1:9" ht="14.25" customHeight="1" x14ac:dyDescent="0.3">
      <c r="A4962" s="10">
        <v>44679</v>
      </c>
      <c r="B4962" s="12">
        <v>185.72559999999999</v>
      </c>
      <c r="C4962" s="8">
        <f t="shared" si="39"/>
        <v>191.78371753324427</v>
      </c>
      <c r="D4962" s="9">
        <f t="shared" si="38"/>
        <v>75.320518085575884</v>
      </c>
      <c r="E4962" s="9"/>
      <c r="F4962" s="9">
        <f ca="1">IFERROR(__xludf.DUMMYFUNCTION("""COMPUTED_VALUE"""),40345)</f>
        <v>40345</v>
      </c>
      <c r="G4962" s="9" t="str">
        <f ca="1">IFERROR(__xludf.DUMMYFUNCTION("""COMPUTED_VALUE"""),"1 USD = 85.5348 PKR")</f>
        <v>1 USD = 85.5348 PKR</v>
      </c>
      <c r="H4962" s="9" t="str">
        <f ca="1">IFERROR(__xludf.DUMMYFUNCTION("""COMPUTED_VALUE"""),"USD PKR rate for 16/06/2010")</f>
        <v>USD PKR rate for 16/06/2010</v>
      </c>
      <c r="I4962" s="9"/>
    </row>
    <row r="4963" spans="1:9" ht="14.25" customHeight="1" x14ac:dyDescent="0.3">
      <c r="A4963" s="10">
        <v>44680</v>
      </c>
      <c r="B4963" s="12">
        <v>185.7072</v>
      </c>
      <c r="C4963" s="8">
        <f t="shared" si="39"/>
        <v>191.81801800669996</v>
      </c>
      <c r="D4963" s="9">
        <f t="shared" si="38"/>
        <v>75.32325591837315</v>
      </c>
      <c r="E4963" s="9"/>
      <c r="F4963" s="9">
        <f ca="1">IFERROR(__xludf.DUMMYFUNCTION("""COMPUTED_VALUE"""),40344)</f>
        <v>40344</v>
      </c>
      <c r="G4963" s="9" t="str">
        <f ca="1">IFERROR(__xludf.DUMMYFUNCTION("""COMPUTED_VALUE"""),"1 USD = 85.379 PKR")</f>
        <v>1 USD = 85.379 PKR</v>
      </c>
      <c r="H4963" s="9" t="str">
        <f ca="1">IFERROR(__xludf.DUMMYFUNCTION("""COMPUTED_VALUE"""),"USD PKR rate for 15/06/2010")</f>
        <v>USD PKR rate for 15/06/2010</v>
      </c>
      <c r="I4963" s="9"/>
    </row>
    <row r="4964" spans="1:9" ht="14.25" customHeight="1" x14ac:dyDescent="0.3">
      <c r="A4964" s="10">
        <v>44681</v>
      </c>
      <c r="B4964" s="12">
        <v>185.7072</v>
      </c>
      <c r="C4964" s="8">
        <f t="shared" si="39"/>
        <v>191.85232461478739</v>
      </c>
      <c r="D4964" s="9">
        <f t="shared" si="38"/>
        <v>75.325993751170415</v>
      </c>
      <c r="E4964" s="9"/>
      <c r="F4964" s="9">
        <f ca="1">IFERROR(__xludf.DUMMYFUNCTION("""COMPUTED_VALUE"""),40343)</f>
        <v>40343</v>
      </c>
      <c r="G4964" s="9" t="str">
        <f ca="1">IFERROR(__xludf.DUMMYFUNCTION("""COMPUTED_VALUE"""),"1 USD = 85.0495 PKR")</f>
        <v>1 USD = 85.0495 PKR</v>
      </c>
      <c r="H4964" s="9" t="str">
        <f ca="1">IFERROR(__xludf.DUMMYFUNCTION("""COMPUTED_VALUE"""),"USD PKR rate for 14/06/2010")</f>
        <v>USD PKR rate for 14/06/2010</v>
      </c>
      <c r="I4964" s="9"/>
    </row>
    <row r="4965" spans="1:9" ht="14.25" customHeight="1" x14ac:dyDescent="0.3">
      <c r="A4965" s="10">
        <v>44682</v>
      </c>
      <c r="B4965" s="12">
        <v>185.7106</v>
      </c>
      <c r="C4965" s="8">
        <f t="shared" si="39"/>
        <v>191.88663735860371</v>
      </c>
      <c r="D4965" s="9">
        <f t="shared" si="38"/>
        <v>75.328731583967681</v>
      </c>
      <c r="E4965" s="9"/>
      <c r="F4965" s="9">
        <f ca="1">IFERROR(__xludf.DUMMYFUNCTION("""COMPUTED_VALUE"""),40342)</f>
        <v>40342</v>
      </c>
      <c r="G4965" s="9" t="str">
        <f ca="1">IFERROR(__xludf.DUMMYFUNCTION("""COMPUTED_VALUE"""),"1 USD = 85.1945 PKR")</f>
        <v>1 USD = 85.1945 PKR</v>
      </c>
      <c r="H4965" s="9" t="str">
        <f ca="1">IFERROR(__xludf.DUMMYFUNCTION("""COMPUTED_VALUE"""),"USD PKR rate for 13/06/2010")</f>
        <v>USD PKR rate for 13/06/2010</v>
      </c>
      <c r="I4965" s="9"/>
    </row>
    <row r="4966" spans="1:9" ht="14.25" customHeight="1" x14ac:dyDescent="0.3">
      <c r="A4966" s="10">
        <v>44683</v>
      </c>
      <c r="B4966" s="12">
        <v>185.69120000000001</v>
      </c>
      <c r="C4966" s="8">
        <f t="shared" si="39"/>
        <v>191.92095623924618</v>
      </c>
      <c r="D4966" s="9">
        <f t="shared" si="38"/>
        <v>75.331469416764946</v>
      </c>
      <c r="E4966" s="9"/>
      <c r="F4966" s="9">
        <f ca="1">IFERROR(__xludf.DUMMYFUNCTION("""COMPUTED_VALUE"""),40341)</f>
        <v>40341</v>
      </c>
      <c r="G4966" s="9" t="str">
        <f ca="1">IFERROR(__xludf.DUMMYFUNCTION("""COMPUTED_VALUE"""),"1 USD = 85.1945 PKR")</f>
        <v>1 USD = 85.1945 PKR</v>
      </c>
      <c r="H4966" s="9" t="str">
        <f ca="1">IFERROR(__xludf.DUMMYFUNCTION("""COMPUTED_VALUE"""),"USD PKR rate for 12/06/2010")</f>
        <v>USD PKR rate for 12/06/2010</v>
      </c>
      <c r="I4966" s="9"/>
    </row>
    <row r="4967" spans="1:9" ht="14.25" customHeight="1" x14ac:dyDescent="0.3">
      <c r="A4967" s="10">
        <v>44684</v>
      </c>
      <c r="B4967" s="12">
        <v>185.62530000000001</v>
      </c>
      <c r="C4967" s="8">
        <f t="shared" si="39"/>
        <v>191.95528125781266</v>
      </c>
      <c r="D4967" s="9">
        <f t="shared" si="38"/>
        <v>75.334207249562212</v>
      </c>
      <c r="E4967" s="9"/>
      <c r="F4967" s="9">
        <f ca="1">IFERROR(__xludf.DUMMYFUNCTION("""COMPUTED_VALUE"""),40340)</f>
        <v>40340</v>
      </c>
      <c r="G4967" s="9" t="str">
        <f ca="1">IFERROR(__xludf.DUMMYFUNCTION("""COMPUTED_VALUE"""),"1 USD = 85.2123 PKR")</f>
        <v>1 USD = 85.2123 PKR</v>
      </c>
      <c r="H4967" s="9" t="str">
        <f ca="1">IFERROR(__xludf.DUMMYFUNCTION("""COMPUTED_VALUE"""),"USD PKR rate for 11/06/2010")</f>
        <v>USD PKR rate for 11/06/2010</v>
      </c>
      <c r="I4967" s="9"/>
    </row>
    <row r="4968" spans="1:9" ht="14.25" customHeight="1" x14ac:dyDescent="0.3">
      <c r="A4968" s="10">
        <v>44685</v>
      </c>
      <c r="B4968" s="12">
        <v>185.61600000000001</v>
      </c>
      <c r="C4968" s="8">
        <f t="shared" si="39"/>
        <v>191.98961241540076</v>
      </c>
      <c r="D4968" s="9">
        <f t="shared" si="38"/>
        <v>75.336945082359478</v>
      </c>
      <c r="E4968" s="9"/>
      <c r="F4968" s="9">
        <f ca="1">IFERROR(__xludf.DUMMYFUNCTION("""COMPUTED_VALUE"""),40339)</f>
        <v>40339</v>
      </c>
      <c r="G4968" s="9" t="str">
        <f ca="1">IFERROR(__xludf.DUMMYFUNCTION("""COMPUTED_VALUE"""),"1 USD = 85.0347 PKR")</f>
        <v>1 USD = 85.0347 PKR</v>
      </c>
      <c r="H4968" s="9" t="str">
        <f ca="1">IFERROR(__xludf.DUMMYFUNCTION("""COMPUTED_VALUE"""),"USD PKR rate for 10/06/2010")</f>
        <v>USD PKR rate for 10/06/2010</v>
      </c>
      <c r="I4968" s="9"/>
    </row>
    <row r="4969" spans="1:9" ht="14.25" customHeight="1" x14ac:dyDescent="0.3">
      <c r="A4969" s="10">
        <v>44686</v>
      </c>
      <c r="B4969" s="12">
        <v>185.82210000000001</v>
      </c>
      <c r="C4969" s="8">
        <f t="shared" si="39"/>
        <v>192.02394971310841</v>
      </c>
      <c r="D4969" s="9">
        <f t="shared" si="38"/>
        <v>75.339682915156743</v>
      </c>
      <c r="E4969" s="9"/>
      <c r="F4969" s="9">
        <f ca="1">IFERROR(__xludf.DUMMYFUNCTION("""COMPUTED_VALUE"""),40338)</f>
        <v>40338</v>
      </c>
      <c r="G4969" s="9" t="str">
        <f ca="1">IFERROR(__xludf.DUMMYFUNCTION("""COMPUTED_VALUE"""),"1 USD = 85.429 PKR")</f>
        <v>1 USD = 85.429 PKR</v>
      </c>
      <c r="H4969" s="9" t="str">
        <f ca="1">IFERROR(__xludf.DUMMYFUNCTION("""COMPUTED_VALUE"""),"USD PKR rate for 09/06/2010")</f>
        <v>USD PKR rate for 09/06/2010</v>
      </c>
      <c r="I4969" s="9"/>
    </row>
    <row r="4970" spans="1:9" ht="14.25" customHeight="1" x14ac:dyDescent="0.3">
      <c r="A4970" s="10">
        <v>44687</v>
      </c>
      <c r="B4970" s="12">
        <v>185.6825</v>
      </c>
      <c r="C4970" s="8">
        <f t="shared" si="39"/>
        <v>192.05829315203383</v>
      </c>
      <c r="D4970" s="9">
        <f t="shared" si="38"/>
        <v>75.342420747954009</v>
      </c>
      <c r="E4970" s="9"/>
      <c r="F4970" s="9">
        <f ca="1">IFERROR(__xludf.DUMMYFUNCTION("""COMPUTED_VALUE"""),40337)</f>
        <v>40337</v>
      </c>
      <c r="G4970" s="9" t="str">
        <f ca="1">IFERROR(__xludf.DUMMYFUNCTION("""COMPUTED_VALUE"""),"1 USD = 85.5284 PKR")</f>
        <v>1 USD = 85.5284 PKR</v>
      </c>
      <c r="H4970" s="9" t="str">
        <f ca="1">IFERROR(__xludf.DUMMYFUNCTION("""COMPUTED_VALUE"""),"USD PKR rate for 08/06/2010")</f>
        <v>USD PKR rate for 08/06/2010</v>
      </c>
      <c r="I4970" s="9"/>
    </row>
    <row r="4971" spans="1:9" ht="14.25" customHeight="1" x14ac:dyDescent="0.3">
      <c r="A4971" s="10">
        <v>44688</v>
      </c>
      <c r="B4971" s="12">
        <v>186.59780000000001</v>
      </c>
      <c r="C4971" s="8">
        <f t="shared" si="39"/>
        <v>192.09264273327531</v>
      </c>
      <c r="D4971" s="9">
        <f t="shared" si="38"/>
        <v>75.345158580751274</v>
      </c>
      <c r="E4971" s="9"/>
      <c r="F4971" s="9">
        <f ca="1">IFERROR(__xludf.DUMMYFUNCTION("""COMPUTED_VALUE"""),40336)</f>
        <v>40336</v>
      </c>
      <c r="G4971" s="9" t="str">
        <f ca="1">IFERROR(__xludf.DUMMYFUNCTION("""COMPUTED_VALUE"""),"1 USD = 85.5708 PKR")</f>
        <v>1 USD = 85.5708 PKR</v>
      </c>
      <c r="H4971" s="9" t="str">
        <f ca="1">IFERROR(__xludf.DUMMYFUNCTION("""COMPUTED_VALUE"""),"USD PKR rate for 07/06/2010")</f>
        <v>USD PKR rate for 07/06/2010</v>
      </c>
      <c r="I4971" s="9"/>
    </row>
    <row r="4972" spans="1:9" ht="14.25" customHeight="1" x14ac:dyDescent="0.3">
      <c r="A4972" s="10">
        <v>44689</v>
      </c>
      <c r="B4972" s="12">
        <v>186.5556</v>
      </c>
      <c r="C4972" s="8">
        <f t="shared" si="39"/>
        <v>192.12699845793148</v>
      </c>
      <c r="D4972" s="9">
        <f t="shared" si="38"/>
        <v>75.34789641354854</v>
      </c>
      <c r="E4972" s="9"/>
      <c r="F4972" s="9">
        <f ca="1">IFERROR(__xludf.DUMMYFUNCTION("""COMPUTED_VALUE"""),40335)</f>
        <v>40335</v>
      </c>
      <c r="G4972" s="9" t="str">
        <f ca="1">IFERROR(__xludf.DUMMYFUNCTION("""COMPUTED_VALUE"""),"1 USD = 85.1856 PKR")</f>
        <v>1 USD = 85.1856 PKR</v>
      </c>
      <c r="H4972" s="9" t="str">
        <f ca="1">IFERROR(__xludf.DUMMYFUNCTION("""COMPUTED_VALUE"""),"USD PKR rate for 06/06/2010")</f>
        <v>USD PKR rate for 06/06/2010</v>
      </c>
      <c r="I4972" s="9"/>
    </row>
    <row r="4973" spans="1:9" ht="14.25" customHeight="1" x14ac:dyDescent="0.3">
      <c r="A4973" s="10">
        <v>44690</v>
      </c>
      <c r="B4973" s="12">
        <v>188.08179999999999</v>
      </c>
      <c r="C4973" s="8">
        <f t="shared" si="39"/>
        <v>192.16136032710102</v>
      </c>
      <c r="D4973" s="9">
        <f t="shared" si="38"/>
        <v>75.350634246345805</v>
      </c>
      <c r="E4973" s="9"/>
      <c r="F4973" s="9">
        <f ca="1">IFERROR(__xludf.DUMMYFUNCTION("""COMPUTED_VALUE"""),40334)</f>
        <v>40334</v>
      </c>
      <c r="G4973" s="9" t="str">
        <f ca="1">IFERROR(__xludf.DUMMYFUNCTION("""COMPUTED_VALUE"""),"1 USD = 85.0898 PKR")</f>
        <v>1 USD = 85.0898 PKR</v>
      </c>
      <c r="H4973" s="9" t="str">
        <f ca="1">IFERROR(__xludf.DUMMYFUNCTION("""COMPUTED_VALUE"""),"USD PKR rate for 05/06/2010")</f>
        <v>USD PKR rate for 05/06/2010</v>
      </c>
      <c r="I4973" s="9"/>
    </row>
    <row r="4974" spans="1:9" ht="14.25" customHeight="1" x14ac:dyDescent="0.3">
      <c r="A4974" s="10">
        <v>44691</v>
      </c>
      <c r="B4974" s="12">
        <v>188.786</v>
      </c>
      <c r="C4974" s="8">
        <f t="shared" si="39"/>
        <v>192.19572834188293</v>
      </c>
      <c r="D4974" s="9">
        <f t="shared" si="38"/>
        <v>75.353372079143071</v>
      </c>
      <c r="E4974" s="9"/>
      <c r="F4974" s="9">
        <f ca="1">IFERROR(__xludf.DUMMYFUNCTION("""COMPUTED_VALUE"""),40333)</f>
        <v>40333</v>
      </c>
      <c r="G4974" s="9" t="str">
        <f ca="1">IFERROR(__xludf.DUMMYFUNCTION("""COMPUTED_VALUE"""),"1 USD = 85.575 PKR")</f>
        <v>1 USD = 85.575 PKR</v>
      </c>
      <c r="H4974" s="9" t="str">
        <f ca="1">IFERROR(__xludf.DUMMYFUNCTION("""COMPUTED_VALUE"""),"USD PKR rate for 04/06/2010")</f>
        <v>USD PKR rate for 04/06/2010</v>
      </c>
      <c r="I4974" s="9"/>
    </row>
    <row r="4975" spans="1:9" ht="14.25" customHeight="1" x14ac:dyDescent="0.3">
      <c r="A4975" s="10">
        <v>44692</v>
      </c>
      <c r="B4975" s="12">
        <v>190.12029999999999</v>
      </c>
      <c r="C4975" s="8">
        <f t="shared" si="39"/>
        <v>192.23010250337612</v>
      </c>
      <c r="D4975" s="9">
        <f t="shared" si="38"/>
        <v>75.356109911940337</v>
      </c>
      <c r="E4975" s="9"/>
      <c r="F4975" s="9">
        <f ca="1">IFERROR(__xludf.DUMMYFUNCTION("""COMPUTED_VALUE"""),40332)</f>
        <v>40332</v>
      </c>
      <c r="G4975" s="9" t="str">
        <f ca="1">IFERROR(__xludf.DUMMYFUNCTION("""COMPUTED_VALUE"""),"1 USD = 85.1959 PKR")</f>
        <v>1 USD = 85.1959 PKR</v>
      </c>
      <c r="H4975" s="9" t="str">
        <f ca="1">IFERROR(__xludf.DUMMYFUNCTION("""COMPUTED_VALUE"""),"USD PKR rate for 03/06/2010")</f>
        <v>USD PKR rate for 03/06/2010</v>
      </c>
      <c r="I4975" s="9"/>
    </row>
    <row r="4976" spans="1:9" ht="14.25" customHeight="1" x14ac:dyDescent="0.3">
      <c r="A4976" s="10">
        <v>44693</v>
      </c>
      <c r="B4976" s="12">
        <v>191.8518</v>
      </c>
      <c r="C4976" s="8">
        <f t="shared" si="39"/>
        <v>192.26448281268031</v>
      </c>
      <c r="D4976" s="9">
        <f t="shared" si="38"/>
        <v>75.358847744737602</v>
      </c>
      <c r="E4976" s="9"/>
      <c r="F4976" s="9">
        <f ca="1">IFERROR(__xludf.DUMMYFUNCTION("""COMPUTED_VALUE"""),40331)</f>
        <v>40331</v>
      </c>
      <c r="G4976" s="9" t="str">
        <f ca="1">IFERROR(__xludf.DUMMYFUNCTION("""COMPUTED_VALUE"""),"1 USD = 84.8731 PKR")</f>
        <v>1 USD = 84.8731 PKR</v>
      </c>
      <c r="H4976" s="9" t="str">
        <f ca="1">IFERROR(__xludf.DUMMYFUNCTION("""COMPUTED_VALUE"""),"USD PKR rate for 02/06/2010")</f>
        <v>USD PKR rate for 02/06/2010</v>
      </c>
      <c r="I4976" s="9"/>
    </row>
    <row r="4977" spans="1:9" ht="14.25" customHeight="1" x14ac:dyDescent="0.3">
      <c r="A4977" s="10">
        <v>44694</v>
      </c>
      <c r="B4977" s="12">
        <v>192.94649999999999</v>
      </c>
      <c r="C4977" s="8">
        <f t="shared" si="39"/>
        <v>192.2988692708949</v>
      </c>
      <c r="D4977" s="9">
        <f t="shared" si="38"/>
        <v>75.361585577534868</v>
      </c>
      <c r="E4977" s="9"/>
      <c r="F4977" s="9">
        <f ca="1">IFERROR(__xludf.DUMMYFUNCTION("""COMPUTED_VALUE"""),40330)</f>
        <v>40330</v>
      </c>
      <c r="G4977" s="9" t="str">
        <f ca="1">IFERROR(__xludf.DUMMYFUNCTION("""COMPUTED_VALUE"""),"1 USD = 84.6928 PKR")</f>
        <v>1 USD = 84.6928 PKR</v>
      </c>
      <c r="H4977" s="9" t="str">
        <f ca="1">IFERROR(__xludf.DUMMYFUNCTION("""COMPUTED_VALUE"""),"USD PKR rate for 01/06/2010")</f>
        <v>USD PKR rate for 01/06/2010</v>
      </c>
      <c r="I4977" s="9"/>
    </row>
    <row r="4978" spans="1:9" ht="14.25" customHeight="1" x14ac:dyDescent="0.3">
      <c r="A4978" s="10">
        <v>44695</v>
      </c>
      <c r="B4978" s="12">
        <v>191.75</v>
      </c>
      <c r="C4978" s="8">
        <f t="shared" si="39"/>
        <v>192.33326187911953</v>
      </c>
      <c r="D4978" s="9">
        <f t="shared" si="38"/>
        <v>75.364323410332133</v>
      </c>
      <c r="E4978" s="9"/>
      <c r="F4978" s="9">
        <f ca="1">IFERROR(__xludf.DUMMYFUNCTION("""COMPUTED_VALUE"""),40329)</f>
        <v>40329</v>
      </c>
      <c r="G4978" s="9" t="str">
        <f ca="1">IFERROR(__xludf.DUMMYFUNCTION("""COMPUTED_VALUE"""),"1 USD = 84.6413 PKR")</f>
        <v>1 USD = 84.6413 PKR</v>
      </c>
      <c r="H4978" s="9" t="str">
        <f ca="1">IFERROR(__xludf.DUMMYFUNCTION("""COMPUTED_VALUE"""),"USD PKR rate for 31/05/2010")</f>
        <v>USD PKR rate for 31/05/2010</v>
      </c>
      <c r="I4978" s="9"/>
    </row>
    <row r="4979" spans="1:9" ht="14.25" customHeight="1" x14ac:dyDescent="0.3">
      <c r="A4979" s="10">
        <v>44696</v>
      </c>
      <c r="B4979" s="12">
        <v>193.1919</v>
      </c>
      <c r="C4979" s="8">
        <f t="shared" si="39"/>
        <v>192.36766063845417</v>
      </c>
      <c r="D4979" s="9">
        <f t="shared" si="38"/>
        <v>75.367061243129399</v>
      </c>
      <c r="E4979" s="9"/>
      <c r="F4979" s="9">
        <f ca="1">IFERROR(__xludf.DUMMYFUNCTION("""COMPUTED_VALUE"""),40328)</f>
        <v>40328</v>
      </c>
      <c r="G4979" s="9" t="str">
        <f ca="1">IFERROR(__xludf.DUMMYFUNCTION("""COMPUTED_VALUE"""),"1 USD = 84.8237 PKR")</f>
        <v>1 USD = 84.8237 PKR</v>
      </c>
      <c r="H4979" s="9" t="str">
        <f ca="1">IFERROR(__xludf.DUMMYFUNCTION("""COMPUTED_VALUE"""),"USD PKR rate for 30/05/2010")</f>
        <v>USD PKR rate for 30/05/2010</v>
      </c>
      <c r="I4979" s="9"/>
    </row>
    <row r="4980" spans="1:9" ht="14.25" customHeight="1" x14ac:dyDescent="0.3">
      <c r="A4980" s="10">
        <v>44697</v>
      </c>
      <c r="B4980" s="12">
        <v>193.60040000000001</v>
      </c>
      <c r="C4980" s="8">
        <f t="shared" si="39"/>
        <v>192.40206554999898</v>
      </c>
      <c r="D4980" s="9">
        <f t="shared" si="38"/>
        <v>75.369799075926665</v>
      </c>
      <c r="E4980" s="9"/>
      <c r="F4980" s="9">
        <f ca="1">IFERROR(__xludf.DUMMYFUNCTION("""COMPUTED_VALUE"""),40327)</f>
        <v>40327</v>
      </c>
      <c r="G4980" s="9" t="str">
        <f ca="1">IFERROR(__xludf.DUMMYFUNCTION("""COMPUTED_VALUE"""),"1 USD = 84.7603 PKR")</f>
        <v>1 USD = 84.7603 PKR</v>
      </c>
      <c r="H4980" s="9" t="str">
        <f ca="1">IFERROR(__xludf.DUMMYFUNCTION("""COMPUTED_VALUE"""),"USD PKR rate for 29/05/2010")</f>
        <v>USD PKR rate for 29/05/2010</v>
      </c>
      <c r="I4980" s="9"/>
    </row>
    <row r="4981" spans="1:9" ht="14.25" customHeight="1" x14ac:dyDescent="0.3">
      <c r="A4981" s="10">
        <v>44698</v>
      </c>
      <c r="B4981" s="12">
        <v>196.1122</v>
      </c>
      <c r="C4981" s="8">
        <f t="shared" si="39"/>
        <v>192.4364766148542</v>
      </c>
      <c r="D4981" s="9">
        <f t="shared" si="38"/>
        <v>75.37253690872393</v>
      </c>
      <c r="E4981" s="9"/>
      <c r="F4981" s="9">
        <f ca="1">IFERROR(__xludf.DUMMYFUNCTION("""COMPUTED_VALUE"""),40326)</f>
        <v>40326</v>
      </c>
      <c r="G4981" s="9" t="str">
        <f ca="1">IFERROR(__xludf.DUMMYFUNCTION("""COMPUTED_VALUE"""),"1 USD = 85.1938 PKR")</f>
        <v>1 USD = 85.1938 PKR</v>
      </c>
      <c r="H4981" s="9" t="str">
        <f ca="1">IFERROR(__xludf.DUMMYFUNCTION("""COMPUTED_VALUE"""),"USD PKR rate for 28/05/2010")</f>
        <v>USD PKR rate for 28/05/2010</v>
      </c>
      <c r="I4981" s="9"/>
    </row>
    <row r="4982" spans="1:9" ht="14.25" customHeight="1" x14ac:dyDescent="0.3">
      <c r="A4982" s="10">
        <v>44699</v>
      </c>
      <c r="B4982" s="12">
        <v>198.27690000000001</v>
      </c>
      <c r="C4982" s="8">
        <f t="shared" si="39"/>
        <v>192.47089383412043</v>
      </c>
      <c r="D4982" s="9">
        <f t="shared" si="38"/>
        <v>75.375274741521196</v>
      </c>
      <c r="E4982" s="9"/>
      <c r="F4982" s="9">
        <f ca="1">IFERROR(__xludf.DUMMYFUNCTION("""COMPUTED_VALUE"""),40325)</f>
        <v>40325</v>
      </c>
      <c r="G4982" s="9" t="str">
        <f ca="1">IFERROR(__xludf.DUMMYFUNCTION("""COMPUTED_VALUE"""),"1 USD = 84.8698 PKR")</f>
        <v>1 USD = 84.8698 PKR</v>
      </c>
      <c r="H4982" s="9" t="str">
        <f ca="1">IFERROR(__xludf.DUMMYFUNCTION("""COMPUTED_VALUE"""),"USD PKR rate for 27/05/2010")</f>
        <v>USD PKR rate for 27/05/2010</v>
      </c>
      <c r="I4982" s="9"/>
    </row>
    <row r="4983" spans="1:9" ht="14.25" customHeight="1" x14ac:dyDescent="0.3">
      <c r="A4983" s="10">
        <v>44700</v>
      </c>
      <c r="B4983" s="12">
        <v>200.74860000000001</v>
      </c>
      <c r="C4983" s="8">
        <f t="shared" si="39"/>
        <v>192.50531720889839</v>
      </c>
      <c r="D4983" s="9">
        <f t="shared" si="38"/>
        <v>75.378012574318461</v>
      </c>
      <c r="E4983" s="9"/>
      <c r="F4983" s="9">
        <f ca="1">IFERROR(__xludf.DUMMYFUNCTION("""COMPUTED_VALUE"""),40324)</f>
        <v>40324</v>
      </c>
      <c r="G4983" s="9" t="str">
        <f ca="1">IFERROR(__xludf.DUMMYFUNCTION("""COMPUTED_VALUE"""),"1 USD = 84.9141 PKR")</f>
        <v>1 USD = 84.9141 PKR</v>
      </c>
      <c r="H4983" s="9" t="str">
        <f ca="1">IFERROR(__xludf.DUMMYFUNCTION("""COMPUTED_VALUE"""),"USD PKR rate for 26/05/2010")</f>
        <v>USD PKR rate for 26/05/2010</v>
      </c>
      <c r="I4983" s="9"/>
    </row>
    <row r="4984" spans="1:9" ht="14.25" customHeight="1" x14ac:dyDescent="0.3">
      <c r="A4984" s="10">
        <v>44701</v>
      </c>
      <c r="B4984" s="12">
        <v>200.458</v>
      </c>
      <c r="C4984" s="8">
        <f t="shared" si="39"/>
        <v>192.53974674028871</v>
      </c>
      <c r="D4984" s="9">
        <f t="shared" si="38"/>
        <v>75.380750407115727</v>
      </c>
      <c r="E4984" s="9"/>
      <c r="F4984" s="9">
        <f ca="1">IFERROR(__xludf.DUMMYFUNCTION("""COMPUTED_VALUE"""),40323)</f>
        <v>40323</v>
      </c>
      <c r="G4984" s="9" t="str">
        <f ca="1">IFERROR(__xludf.DUMMYFUNCTION("""COMPUTED_VALUE"""),"1 USD = 84.396 PKR")</f>
        <v>1 USD = 84.396 PKR</v>
      </c>
      <c r="H4984" s="9" t="str">
        <f ca="1">IFERROR(__xludf.DUMMYFUNCTION("""COMPUTED_VALUE"""),"USD PKR rate for 25/05/2010")</f>
        <v>USD PKR rate for 25/05/2010</v>
      </c>
      <c r="I4984" s="9"/>
    </row>
    <row r="4985" spans="1:9" ht="14.25" customHeight="1" x14ac:dyDescent="0.3">
      <c r="A4985" s="10">
        <v>44702</v>
      </c>
      <c r="B4985" s="12">
        <v>200.458</v>
      </c>
      <c r="C4985" s="8">
        <f t="shared" si="39"/>
        <v>192.57418242939298</v>
      </c>
      <c r="D4985" s="9">
        <f t="shared" si="38"/>
        <v>75.383488239912992</v>
      </c>
      <c r="E4985" s="9"/>
      <c r="F4985" s="9">
        <f ca="1">IFERROR(__xludf.DUMMYFUNCTION("""COMPUTED_VALUE"""),40322)</f>
        <v>40322</v>
      </c>
      <c r="G4985" s="9" t="str">
        <f ca="1">IFERROR(__xludf.DUMMYFUNCTION("""COMPUTED_VALUE"""),"1 USD = 84.327 PKR")</f>
        <v>1 USD = 84.327 PKR</v>
      </c>
      <c r="H4985" s="9" t="str">
        <f ca="1">IFERROR(__xludf.DUMMYFUNCTION("""COMPUTED_VALUE"""),"USD PKR rate for 24/05/2010")</f>
        <v>USD PKR rate for 24/05/2010</v>
      </c>
      <c r="I4985" s="9"/>
    </row>
    <row r="4986" spans="1:9" ht="14.25" customHeight="1" x14ac:dyDescent="0.3">
      <c r="A4986" s="10">
        <v>44703</v>
      </c>
      <c r="B4986" s="12">
        <v>200.90369999999999</v>
      </c>
      <c r="C4986" s="8">
        <f t="shared" si="39"/>
        <v>192.60862427731223</v>
      </c>
      <c r="D4986" s="9">
        <f t="shared" si="38"/>
        <v>75.386226072710258</v>
      </c>
      <c r="E4986" s="9"/>
      <c r="F4986" s="9">
        <f ca="1">IFERROR(__xludf.DUMMYFUNCTION("""COMPUTED_VALUE"""),40321)</f>
        <v>40321</v>
      </c>
      <c r="G4986" s="9" t="str">
        <f ca="1">IFERROR(__xludf.DUMMYFUNCTION("""COMPUTED_VALUE"""),"1 USD = 84.5754 PKR")</f>
        <v>1 USD = 84.5754 PKR</v>
      </c>
      <c r="H4986" s="9" t="str">
        <f ca="1">IFERROR(__xludf.DUMMYFUNCTION("""COMPUTED_VALUE"""),"USD PKR rate for 23/05/2010")</f>
        <v>USD PKR rate for 23/05/2010</v>
      </c>
      <c r="I4986" s="9"/>
    </row>
    <row r="4987" spans="1:9" ht="14.25" customHeight="1" x14ac:dyDescent="0.3">
      <c r="A4987" s="10">
        <v>44704</v>
      </c>
      <c r="B4987" s="12">
        <v>200.69759999999999</v>
      </c>
      <c r="C4987" s="8">
        <f t="shared" si="39"/>
        <v>192.64307228514801</v>
      </c>
      <c r="D4987" s="9">
        <f t="shared" si="38"/>
        <v>75.388963905507524</v>
      </c>
      <c r="E4987" s="9"/>
      <c r="F4987" s="9">
        <f ca="1">IFERROR(__xludf.DUMMYFUNCTION("""COMPUTED_VALUE"""),40320)</f>
        <v>40320</v>
      </c>
      <c r="G4987" s="9" t="str">
        <f ca="1">IFERROR(__xludf.DUMMYFUNCTION("""COMPUTED_VALUE"""),"1 USD = 84.6225 PKR")</f>
        <v>1 USD = 84.6225 PKR</v>
      </c>
      <c r="H4987" s="9" t="str">
        <f ca="1">IFERROR(__xludf.DUMMYFUNCTION("""COMPUTED_VALUE"""),"USD PKR rate for 22/05/2010")</f>
        <v>USD PKR rate for 22/05/2010</v>
      </c>
      <c r="I4987" s="9"/>
    </row>
    <row r="4988" spans="1:9" ht="14.25" customHeight="1" x14ac:dyDescent="0.3">
      <c r="A4988" s="10">
        <v>44705</v>
      </c>
      <c r="B4988" s="12">
        <v>201.10839999999999</v>
      </c>
      <c r="C4988" s="8">
        <f t="shared" si="39"/>
        <v>192.67752645400202</v>
      </c>
      <c r="D4988" s="9">
        <f t="shared" si="38"/>
        <v>75.391701738304789</v>
      </c>
      <c r="E4988" s="9"/>
      <c r="F4988" s="9">
        <f ca="1">IFERROR(__xludf.DUMMYFUNCTION("""COMPUTED_VALUE"""),40319)</f>
        <v>40319</v>
      </c>
      <c r="G4988" s="9" t="str">
        <f ca="1">IFERROR(__xludf.DUMMYFUNCTION("""COMPUTED_VALUE"""),"1 USD = 84.3669 PKR")</f>
        <v>1 USD = 84.3669 PKR</v>
      </c>
      <c r="H4988" s="9" t="str">
        <f ca="1">IFERROR(__xludf.DUMMYFUNCTION("""COMPUTED_VALUE"""),"USD PKR rate for 21/05/2010")</f>
        <v>USD PKR rate for 21/05/2010</v>
      </c>
      <c r="I4988" s="9"/>
    </row>
    <row r="4989" spans="1:9" ht="14.25" customHeight="1" x14ac:dyDescent="0.3">
      <c r="A4989" s="10">
        <v>44706</v>
      </c>
      <c r="B4989" s="12">
        <v>202.4008</v>
      </c>
      <c r="C4989" s="8">
        <f t="shared" si="39"/>
        <v>192.71198678497615</v>
      </c>
      <c r="D4989" s="9">
        <f t="shared" si="38"/>
        <v>75.394439571102055</v>
      </c>
      <c r="E4989" s="9"/>
      <c r="F4989" s="9">
        <f ca="1">IFERROR(__xludf.DUMMYFUNCTION("""COMPUTED_VALUE"""),40318)</f>
        <v>40318</v>
      </c>
      <c r="G4989" s="9" t="str">
        <f ca="1">IFERROR(__xludf.DUMMYFUNCTION("""COMPUTED_VALUE"""),"1 USD = 84.2409 PKR")</f>
        <v>1 USD = 84.2409 PKR</v>
      </c>
      <c r="H4989" s="9" t="str">
        <f ca="1">IFERROR(__xludf.DUMMYFUNCTION("""COMPUTED_VALUE"""),"USD PKR rate for 20/05/2010")</f>
        <v>USD PKR rate for 20/05/2010</v>
      </c>
      <c r="I4989" s="9"/>
    </row>
    <row r="4990" spans="1:9" ht="14.25" customHeight="1" x14ac:dyDescent="0.3">
      <c r="A4990" s="10">
        <v>44707</v>
      </c>
      <c r="B4990" s="12">
        <v>202.56139999999999</v>
      </c>
      <c r="C4990" s="8">
        <f t="shared" si="39"/>
        <v>192.7464532791725</v>
      </c>
      <c r="D4990" s="9">
        <f t="shared" si="38"/>
        <v>75.39717740389932</v>
      </c>
      <c r="E4990" s="9"/>
      <c r="F4990" s="9">
        <f ca="1">IFERROR(__xludf.DUMMYFUNCTION("""COMPUTED_VALUE"""),40317)</f>
        <v>40317</v>
      </c>
      <c r="G4990" s="9" t="str">
        <f ca="1">IFERROR(__xludf.DUMMYFUNCTION("""COMPUTED_VALUE"""),"1 USD = 84.4519 PKR")</f>
        <v>1 USD = 84.4519 PKR</v>
      </c>
      <c r="H4990" s="9" t="str">
        <f ca="1">IFERROR(__xludf.DUMMYFUNCTION("""COMPUTED_VALUE"""),"USD PKR rate for 19/05/2010")</f>
        <v>USD PKR rate for 19/05/2010</v>
      </c>
      <c r="I4990" s="9"/>
    </row>
    <row r="4991" spans="1:9" ht="14.25" customHeight="1" x14ac:dyDescent="0.3">
      <c r="A4991" s="10">
        <v>44708</v>
      </c>
      <c r="B4991" s="12">
        <v>200.10919999999999</v>
      </c>
      <c r="C4991" s="8">
        <f t="shared" si="39"/>
        <v>192.78092593769333</v>
      </c>
      <c r="D4991" s="9">
        <f t="shared" si="38"/>
        <v>75.399915236696586</v>
      </c>
      <c r="E4991" s="9"/>
      <c r="F4991" s="9">
        <f ca="1">IFERROR(__xludf.DUMMYFUNCTION("""COMPUTED_VALUE"""),40316)</f>
        <v>40316</v>
      </c>
      <c r="G4991" s="9" t="str">
        <f ca="1">IFERROR(__xludf.DUMMYFUNCTION("""COMPUTED_VALUE"""),"1 USD = 84.3449 PKR")</f>
        <v>1 USD = 84.3449 PKR</v>
      </c>
      <c r="H4991" s="9" t="str">
        <f ca="1">IFERROR(__xludf.DUMMYFUNCTION("""COMPUTED_VALUE"""),"USD PKR rate for 18/05/2010")</f>
        <v>USD PKR rate for 18/05/2010</v>
      </c>
      <c r="I4991" s="9"/>
    </row>
    <row r="4992" spans="1:9" ht="14.25" customHeight="1" x14ac:dyDescent="0.3">
      <c r="A4992" s="10">
        <v>44709</v>
      </c>
      <c r="B4992" s="12">
        <v>200.1053</v>
      </c>
      <c r="C4992" s="8">
        <f t="shared" si="39"/>
        <v>192.81540476164113</v>
      </c>
      <c r="D4992" s="9">
        <f t="shared" si="38"/>
        <v>75.402653069493851</v>
      </c>
      <c r="E4992" s="9"/>
      <c r="F4992" s="9">
        <f ca="1">IFERROR(__xludf.DUMMYFUNCTION("""COMPUTED_VALUE"""),40315)</f>
        <v>40315</v>
      </c>
      <c r="G4992" s="9" t="str">
        <f ca="1">IFERROR(__xludf.DUMMYFUNCTION("""COMPUTED_VALUE"""),"1 USD = 84.2005 PKR")</f>
        <v>1 USD = 84.2005 PKR</v>
      </c>
      <c r="H4992" s="9" t="str">
        <f ca="1">IFERROR(__xludf.DUMMYFUNCTION("""COMPUTED_VALUE"""),"USD PKR rate for 17/05/2010")</f>
        <v>USD PKR rate for 17/05/2010</v>
      </c>
      <c r="I4992" s="9"/>
    </row>
    <row r="4993" spans="1:9" ht="14.25" customHeight="1" x14ac:dyDescent="0.3">
      <c r="A4993" s="10">
        <v>44710</v>
      </c>
      <c r="B4993" s="12">
        <v>199.5224</v>
      </c>
      <c r="C4993" s="8">
        <f t="shared" si="39"/>
        <v>192.84988975211851</v>
      </c>
      <c r="D4993" s="9">
        <f t="shared" si="38"/>
        <v>75.405390902291117</v>
      </c>
      <c r="E4993" s="9"/>
      <c r="F4993" s="9">
        <f ca="1">IFERROR(__xludf.DUMMYFUNCTION("""COMPUTED_VALUE"""),40314)</f>
        <v>40314</v>
      </c>
      <c r="G4993" s="9" t="str">
        <f ca="1">IFERROR(__xludf.DUMMYFUNCTION("""COMPUTED_VALUE"""),"1 USD = 84.2936 PKR")</f>
        <v>1 USD = 84.2936 PKR</v>
      </c>
      <c r="H4993" s="9" t="str">
        <f ca="1">IFERROR(__xludf.DUMMYFUNCTION("""COMPUTED_VALUE"""),"USD PKR rate for 16/05/2010")</f>
        <v>USD PKR rate for 16/05/2010</v>
      </c>
      <c r="I4993" s="9"/>
    </row>
    <row r="4994" spans="1:9" ht="14.25" customHeight="1" x14ac:dyDescent="0.3">
      <c r="A4994" s="10">
        <v>44711</v>
      </c>
      <c r="B4994" s="12">
        <v>198.69800000000001</v>
      </c>
      <c r="C4994" s="8">
        <f t="shared" si="39"/>
        <v>192.88438091022857</v>
      </c>
      <c r="D4994" s="9">
        <f t="shared" si="38"/>
        <v>75.408128735088383</v>
      </c>
      <c r="E4994" s="9"/>
      <c r="F4994" s="9">
        <f ca="1">IFERROR(__xludf.DUMMYFUNCTION("""COMPUTED_VALUE"""),40313)</f>
        <v>40313</v>
      </c>
      <c r="G4994" s="9" t="str">
        <f ca="1">IFERROR(__xludf.DUMMYFUNCTION("""COMPUTED_VALUE"""),"1 USD = 84.2817 PKR")</f>
        <v>1 USD = 84.2817 PKR</v>
      </c>
      <c r="H4994" s="9" t="str">
        <f ca="1">IFERROR(__xludf.DUMMYFUNCTION("""COMPUTED_VALUE"""),"USD PKR rate for 15/05/2010")</f>
        <v>USD PKR rate for 15/05/2010</v>
      </c>
      <c r="I4994" s="9"/>
    </row>
    <row r="4995" spans="1:9" ht="14.25" customHeight="1" x14ac:dyDescent="0.3">
      <c r="A4995" s="10">
        <v>44712</v>
      </c>
      <c r="B4995" s="12">
        <v>198.76259999999999</v>
      </c>
      <c r="C4995" s="8">
        <f t="shared" si="39"/>
        <v>192.91887823707427</v>
      </c>
      <c r="D4995" s="9">
        <f t="shared" si="38"/>
        <v>75.410866567885648</v>
      </c>
      <c r="E4995" s="9"/>
      <c r="F4995" s="9">
        <f ca="1">IFERROR(__xludf.DUMMYFUNCTION("""COMPUTED_VALUE"""),40312)</f>
        <v>40312</v>
      </c>
      <c r="G4995" s="9" t="str">
        <f ca="1">IFERROR(__xludf.DUMMYFUNCTION("""COMPUTED_VALUE"""),"1 USD = 84.0566 PKR")</f>
        <v>1 USD = 84.0566 PKR</v>
      </c>
      <c r="H4995" s="9" t="str">
        <f ca="1">IFERROR(__xludf.DUMMYFUNCTION("""COMPUTED_VALUE"""),"USD PKR rate for 14/05/2010")</f>
        <v>USD PKR rate for 14/05/2010</v>
      </c>
      <c r="I4995" s="9"/>
    </row>
    <row r="4996" spans="1:9" ht="14.25" customHeight="1" x14ac:dyDescent="0.3">
      <c r="A4996" s="10">
        <v>44713</v>
      </c>
      <c r="B4996" s="12">
        <v>197.7158</v>
      </c>
      <c r="C4996" s="8">
        <f t="shared" si="39"/>
        <v>192.9533817337589</v>
      </c>
      <c r="D4996" s="9">
        <f t="shared" si="38"/>
        <v>75.413604400682914</v>
      </c>
      <c r="E4996" s="9"/>
      <c r="F4996" s="9">
        <f ca="1">IFERROR(__xludf.DUMMYFUNCTION("""COMPUTED_VALUE"""),40311)</f>
        <v>40311</v>
      </c>
      <c r="G4996" s="9" t="str">
        <f ca="1">IFERROR(__xludf.DUMMYFUNCTION("""COMPUTED_VALUE"""),"1 USD = 84.2905 PKR")</f>
        <v>1 USD = 84.2905 PKR</v>
      </c>
      <c r="H4996" s="9" t="str">
        <f ca="1">IFERROR(__xludf.DUMMYFUNCTION("""COMPUTED_VALUE"""),"USD PKR rate for 13/05/2010")</f>
        <v>USD PKR rate for 13/05/2010</v>
      </c>
      <c r="I4996" s="9"/>
    </row>
    <row r="4997" spans="1:9" ht="14.25" customHeight="1" x14ac:dyDescent="0.3">
      <c r="A4997" s="10">
        <v>44714</v>
      </c>
      <c r="B4997" s="12">
        <v>197.6147</v>
      </c>
      <c r="C4997" s="8">
        <f t="shared" si="39"/>
        <v>192.98789140138589</v>
      </c>
      <c r="D4997" s="9">
        <f t="shared" si="38"/>
        <v>75.416342233480179</v>
      </c>
      <c r="E4997" s="9"/>
      <c r="F4997" s="9">
        <f ca="1">IFERROR(__xludf.DUMMYFUNCTION("""COMPUTED_VALUE"""),40310)</f>
        <v>40310</v>
      </c>
      <c r="G4997" s="9" t="str">
        <f ca="1">IFERROR(__xludf.DUMMYFUNCTION("""COMPUTED_VALUE"""),"1 USD = 84.0616 PKR")</f>
        <v>1 USD = 84.0616 PKR</v>
      </c>
      <c r="H4997" s="9" t="str">
        <f ca="1">IFERROR(__xludf.DUMMYFUNCTION("""COMPUTED_VALUE"""),"USD PKR rate for 12/05/2010")</f>
        <v>USD PKR rate for 12/05/2010</v>
      </c>
      <c r="I4997" s="9"/>
    </row>
    <row r="4998" spans="1:9" ht="14.25" customHeight="1" x14ac:dyDescent="0.3">
      <c r="A4998" s="10">
        <v>44715</v>
      </c>
      <c r="B4998" s="12">
        <v>197.59989999999999</v>
      </c>
      <c r="C4998" s="8">
        <f t="shared" si="39"/>
        <v>193.02240724105897</v>
      </c>
      <c r="D4998" s="9">
        <f t="shared" si="38"/>
        <v>75.419080066277445</v>
      </c>
      <c r="E4998" s="9"/>
      <c r="F4998" s="9">
        <f ca="1">IFERROR(__xludf.DUMMYFUNCTION("""COMPUTED_VALUE"""),40309)</f>
        <v>40309</v>
      </c>
      <c r="G4998" s="9" t="str">
        <f ca="1">IFERROR(__xludf.DUMMYFUNCTION("""COMPUTED_VALUE"""),"1 USD = 84.0247 PKR")</f>
        <v>1 USD = 84.0247 PKR</v>
      </c>
      <c r="H4998" s="9" t="str">
        <f ca="1">IFERROR(__xludf.DUMMYFUNCTION("""COMPUTED_VALUE"""),"USD PKR rate for 11/05/2010")</f>
        <v>USD PKR rate for 11/05/2010</v>
      </c>
      <c r="I4998" s="9"/>
    </row>
    <row r="4999" spans="1:9" ht="14.25" customHeight="1" x14ac:dyDescent="0.3">
      <c r="A4999" s="10">
        <v>44716</v>
      </c>
      <c r="B4999" s="12">
        <v>198.14439999999999</v>
      </c>
      <c r="C4999" s="8">
        <f t="shared" si="39"/>
        <v>193.05692925388198</v>
      </c>
      <c r="D4999" s="9">
        <f t="shared" si="38"/>
        <v>75.421817899074711</v>
      </c>
      <c r="E4999" s="9"/>
      <c r="F4999" s="9">
        <f ca="1">IFERROR(__xludf.DUMMYFUNCTION("""COMPUTED_VALUE"""),40308)</f>
        <v>40308</v>
      </c>
      <c r="G4999" s="9" t="str">
        <f ca="1">IFERROR(__xludf.DUMMYFUNCTION("""COMPUTED_VALUE"""),"1 USD = 84.3652 PKR")</f>
        <v>1 USD = 84.3652 PKR</v>
      </c>
      <c r="H4999" s="9" t="str">
        <f ca="1">IFERROR(__xludf.DUMMYFUNCTION("""COMPUTED_VALUE"""),"USD PKR rate for 10/05/2010")</f>
        <v>USD PKR rate for 10/05/2010</v>
      </c>
      <c r="I4999" s="9"/>
    </row>
    <row r="5000" spans="1:9" ht="14.25" customHeight="1" x14ac:dyDescent="0.3">
      <c r="A5000" s="10">
        <v>44717</v>
      </c>
      <c r="B5000" s="12">
        <v>198.03790000000001</v>
      </c>
      <c r="C5000" s="8">
        <f t="shared" si="39"/>
        <v>193.09145744095898</v>
      </c>
      <c r="D5000" s="9">
        <f t="shared" si="38"/>
        <v>75.424555731871976</v>
      </c>
      <c r="E5000" s="9"/>
      <c r="F5000" s="9">
        <f ca="1">IFERROR(__xludf.DUMMYFUNCTION("""COMPUTED_VALUE"""),40307)</f>
        <v>40307</v>
      </c>
      <c r="G5000" s="9" t="str">
        <f ca="1">IFERROR(__xludf.DUMMYFUNCTION("""COMPUTED_VALUE"""),"1 USD = 84.2894 PKR")</f>
        <v>1 USD = 84.2894 PKR</v>
      </c>
      <c r="H5000" s="9" t="str">
        <f ca="1">IFERROR(__xludf.DUMMYFUNCTION("""COMPUTED_VALUE"""),"USD PKR rate for 09/05/2010")</f>
        <v>USD PKR rate for 09/05/2010</v>
      </c>
      <c r="I5000" s="9"/>
    </row>
    <row r="5001" spans="1:9" ht="14.25" customHeight="1" x14ac:dyDescent="0.3">
      <c r="A5001" s="10">
        <v>44718</v>
      </c>
      <c r="B5001" s="12">
        <v>199.9828</v>
      </c>
      <c r="C5001" s="8">
        <f t="shared" si="39"/>
        <v>193.12599180339421</v>
      </c>
      <c r="D5001" s="9">
        <f t="shared" si="38"/>
        <v>75.427293564669242</v>
      </c>
      <c r="E5001" s="9"/>
      <c r="F5001" s="9">
        <f ca="1">IFERROR(__xludf.DUMMYFUNCTION("""COMPUTED_VALUE"""),40306)</f>
        <v>40306</v>
      </c>
      <c r="G5001" s="9" t="str">
        <f ca="1">IFERROR(__xludf.DUMMYFUNCTION("""COMPUTED_VALUE"""),"1 USD = 84.2452 PKR")</f>
        <v>1 USD = 84.2452 PKR</v>
      </c>
      <c r="H5001" s="9" t="str">
        <f ca="1">IFERROR(__xludf.DUMMYFUNCTION("""COMPUTED_VALUE"""),"USD PKR rate for 08/05/2010")</f>
        <v>USD PKR rate for 08/05/2010</v>
      </c>
      <c r="I5001" s="9"/>
    </row>
    <row r="5002" spans="1:9" ht="14.25" customHeight="1" x14ac:dyDescent="0.3">
      <c r="A5002" s="10">
        <v>44719</v>
      </c>
      <c r="B5002" s="12">
        <v>201.6294</v>
      </c>
      <c r="C5002" s="8">
        <f t="shared" si="39"/>
        <v>193.16053234229202</v>
      </c>
      <c r="D5002" s="9">
        <f t="shared" si="38"/>
        <v>75.430031397466507</v>
      </c>
      <c r="E5002" s="9"/>
      <c r="F5002" s="9">
        <f ca="1">IFERROR(__xludf.DUMMYFUNCTION("""COMPUTED_VALUE"""),40305)</f>
        <v>40305</v>
      </c>
      <c r="G5002" s="9" t="str">
        <f ca="1">IFERROR(__xludf.DUMMYFUNCTION("""COMPUTED_VALUE"""),"1 USD = 84.3932 PKR")</f>
        <v>1 USD = 84.3932 PKR</v>
      </c>
      <c r="H5002" s="9" t="str">
        <f ca="1">IFERROR(__xludf.DUMMYFUNCTION("""COMPUTED_VALUE"""),"USD PKR rate for 07/05/2010")</f>
        <v>USD PKR rate for 07/05/2010</v>
      </c>
      <c r="I5002" s="9"/>
    </row>
    <row r="5003" spans="1:9" ht="14.25" customHeight="1" x14ac:dyDescent="0.3">
      <c r="A5003" s="10">
        <v>44720</v>
      </c>
      <c r="B5003" s="12">
        <v>200.2124</v>
      </c>
      <c r="C5003" s="8">
        <f t="shared" si="39"/>
        <v>193.19507905875739</v>
      </c>
      <c r="D5003" s="9">
        <f t="shared" si="38"/>
        <v>75.432769230263773</v>
      </c>
      <c r="E5003" s="9"/>
      <c r="F5003" s="9">
        <f ca="1">IFERROR(__xludf.DUMMYFUNCTION("""COMPUTED_VALUE"""),40304)</f>
        <v>40304</v>
      </c>
      <c r="G5003" s="9" t="str">
        <f ca="1">IFERROR(__xludf.DUMMYFUNCTION("""COMPUTED_VALUE"""),"1 USD = 84.1471 PKR")</f>
        <v>1 USD = 84.1471 PKR</v>
      </c>
      <c r="H5003" s="9" t="str">
        <f ca="1">IFERROR(__xludf.DUMMYFUNCTION("""COMPUTED_VALUE"""),"USD PKR rate for 06/05/2010")</f>
        <v>USD PKR rate for 06/05/2010</v>
      </c>
      <c r="I5003" s="9"/>
    </row>
    <row r="5004" spans="1:9" ht="14.25" customHeight="1" x14ac:dyDescent="0.3">
      <c r="A5004" s="10">
        <v>44721</v>
      </c>
      <c r="B5004" s="12">
        <v>201.17830000000001</v>
      </c>
      <c r="C5004" s="8">
        <f t="shared" si="39"/>
        <v>193.22963195389516</v>
      </c>
      <c r="D5004" s="9">
        <f t="shared" si="38"/>
        <v>75.435507063061053</v>
      </c>
      <c r="E5004" s="9"/>
      <c r="F5004" s="9">
        <f ca="1">IFERROR(__xludf.DUMMYFUNCTION("""COMPUTED_VALUE"""),40303)</f>
        <v>40303</v>
      </c>
      <c r="G5004" s="9" t="str">
        <f ca="1">IFERROR(__xludf.DUMMYFUNCTION("""COMPUTED_VALUE"""),"1 USD = 84.0539 PKR")</f>
        <v>1 USD = 84.0539 PKR</v>
      </c>
      <c r="H5004" s="9" t="str">
        <f ca="1">IFERROR(__xludf.DUMMYFUNCTION("""COMPUTED_VALUE"""),"USD PKR rate for 05/05/2010")</f>
        <v>USD PKR rate for 05/05/2010</v>
      </c>
      <c r="I5004" s="9"/>
    </row>
    <row r="5005" spans="1:9" ht="14.25" customHeight="1" x14ac:dyDescent="0.3">
      <c r="A5005" s="10">
        <v>44722</v>
      </c>
      <c r="B5005" s="12">
        <v>201.99379999999999</v>
      </c>
      <c r="C5005" s="8">
        <f t="shared" si="39"/>
        <v>193.26419102881005</v>
      </c>
      <c r="D5005" s="9">
        <f t="shared" si="38"/>
        <v>75.438244895858318</v>
      </c>
      <c r="E5005" s="9"/>
      <c r="F5005" s="9">
        <f ca="1">IFERROR(__xludf.DUMMYFUNCTION("""COMPUTED_VALUE"""),40302)</f>
        <v>40302</v>
      </c>
      <c r="G5005" s="9" t="str">
        <f ca="1">IFERROR(__xludf.DUMMYFUNCTION("""COMPUTED_VALUE"""),"1 USD = 84.1638 PKR")</f>
        <v>1 USD = 84.1638 PKR</v>
      </c>
      <c r="H5005" s="9" t="str">
        <f ca="1">IFERROR(__xludf.DUMMYFUNCTION("""COMPUTED_VALUE"""),"USD PKR rate for 04/05/2010")</f>
        <v>USD PKR rate for 04/05/2010</v>
      </c>
      <c r="I5005" s="9"/>
    </row>
    <row r="5006" spans="1:9" ht="14.25" customHeight="1" x14ac:dyDescent="0.3">
      <c r="A5006" s="10">
        <v>44723</v>
      </c>
      <c r="B5006" s="12">
        <v>202.00819999999999</v>
      </c>
      <c r="C5006" s="8">
        <f t="shared" si="39"/>
        <v>193.29875628460749</v>
      </c>
      <c r="D5006" s="9">
        <f t="shared" si="38"/>
        <v>75.440982728655584</v>
      </c>
      <c r="E5006" s="9"/>
      <c r="F5006" s="9">
        <f ca="1">IFERROR(__xludf.DUMMYFUNCTION("""COMPUTED_VALUE"""),40301)</f>
        <v>40301</v>
      </c>
      <c r="G5006" s="9" t="str">
        <f ca="1">IFERROR(__xludf.DUMMYFUNCTION("""COMPUTED_VALUE"""),"1 USD = 84.1269 PKR")</f>
        <v>1 USD = 84.1269 PKR</v>
      </c>
      <c r="H5006" s="9" t="str">
        <f ca="1">IFERROR(__xludf.DUMMYFUNCTION("""COMPUTED_VALUE"""),"USD PKR rate for 03/05/2010")</f>
        <v>USD PKR rate for 03/05/2010</v>
      </c>
      <c r="I5006" s="9"/>
    </row>
    <row r="5007" spans="1:9" ht="14.25" customHeight="1" x14ac:dyDescent="0.3">
      <c r="A5007" s="10">
        <v>44724</v>
      </c>
      <c r="B5007" s="12">
        <v>203.3929</v>
      </c>
      <c r="C5007" s="8">
        <f t="shared" si="39"/>
        <v>193.33332772239291</v>
      </c>
      <c r="D5007" s="9">
        <f t="shared" si="38"/>
        <v>75.443720561452849</v>
      </c>
      <c r="E5007" s="9"/>
      <c r="F5007" s="9">
        <f ca="1">IFERROR(__xludf.DUMMYFUNCTION("""COMPUTED_VALUE"""),40300)</f>
        <v>40300</v>
      </c>
      <c r="G5007" s="9" t="str">
        <f ca="1">IFERROR(__xludf.DUMMYFUNCTION("""COMPUTED_VALUE"""),"1 USD = 84.5187 PKR")</f>
        <v>1 USD = 84.5187 PKR</v>
      </c>
      <c r="H5007" s="9" t="str">
        <f ca="1">IFERROR(__xludf.DUMMYFUNCTION("""COMPUTED_VALUE"""),"USD PKR rate for 02/05/2010")</f>
        <v>USD PKR rate for 02/05/2010</v>
      </c>
      <c r="I5007" s="9"/>
    </row>
    <row r="5008" spans="1:9" ht="14.25" customHeight="1" x14ac:dyDescent="0.3">
      <c r="A5008" s="10">
        <v>44725</v>
      </c>
      <c r="B5008" s="12">
        <v>204.17779999999999</v>
      </c>
      <c r="C5008" s="8">
        <f t="shared" si="39"/>
        <v>193.36790534327201</v>
      </c>
      <c r="D5008" s="9">
        <f t="shared" si="38"/>
        <v>75.446458394250115</v>
      </c>
      <c r="E5008" s="9"/>
      <c r="F5008" s="9">
        <f ca="1">IFERROR(__xludf.DUMMYFUNCTION("""COMPUTED_VALUE"""),40299)</f>
        <v>40299</v>
      </c>
      <c r="G5008" s="9" t="str">
        <f ca="1">IFERROR(__xludf.DUMMYFUNCTION("""COMPUTED_VALUE"""),"1 USD = 84.5131 PKR")</f>
        <v>1 USD = 84.5131 PKR</v>
      </c>
      <c r="H5008" s="9" t="str">
        <f ca="1">IFERROR(__xludf.DUMMYFUNCTION("""COMPUTED_VALUE"""),"USD PKR rate for 01/05/2010")</f>
        <v>USD PKR rate for 01/05/2010</v>
      </c>
      <c r="I5008" s="9"/>
    </row>
    <row r="5009" spans="1:9" ht="14.25" customHeight="1" x14ac:dyDescent="0.3">
      <c r="A5009" s="10">
        <v>44726</v>
      </c>
      <c r="B5009" s="12">
        <v>206.23269999999999</v>
      </c>
      <c r="C5009" s="8">
        <f t="shared" si="39"/>
        <v>193.40248914835055</v>
      </c>
      <c r="D5009" s="9">
        <f t="shared" si="38"/>
        <v>75.449196227047381</v>
      </c>
      <c r="E5009" s="9"/>
      <c r="F5009" s="9">
        <f ca="1">IFERROR(__xludf.DUMMYFUNCTION("""COMPUTED_VALUE"""),40298)</f>
        <v>40298</v>
      </c>
      <c r="G5009" s="9" t="str">
        <f ca="1">IFERROR(__xludf.DUMMYFUNCTION("""COMPUTED_VALUE"""),"1 USD = 84.1199 PKR")</f>
        <v>1 USD = 84.1199 PKR</v>
      </c>
      <c r="H5009" s="9" t="str">
        <f ca="1">IFERROR(__xludf.DUMMYFUNCTION("""COMPUTED_VALUE"""),"USD PKR rate for 30/04/2010")</f>
        <v>USD PKR rate for 30/04/2010</v>
      </c>
      <c r="I5009" s="9"/>
    </row>
    <row r="5010" spans="1:9" ht="14.25" customHeight="1" x14ac:dyDescent="0.3">
      <c r="A5010" s="10">
        <v>44727</v>
      </c>
      <c r="B5010" s="12">
        <v>206.32579999999999</v>
      </c>
      <c r="C5010" s="8">
        <f t="shared" si="39"/>
        <v>193.43707913873462</v>
      </c>
      <c r="D5010" s="9">
        <f t="shared" si="38"/>
        <v>75.451934059844646</v>
      </c>
      <c r="E5010" s="9"/>
      <c r="F5010" s="9">
        <f ca="1">IFERROR(__xludf.DUMMYFUNCTION("""COMPUTED_VALUE"""),40297)</f>
        <v>40297</v>
      </c>
      <c r="G5010" s="9" t="str">
        <f ca="1">IFERROR(__xludf.DUMMYFUNCTION("""COMPUTED_VALUE"""),"1 USD = 83.9731 PKR")</f>
        <v>1 USD = 83.9731 PKR</v>
      </c>
      <c r="H5010" s="9" t="str">
        <f ca="1">IFERROR(__xludf.DUMMYFUNCTION("""COMPUTED_VALUE"""),"USD PKR rate for 29/04/2010")</f>
        <v>USD PKR rate for 29/04/2010</v>
      </c>
      <c r="I5010" s="9"/>
    </row>
    <row r="5011" spans="1:9" ht="14.25" customHeight="1" x14ac:dyDescent="0.3">
      <c r="A5011" s="10">
        <v>44728</v>
      </c>
      <c r="B5011" s="12">
        <v>207.81729999999999</v>
      </c>
      <c r="C5011" s="8">
        <f t="shared" si="39"/>
        <v>193.47167531553046</v>
      </c>
      <c r="D5011" s="9">
        <f t="shared" si="38"/>
        <v>75.454671892641912</v>
      </c>
      <c r="E5011" s="9"/>
      <c r="F5011" s="9">
        <f ca="1">IFERROR(__xludf.DUMMYFUNCTION("""COMPUTED_VALUE"""),40296)</f>
        <v>40296</v>
      </c>
      <c r="G5011" s="9" t="str">
        <f ca="1">IFERROR(__xludf.DUMMYFUNCTION("""COMPUTED_VALUE"""),"1 USD = 84.1447 PKR")</f>
        <v>1 USD = 84.1447 PKR</v>
      </c>
      <c r="H5011" s="9" t="str">
        <f ca="1">IFERROR(__xludf.DUMMYFUNCTION("""COMPUTED_VALUE"""),"USD PKR rate for 28/04/2010")</f>
        <v>USD PKR rate for 28/04/2010</v>
      </c>
      <c r="I5011" s="9"/>
    </row>
    <row r="5012" spans="1:9" ht="14.25" customHeight="1" x14ac:dyDescent="0.3">
      <c r="A5012" s="10">
        <v>44729</v>
      </c>
      <c r="B5012" s="12">
        <v>208.8502</v>
      </c>
      <c r="C5012" s="8">
        <f t="shared" si="39"/>
        <v>193.50627767984435</v>
      </c>
      <c r="D5012" s="9">
        <f t="shared" si="38"/>
        <v>75.457409725439177</v>
      </c>
      <c r="E5012" s="9"/>
      <c r="F5012" s="9">
        <f ca="1">IFERROR(__xludf.DUMMYFUNCTION("""COMPUTED_VALUE"""),40295)</f>
        <v>40295</v>
      </c>
      <c r="G5012" s="9" t="str">
        <f ca="1">IFERROR(__xludf.DUMMYFUNCTION("""COMPUTED_VALUE"""),"1 USD = 84.1331 PKR")</f>
        <v>1 USD = 84.1331 PKR</v>
      </c>
      <c r="H5012" s="9" t="str">
        <f ca="1">IFERROR(__xludf.DUMMYFUNCTION("""COMPUTED_VALUE"""),"USD PKR rate for 27/04/2010")</f>
        <v>USD PKR rate for 27/04/2010</v>
      </c>
      <c r="I5012" s="9"/>
    </row>
    <row r="5013" spans="1:9" ht="14.25" customHeight="1" x14ac:dyDescent="0.3">
      <c r="A5013" s="10">
        <v>44730</v>
      </c>
      <c r="B5013" s="12">
        <v>209.6661</v>
      </c>
      <c r="C5013" s="8">
        <f t="shared" si="39"/>
        <v>193.54088623278324</v>
      </c>
      <c r="D5013" s="9">
        <f t="shared" si="38"/>
        <v>75.460147558236443</v>
      </c>
      <c r="E5013" s="9"/>
      <c r="F5013" s="9">
        <f ca="1">IFERROR(__xludf.DUMMYFUNCTION("""COMPUTED_VALUE"""),40294)</f>
        <v>40294</v>
      </c>
      <c r="G5013" s="9" t="str">
        <f ca="1">IFERROR(__xludf.DUMMYFUNCTION("""COMPUTED_VALUE"""),"1 USD = 84.1537 PKR")</f>
        <v>1 USD = 84.1537 PKR</v>
      </c>
      <c r="H5013" s="9" t="str">
        <f ca="1">IFERROR(__xludf.DUMMYFUNCTION("""COMPUTED_VALUE"""),"USD PKR rate for 26/04/2010")</f>
        <v>USD PKR rate for 26/04/2010</v>
      </c>
      <c r="I5013" s="9"/>
    </row>
    <row r="5014" spans="1:9" ht="14.25" customHeight="1" x14ac:dyDescent="0.3">
      <c r="A5014" s="10">
        <v>44731</v>
      </c>
      <c r="B5014" s="12">
        <v>209.51150000000001</v>
      </c>
      <c r="C5014" s="8">
        <f t="shared" si="39"/>
        <v>193.57550097545382</v>
      </c>
      <c r="D5014" s="9">
        <f t="shared" si="38"/>
        <v>75.462885391033709</v>
      </c>
      <c r="E5014" s="9"/>
      <c r="F5014" s="9">
        <f ca="1">IFERROR(__xludf.DUMMYFUNCTION("""COMPUTED_VALUE"""),40293)</f>
        <v>40293</v>
      </c>
      <c r="G5014" s="9" t="str">
        <f ca="1">IFERROR(__xludf.DUMMYFUNCTION("""COMPUTED_VALUE"""),"1 USD = 83.992 PKR")</f>
        <v>1 USD = 83.992 PKR</v>
      </c>
      <c r="H5014" s="9" t="str">
        <f ca="1">IFERROR(__xludf.DUMMYFUNCTION("""COMPUTED_VALUE"""),"USD PKR rate for 25/04/2010")</f>
        <v>USD PKR rate for 25/04/2010</v>
      </c>
      <c r="I5014" s="9"/>
    </row>
    <row r="5015" spans="1:9" ht="14.25" customHeight="1" x14ac:dyDescent="0.3">
      <c r="A5015" s="10">
        <v>44732</v>
      </c>
      <c r="B5015" s="11">
        <v>210.233</v>
      </c>
      <c r="C5015" s="8">
        <f t="shared" si="39"/>
        <v>193.61012190896309</v>
      </c>
      <c r="D5015" s="9">
        <f t="shared" si="38"/>
        <v>75.465623223830974</v>
      </c>
      <c r="E5015" s="9"/>
      <c r="F5015" s="9">
        <f ca="1">IFERROR(__xludf.DUMMYFUNCTION("""COMPUTED_VALUE"""),40292)</f>
        <v>40292</v>
      </c>
      <c r="G5015" s="9" t="str">
        <f ca="1">IFERROR(__xludf.DUMMYFUNCTION("""COMPUTED_VALUE"""),"1 USD = 84.0012 PKR")</f>
        <v>1 USD = 84.0012 PKR</v>
      </c>
      <c r="H5015" s="9" t="str">
        <f ca="1">IFERROR(__xludf.DUMMYFUNCTION("""COMPUTED_VALUE"""),"USD PKR rate for 24/04/2010")</f>
        <v>USD PKR rate for 24/04/2010</v>
      </c>
      <c r="I5015" s="9"/>
    </row>
    <row r="5016" spans="1:9" ht="14.25" customHeight="1" x14ac:dyDescent="0.3">
      <c r="A5016" s="10">
        <v>44733</v>
      </c>
      <c r="B5016" s="11">
        <v>211.90790000000001</v>
      </c>
      <c r="C5016" s="8">
        <f t="shared" si="39"/>
        <v>193.64474903441828</v>
      </c>
      <c r="D5016" s="9">
        <f t="shared" si="38"/>
        <v>75.46836105662824</v>
      </c>
      <c r="E5016" s="9"/>
      <c r="F5016" s="9">
        <f ca="1">IFERROR(__xludf.DUMMYFUNCTION("""COMPUTED_VALUE"""),40291)</f>
        <v>40291</v>
      </c>
      <c r="G5016" s="9" t="str">
        <f ca="1">IFERROR(__xludf.DUMMYFUNCTION("""COMPUTED_VALUE"""),"1 USD = 83.9928 PKR")</f>
        <v>1 USD = 83.9928 PKR</v>
      </c>
      <c r="H5016" s="9" t="str">
        <f ca="1">IFERROR(__xludf.DUMMYFUNCTION("""COMPUTED_VALUE"""),"USD PKR rate for 23/04/2010")</f>
        <v>USD PKR rate for 23/04/2010</v>
      </c>
      <c r="I5016" s="9"/>
    </row>
    <row r="5017" spans="1:9" ht="14.25" customHeight="1" x14ac:dyDescent="0.3">
      <c r="A5017" s="10">
        <v>44734</v>
      </c>
      <c r="B5017" s="11">
        <v>211.38079999999999</v>
      </c>
      <c r="C5017" s="8">
        <f t="shared" si="39"/>
        <v>193.67938235292686</v>
      </c>
      <c r="D5017" s="9">
        <f t="shared" si="38"/>
        <v>75.471098889425505</v>
      </c>
      <c r="E5017" s="9"/>
      <c r="F5017" s="9">
        <f ca="1">IFERROR(__xludf.DUMMYFUNCTION("""COMPUTED_VALUE"""),40290)</f>
        <v>40290</v>
      </c>
      <c r="G5017" s="9" t="str">
        <f ca="1">IFERROR(__xludf.DUMMYFUNCTION("""COMPUTED_VALUE"""),"1 USD = 83.9189 PKR")</f>
        <v>1 USD = 83.9189 PKR</v>
      </c>
      <c r="H5017" s="9" t="str">
        <f ca="1">IFERROR(__xludf.DUMMYFUNCTION("""COMPUTED_VALUE"""),"USD PKR rate for 22/04/2010")</f>
        <v>USD PKR rate for 22/04/2010</v>
      </c>
      <c r="I5017" s="9"/>
    </row>
    <row r="5018" spans="1:9" ht="14.25" customHeight="1" x14ac:dyDescent="0.3">
      <c r="A5018" s="10">
        <v>44735</v>
      </c>
      <c r="B5018" s="11">
        <v>210.17580000000001</v>
      </c>
      <c r="C5018" s="8">
        <f t="shared" si="39"/>
        <v>193.71402186559644</v>
      </c>
      <c r="D5018" s="9">
        <f t="shared" si="38"/>
        <v>75.473836722222771</v>
      </c>
      <c r="E5018" s="9"/>
      <c r="F5018" s="9">
        <f ca="1">IFERROR(__xludf.DUMMYFUNCTION("""COMPUTED_VALUE"""),40289)</f>
        <v>40289</v>
      </c>
      <c r="G5018" s="9" t="str">
        <f ca="1">IFERROR(__xludf.DUMMYFUNCTION("""COMPUTED_VALUE"""),"1 USD = 84.1345 PKR")</f>
        <v>1 USD = 84.1345 PKR</v>
      </c>
      <c r="H5018" s="9" t="str">
        <f ca="1">IFERROR(__xludf.DUMMYFUNCTION("""COMPUTED_VALUE"""),"USD PKR rate for 21/04/2010")</f>
        <v>USD PKR rate for 21/04/2010</v>
      </c>
      <c r="I5018" s="9"/>
    </row>
    <row r="5019" spans="1:9" ht="14.25" customHeight="1" x14ac:dyDescent="0.3">
      <c r="A5019" s="10">
        <v>44736</v>
      </c>
      <c r="B5019" s="11">
        <v>208.39160000000001</v>
      </c>
      <c r="C5019" s="8">
        <f t="shared" si="39"/>
        <v>193.74866757353482</v>
      </c>
      <c r="D5019" s="9">
        <f t="shared" si="38"/>
        <v>75.476574555020036</v>
      </c>
      <c r="E5019" s="9"/>
      <c r="F5019" s="9">
        <f ca="1">IFERROR(__xludf.DUMMYFUNCTION("""COMPUTED_VALUE"""),40288)</f>
        <v>40288</v>
      </c>
      <c r="G5019" s="9" t="str">
        <f ca="1">IFERROR(__xludf.DUMMYFUNCTION("""COMPUTED_VALUE"""),"1 USD = 84.1553 PKR")</f>
        <v>1 USD = 84.1553 PKR</v>
      </c>
      <c r="H5019" s="9" t="str">
        <f ca="1">IFERROR(__xludf.DUMMYFUNCTION("""COMPUTED_VALUE"""),"USD PKR rate for 20/04/2010")</f>
        <v>USD PKR rate for 20/04/2010</v>
      </c>
      <c r="I5019" s="9"/>
    </row>
    <row r="5020" spans="1:9" ht="14.25" customHeight="1" x14ac:dyDescent="0.3">
      <c r="A5020" s="10">
        <v>44737</v>
      </c>
      <c r="B5020" s="11">
        <v>208.39160000000001</v>
      </c>
      <c r="C5020" s="8">
        <f t="shared" si="39"/>
        <v>193.78331947785006</v>
      </c>
      <c r="D5020" s="9">
        <f t="shared" si="38"/>
        <v>75.479312387817302</v>
      </c>
      <c r="E5020" s="9"/>
      <c r="F5020" s="9">
        <f ca="1">IFERROR(__xludf.DUMMYFUNCTION("""COMPUTED_VALUE"""),40287)</f>
        <v>40287</v>
      </c>
      <c r="G5020" s="9" t="str">
        <f ca="1">IFERROR(__xludf.DUMMYFUNCTION("""COMPUTED_VALUE"""),"1 USD = 84.1565 PKR")</f>
        <v>1 USD = 84.1565 PKR</v>
      </c>
      <c r="H5020" s="9" t="str">
        <f ca="1">IFERROR(__xludf.DUMMYFUNCTION("""COMPUTED_VALUE"""),"USD PKR rate for 19/04/2010")</f>
        <v>USD PKR rate for 19/04/2010</v>
      </c>
      <c r="I5020" s="9"/>
    </row>
    <row r="5021" spans="1:9" ht="14.25" customHeight="1" x14ac:dyDescent="0.3">
      <c r="A5021" s="10">
        <v>44738</v>
      </c>
      <c r="B5021" s="11">
        <v>207.85820000000001</v>
      </c>
      <c r="C5021" s="8">
        <f t="shared" si="39"/>
        <v>193.81797757965018</v>
      </c>
      <c r="D5021" s="9">
        <f t="shared" si="38"/>
        <v>75.482050220614568</v>
      </c>
      <c r="E5021" s="9"/>
      <c r="F5021" s="9">
        <f ca="1">IFERROR(__xludf.DUMMYFUNCTION("""COMPUTED_VALUE"""),40286)</f>
        <v>40286</v>
      </c>
      <c r="G5021" s="9" t="str">
        <f ca="1">IFERROR(__xludf.DUMMYFUNCTION("""COMPUTED_VALUE"""),"1 USD = 84.1716 PKR")</f>
        <v>1 USD = 84.1716 PKR</v>
      </c>
      <c r="H5021" s="9" t="str">
        <f ca="1">IFERROR(__xludf.DUMMYFUNCTION("""COMPUTED_VALUE"""),"USD PKR rate for 18/04/2010")</f>
        <v>USD PKR rate for 18/04/2010</v>
      </c>
      <c r="I5021" s="9"/>
    </row>
    <row r="5022" spans="1:9" ht="14.25" customHeight="1" x14ac:dyDescent="0.3">
      <c r="A5022" s="10">
        <v>44739</v>
      </c>
      <c r="B5022" s="11">
        <v>207.30879999999999</v>
      </c>
      <c r="C5022" s="8">
        <f t="shared" si="39"/>
        <v>193.85264188004396</v>
      </c>
      <c r="D5022" s="9">
        <f t="shared" si="38"/>
        <v>75.484788053411833</v>
      </c>
      <c r="E5022" s="9"/>
      <c r="F5022" s="9">
        <f ca="1">IFERROR(__xludf.DUMMYFUNCTION("""COMPUTED_VALUE"""),40285)</f>
        <v>40285</v>
      </c>
      <c r="G5022" s="9" t="str">
        <f ca="1">IFERROR(__xludf.DUMMYFUNCTION("""COMPUTED_VALUE"""),"1 USD = 84.168 PKR")</f>
        <v>1 USD = 84.168 PKR</v>
      </c>
      <c r="H5022" s="9" t="str">
        <f ca="1">IFERROR(__xludf.DUMMYFUNCTION("""COMPUTED_VALUE"""),"USD PKR rate for 17/04/2010")</f>
        <v>USD PKR rate for 17/04/2010</v>
      </c>
      <c r="I5022" s="9"/>
    </row>
    <row r="5023" spans="1:9" ht="14.25" customHeight="1" x14ac:dyDescent="0.3">
      <c r="A5023" s="10">
        <v>44740</v>
      </c>
      <c r="B5023" s="11">
        <v>205.73929999999999</v>
      </c>
      <c r="C5023" s="8">
        <f t="shared" si="39"/>
        <v>193.88731238013983</v>
      </c>
      <c r="D5023" s="9">
        <f t="shared" si="38"/>
        <v>75.487525886209099</v>
      </c>
      <c r="E5023" s="9"/>
      <c r="F5023" s="9">
        <f ca="1">IFERROR(__xludf.DUMMYFUNCTION("""COMPUTED_VALUE"""),40284)</f>
        <v>40284</v>
      </c>
      <c r="G5023" s="9" t="str">
        <f ca="1">IFERROR(__xludf.DUMMYFUNCTION("""COMPUTED_VALUE"""),"1 USD = 84.0403 PKR")</f>
        <v>1 USD = 84.0403 PKR</v>
      </c>
      <c r="H5023" s="9" t="str">
        <f ca="1">IFERROR(__xludf.DUMMYFUNCTION("""COMPUTED_VALUE"""),"USD PKR rate for 16/04/2010")</f>
        <v>USD PKR rate for 16/04/2010</v>
      </c>
      <c r="I5023" s="9"/>
    </row>
    <row r="5024" spans="1:9" ht="14.25" customHeight="1" x14ac:dyDescent="0.3">
      <c r="A5024" s="10">
        <v>44741</v>
      </c>
      <c r="B5024" s="11">
        <v>204.89109999999999</v>
      </c>
      <c r="C5024" s="8">
        <f t="shared" si="39"/>
        <v>193.92198908104663</v>
      </c>
      <c r="D5024" s="9">
        <f t="shared" si="38"/>
        <v>75.490263719006364</v>
      </c>
      <c r="E5024" s="9"/>
      <c r="F5024" s="9">
        <f ca="1">IFERROR(__xludf.DUMMYFUNCTION("""COMPUTED_VALUE"""),40283)</f>
        <v>40283</v>
      </c>
      <c r="G5024" s="9" t="str">
        <f ca="1">IFERROR(__xludf.DUMMYFUNCTION("""COMPUTED_VALUE"""),"1 USD = 84.1111 PKR")</f>
        <v>1 USD = 84.1111 PKR</v>
      </c>
      <c r="H5024" s="9" t="str">
        <f ca="1">IFERROR(__xludf.DUMMYFUNCTION("""COMPUTED_VALUE"""),"USD PKR rate for 15/04/2010")</f>
        <v>USD PKR rate for 15/04/2010</v>
      </c>
      <c r="I5024" s="9"/>
    </row>
    <row r="5025" spans="1:9" ht="14.25" customHeight="1" x14ac:dyDescent="0.3">
      <c r="A5025" s="10">
        <v>44742</v>
      </c>
      <c r="B5025" s="11">
        <v>204.03149999999999</v>
      </c>
      <c r="C5025" s="8">
        <f t="shared" si="39"/>
        <v>193.95667198387329</v>
      </c>
      <c r="D5025" s="9">
        <f t="shared" si="38"/>
        <v>75.49300155180363</v>
      </c>
      <c r="E5025" s="9"/>
      <c r="F5025" s="9">
        <f ca="1">IFERROR(__xludf.DUMMYFUNCTION("""COMPUTED_VALUE"""),40282)</f>
        <v>40282</v>
      </c>
      <c r="G5025" s="9" t="str">
        <f ca="1">IFERROR(__xludf.DUMMYFUNCTION("""COMPUTED_VALUE"""),"1 USD = 83.8702 PKR")</f>
        <v>1 USD = 83.8702 PKR</v>
      </c>
      <c r="H5025" s="9" t="str">
        <f ca="1">IFERROR(__xludf.DUMMYFUNCTION("""COMPUTED_VALUE"""),"USD PKR rate for 14/04/2010")</f>
        <v>USD PKR rate for 14/04/2010</v>
      </c>
      <c r="I5025" s="9"/>
    </row>
    <row r="5026" spans="1:9" ht="14.25" customHeight="1" x14ac:dyDescent="0.3">
      <c r="A5026" s="10">
        <v>44743</v>
      </c>
      <c r="B5026" s="11">
        <v>204.57130000000001</v>
      </c>
      <c r="C5026" s="8">
        <f t="shared" si="39"/>
        <v>193.99136108972914</v>
      </c>
      <c r="D5026" s="9">
        <f t="shared" si="38"/>
        <v>75.495739384600896</v>
      </c>
      <c r="E5026" s="9"/>
      <c r="F5026" s="9">
        <f ca="1">IFERROR(__xludf.DUMMYFUNCTION("""COMPUTED_VALUE"""),40281)</f>
        <v>40281</v>
      </c>
      <c r="G5026" s="9" t="str">
        <f ca="1">IFERROR(__xludf.DUMMYFUNCTION("""COMPUTED_VALUE"""),"1 USD = 83.6369 PKR")</f>
        <v>1 USD = 83.6369 PKR</v>
      </c>
      <c r="H5026" s="9" t="str">
        <f ca="1">IFERROR(__xludf.DUMMYFUNCTION("""COMPUTED_VALUE"""),"USD PKR rate for 13/04/2010")</f>
        <v>USD PKR rate for 13/04/2010</v>
      </c>
      <c r="I5026" s="9"/>
    </row>
    <row r="5027" spans="1:9" ht="14.25" customHeight="1" x14ac:dyDescent="0.3">
      <c r="A5027" s="10">
        <v>44744</v>
      </c>
      <c r="B5027" s="11">
        <v>204.57130000000001</v>
      </c>
      <c r="C5027" s="8">
        <f t="shared" si="39"/>
        <v>194.02605639972356</v>
      </c>
      <c r="D5027" s="9">
        <f t="shared" si="38"/>
        <v>75.498477217398161</v>
      </c>
      <c r="E5027" s="9"/>
      <c r="F5027" s="9">
        <f ca="1">IFERROR(__xludf.DUMMYFUNCTION("""COMPUTED_VALUE"""),40280)</f>
        <v>40280</v>
      </c>
      <c r="G5027" s="9" t="str">
        <f ca="1">IFERROR(__xludf.DUMMYFUNCTION("""COMPUTED_VALUE"""),"1 USD = 83.3426 PKR")</f>
        <v>1 USD = 83.3426 PKR</v>
      </c>
      <c r="H5027" s="9" t="str">
        <f ca="1">IFERROR(__xludf.DUMMYFUNCTION("""COMPUTED_VALUE"""),"USD PKR rate for 12/04/2010")</f>
        <v>USD PKR rate for 12/04/2010</v>
      </c>
      <c r="I5027" s="9"/>
    </row>
    <row r="5028" spans="1:9" ht="14.25" customHeight="1" x14ac:dyDescent="0.3">
      <c r="A5028" s="10">
        <v>44745</v>
      </c>
      <c r="B5028" s="11">
        <v>204.5069</v>
      </c>
      <c r="C5028" s="8">
        <f t="shared" si="39"/>
        <v>194.06075791496608</v>
      </c>
      <c r="D5028" s="9">
        <f t="shared" si="38"/>
        <v>75.501215050195427</v>
      </c>
      <c r="E5028" s="9"/>
      <c r="F5028" s="9">
        <f ca="1">IFERROR(__xludf.DUMMYFUNCTION("""COMPUTED_VALUE"""),40279)</f>
        <v>40279</v>
      </c>
      <c r="G5028" s="9" t="str">
        <f ca="1">IFERROR(__xludf.DUMMYFUNCTION("""COMPUTED_VALUE"""),"1 USD = 83.2496 PKR")</f>
        <v>1 USD = 83.2496 PKR</v>
      </c>
      <c r="H5028" s="9" t="str">
        <f ca="1">IFERROR(__xludf.DUMMYFUNCTION("""COMPUTED_VALUE"""),"USD PKR rate for 11/04/2010")</f>
        <v>USD PKR rate for 11/04/2010</v>
      </c>
      <c r="I5028" s="9"/>
    </row>
    <row r="5029" spans="1:9" ht="14.25" customHeight="1" x14ac:dyDescent="0.3">
      <c r="A5029" s="10">
        <v>44746</v>
      </c>
      <c r="B5029" s="11">
        <v>204.60839999999999</v>
      </c>
      <c r="C5029" s="8">
        <f t="shared" si="39"/>
        <v>194.09546563656659</v>
      </c>
      <c r="D5029" s="9">
        <f t="shared" si="38"/>
        <v>75.503952882992692</v>
      </c>
      <c r="E5029" s="9"/>
      <c r="F5029" s="9">
        <f ca="1">IFERROR(__xludf.DUMMYFUNCTION("""COMPUTED_VALUE"""),40278)</f>
        <v>40278</v>
      </c>
      <c r="G5029" s="9" t="str">
        <f ca="1">IFERROR(__xludf.DUMMYFUNCTION("""COMPUTED_VALUE"""),"1 USD = 83.2688 PKR")</f>
        <v>1 USD = 83.2688 PKR</v>
      </c>
      <c r="H5029" s="9" t="str">
        <f ca="1">IFERROR(__xludf.DUMMYFUNCTION("""COMPUTED_VALUE"""),"USD PKR rate for 10/04/2010")</f>
        <v>USD PKR rate for 10/04/2010</v>
      </c>
      <c r="I5029" s="9"/>
    </row>
    <row r="5030" spans="1:9" ht="14.25" customHeight="1" x14ac:dyDescent="0.3">
      <c r="A5030" s="10">
        <v>44747</v>
      </c>
      <c r="B5030" s="11">
        <v>206.369</v>
      </c>
      <c r="C5030" s="8">
        <f t="shared" si="39"/>
        <v>194.13017956563488</v>
      </c>
      <c r="D5030" s="9">
        <f t="shared" si="38"/>
        <v>75.506690715789958</v>
      </c>
      <c r="E5030" s="9"/>
      <c r="F5030" s="9">
        <f ca="1">IFERROR(__xludf.DUMMYFUNCTION("""COMPUTED_VALUE"""),40277)</f>
        <v>40277</v>
      </c>
      <c r="G5030" s="9" t="str">
        <f ca="1">IFERROR(__xludf.DUMMYFUNCTION("""COMPUTED_VALUE"""),"1 USD = 83.6451 PKR")</f>
        <v>1 USD = 83.6451 PKR</v>
      </c>
      <c r="H5030" s="9" t="str">
        <f ca="1">IFERROR(__xludf.DUMMYFUNCTION("""COMPUTED_VALUE"""),"USD PKR rate for 09/04/2010")</f>
        <v>USD PKR rate for 09/04/2010</v>
      </c>
      <c r="I5030" s="9"/>
    </row>
    <row r="5031" spans="1:9" ht="14.25" customHeight="1" x14ac:dyDescent="0.3">
      <c r="A5031" s="10">
        <v>44748</v>
      </c>
      <c r="B5031" s="11">
        <v>207.78</v>
      </c>
      <c r="C5031" s="8">
        <f t="shared" si="39"/>
        <v>194.16489970328152</v>
      </c>
      <c r="D5031" s="9">
        <f t="shared" si="38"/>
        <v>75.509428548587223</v>
      </c>
      <c r="E5031" s="9"/>
      <c r="F5031" s="9">
        <f ca="1">IFERROR(__xludf.DUMMYFUNCTION("""COMPUTED_VALUE"""),40276)</f>
        <v>40276</v>
      </c>
      <c r="G5031" s="9" t="str">
        <f ca="1">IFERROR(__xludf.DUMMYFUNCTION("""COMPUTED_VALUE"""),"1 USD = 83.5125 PKR")</f>
        <v>1 USD = 83.5125 PKR</v>
      </c>
      <c r="H5031" s="9" t="str">
        <f ca="1">IFERROR(__xludf.DUMMYFUNCTION("""COMPUTED_VALUE"""),"USD PKR rate for 08/04/2010")</f>
        <v>USD PKR rate for 08/04/2010</v>
      </c>
      <c r="I5031" s="9"/>
    </row>
    <row r="5032" spans="1:9" ht="14.25" customHeight="1" x14ac:dyDescent="0.3">
      <c r="A5032" s="10">
        <v>44749</v>
      </c>
      <c r="B5032" s="11">
        <v>207.3535</v>
      </c>
      <c r="C5032" s="8">
        <f t="shared" si="39"/>
        <v>194.19962605061676</v>
      </c>
      <c r="D5032" s="9">
        <f t="shared" si="38"/>
        <v>75.512166381384489</v>
      </c>
      <c r="E5032" s="9"/>
      <c r="F5032" s="9">
        <f ca="1">IFERROR(__xludf.DUMMYFUNCTION("""COMPUTED_VALUE"""),40275)</f>
        <v>40275</v>
      </c>
      <c r="G5032" s="9" t="str">
        <f ca="1">IFERROR(__xludf.DUMMYFUNCTION("""COMPUTED_VALUE"""),"1 USD = 84.0706 PKR")</f>
        <v>1 USD = 84.0706 PKR</v>
      </c>
      <c r="H5032" s="9" t="str">
        <f ca="1">IFERROR(__xludf.DUMMYFUNCTION("""COMPUTED_VALUE"""),"USD PKR rate for 07/04/2010")</f>
        <v>USD PKR rate for 07/04/2010</v>
      </c>
      <c r="I5032" s="9"/>
    </row>
    <row r="5033" spans="1:9" ht="14.25" customHeight="1" x14ac:dyDescent="0.3">
      <c r="A5033" s="10">
        <v>44750</v>
      </c>
      <c r="B5033" s="11">
        <v>206.58619999999999</v>
      </c>
      <c r="C5033" s="8">
        <f t="shared" si="39"/>
        <v>194.23435860875114</v>
      </c>
      <c r="D5033" s="9">
        <f t="shared" si="38"/>
        <v>75.514904214181755</v>
      </c>
      <c r="E5033" s="9"/>
      <c r="F5033" s="9">
        <f ca="1">IFERROR(__xludf.DUMMYFUNCTION("""COMPUTED_VALUE"""),40274)</f>
        <v>40274</v>
      </c>
      <c r="G5033" s="9" t="str">
        <f ca="1">IFERROR(__xludf.DUMMYFUNCTION("""COMPUTED_VALUE"""),"1 USD = 84.1357 PKR")</f>
        <v>1 USD = 84.1357 PKR</v>
      </c>
      <c r="H5033" s="9" t="str">
        <f ca="1">IFERROR(__xludf.DUMMYFUNCTION("""COMPUTED_VALUE"""),"USD PKR rate for 06/04/2010")</f>
        <v>USD PKR rate for 06/04/2010</v>
      </c>
      <c r="I5033" s="9"/>
    </row>
    <row r="5034" spans="1:9" ht="14.25" customHeight="1" x14ac:dyDescent="0.3">
      <c r="A5034" s="10">
        <v>44751</v>
      </c>
      <c r="B5034" s="11">
        <v>206.4188</v>
      </c>
      <c r="C5034" s="8">
        <f t="shared" si="39"/>
        <v>194.26909737879555</v>
      </c>
      <c r="D5034" s="9">
        <f t="shared" si="38"/>
        <v>75.51764204697902</v>
      </c>
      <c r="E5034" s="9"/>
      <c r="F5034" s="9">
        <f ca="1">IFERROR(__xludf.DUMMYFUNCTION("""COMPUTED_VALUE"""),40273)</f>
        <v>40273</v>
      </c>
      <c r="G5034" s="9" t="str">
        <f ca="1">IFERROR(__xludf.DUMMYFUNCTION("""COMPUTED_VALUE"""),"1 USD = 84.2169 PKR")</f>
        <v>1 USD = 84.2169 PKR</v>
      </c>
      <c r="H5034" s="9" t="str">
        <f ca="1">IFERROR(__xludf.DUMMYFUNCTION("""COMPUTED_VALUE"""),"USD PKR rate for 05/04/2010")</f>
        <v>USD PKR rate for 05/04/2010</v>
      </c>
      <c r="I5034" s="9"/>
    </row>
    <row r="5035" spans="1:9" ht="14.25" customHeight="1" x14ac:dyDescent="0.3">
      <c r="A5035" s="10">
        <v>44752</v>
      </c>
      <c r="B5035" s="11">
        <v>206.41</v>
      </c>
      <c r="C5035" s="8">
        <f t="shared" si="39"/>
        <v>194.30384236186089</v>
      </c>
      <c r="D5035" s="9">
        <f t="shared" si="38"/>
        <v>75.520379879776286</v>
      </c>
      <c r="E5035" s="9"/>
      <c r="F5035" s="9">
        <f ca="1">IFERROR(__xludf.DUMMYFUNCTION("""COMPUTED_VALUE"""),40272)</f>
        <v>40272</v>
      </c>
      <c r="G5035" s="9" t="str">
        <f ca="1">IFERROR(__xludf.DUMMYFUNCTION("""COMPUTED_VALUE"""),"1 USD = 84.1477 PKR")</f>
        <v>1 USD = 84.1477 PKR</v>
      </c>
      <c r="H5035" s="9" t="str">
        <f ca="1">IFERROR(__xludf.DUMMYFUNCTION("""COMPUTED_VALUE"""),"USD PKR rate for 04/04/2010")</f>
        <v>USD PKR rate for 04/04/2010</v>
      </c>
      <c r="I5035" s="9"/>
    </row>
    <row r="5036" spans="1:9" ht="14.25" customHeight="1" x14ac:dyDescent="0.3">
      <c r="A5036" s="10">
        <v>44753</v>
      </c>
      <c r="B5036" s="11">
        <v>207.92769999999999</v>
      </c>
      <c r="C5036" s="8">
        <f t="shared" si="39"/>
        <v>194.33859355905841</v>
      </c>
      <c r="D5036" s="9">
        <f t="shared" si="38"/>
        <v>75.523117712573551</v>
      </c>
      <c r="E5036" s="9"/>
      <c r="F5036" s="9">
        <f ca="1">IFERROR(__xludf.DUMMYFUNCTION("""COMPUTED_VALUE"""),40271)</f>
        <v>40271</v>
      </c>
      <c r="G5036" s="9" t="str">
        <f ca="1">IFERROR(__xludf.DUMMYFUNCTION("""COMPUTED_VALUE"""),"1 USD = 84.1521 PKR")</f>
        <v>1 USD = 84.1521 PKR</v>
      </c>
      <c r="H5036" s="9" t="str">
        <f ca="1">IFERROR(__xludf.DUMMYFUNCTION("""COMPUTED_VALUE"""),"USD PKR rate for 03/04/2010")</f>
        <v>USD PKR rate for 03/04/2010</v>
      </c>
      <c r="I5036" s="9"/>
    </row>
    <row r="5037" spans="1:9" ht="14.25" customHeight="1" x14ac:dyDescent="0.3">
      <c r="A5037" s="10">
        <v>44754</v>
      </c>
      <c r="B5037" s="11">
        <v>207.35599999999999</v>
      </c>
      <c r="C5037" s="8">
        <f t="shared" si="39"/>
        <v>194.37335097149949</v>
      </c>
      <c r="D5037" s="9">
        <f t="shared" si="38"/>
        <v>75.525855545370817</v>
      </c>
      <c r="E5037" s="9"/>
      <c r="F5037" s="9">
        <f ca="1">IFERROR(__xludf.DUMMYFUNCTION("""COMPUTED_VALUE"""),40270)</f>
        <v>40270</v>
      </c>
      <c r="G5037" s="9" t="str">
        <f ca="1">IFERROR(__xludf.DUMMYFUNCTION("""COMPUTED_VALUE"""),"1 USD = 83.917 PKR")</f>
        <v>1 USD = 83.917 PKR</v>
      </c>
      <c r="H5037" s="9" t="str">
        <f ca="1">IFERROR(__xludf.DUMMYFUNCTION("""COMPUTED_VALUE"""),"USD PKR rate for 02/04/2010")</f>
        <v>USD PKR rate for 02/04/2010</v>
      </c>
      <c r="I5037" s="9"/>
    </row>
    <row r="5038" spans="1:9" ht="14.25" customHeight="1" x14ac:dyDescent="0.3">
      <c r="A5038" s="10">
        <v>44755</v>
      </c>
      <c r="B5038" s="11">
        <v>210.88659999999999</v>
      </c>
      <c r="C5038" s="8">
        <f t="shared" si="39"/>
        <v>194.40811460029573</v>
      </c>
      <c r="D5038" s="9">
        <f t="shared" si="38"/>
        <v>75.528593378168082</v>
      </c>
      <c r="E5038" s="9"/>
      <c r="F5038" s="9">
        <f ca="1">IFERROR(__xludf.DUMMYFUNCTION("""COMPUTED_VALUE"""),40269)</f>
        <v>40269</v>
      </c>
      <c r="G5038" s="9" t="str">
        <f ca="1">IFERROR(__xludf.DUMMYFUNCTION("""COMPUTED_VALUE"""),"1 USD = 84.0261 PKR")</f>
        <v>1 USD = 84.0261 PKR</v>
      </c>
      <c r="H5038" s="9" t="str">
        <f ca="1">IFERROR(__xludf.DUMMYFUNCTION("""COMPUTED_VALUE"""),"USD PKR rate for 01/04/2010")</f>
        <v>USD PKR rate for 01/04/2010</v>
      </c>
      <c r="I5038" s="9"/>
    </row>
    <row r="5039" spans="1:9" ht="14.25" customHeight="1" x14ac:dyDescent="0.3">
      <c r="A5039" s="10">
        <v>44756</v>
      </c>
      <c r="B5039" s="11">
        <v>209.613</v>
      </c>
      <c r="C5039" s="8">
        <f t="shared" si="39"/>
        <v>194.44288444655879</v>
      </c>
      <c r="D5039" s="9">
        <f t="shared" si="38"/>
        <v>75.531331210965348</v>
      </c>
      <c r="E5039" s="9"/>
      <c r="F5039" s="9">
        <f ca="1">IFERROR(__xludf.DUMMYFUNCTION("""COMPUTED_VALUE"""),40268)</f>
        <v>40268</v>
      </c>
      <c r="G5039" s="9" t="str">
        <f ca="1">IFERROR(__xludf.DUMMYFUNCTION("""COMPUTED_VALUE"""),"1 USD = 84.1321 PKR")</f>
        <v>1 USD = 84.1321 PKR</v>
      </c>
      <c r="H5039" s="9" t="str">
        <f ca="1">IFERROR(__xludf.DUMMYFUNCTION("""COMPUTED_VALUE"""),"USD PKR rate for 31/03/2010")</f>
        <v>USD PKR rate for 31/03/2010</v>
      </c>
      <c r="I5039" s="9"/>
    </row>
    <row r="5040" spans="1:9" ht="14.25" customHeight="1" x14ac:dyDescent="0.3">
      <c r="A5040" s="10">
        <v>44757</v>
      </c>
      <c r="B5040" s="11">
        <v>210.78360000000001</v>
      </c>
      <c r="C5040" s="8">
        <f t="shared" si="39"/>
        <v>194.47766051140096</v>
      </c>
      <c r="D5040" s="9">
        <f t="shared" si="38"/>
        <v>75.534069043762614</v>
      </c>
      <c r="E5040" s="9"/>
      <c r="F5040" s="9">
        <f ca="1">IFERROR(__xludf.DUMMYFUNCTION("""COMPUTED_VALUE"""),40267)</f>
        <v>40267</v>
      </c>
      <c r="G5040" s="9" t="str">
        <f ca="1">IFERROR(__xludf.DUMMYFUNCTION("""COMPUTED_VALUE"""),"1 USD = 84.07 PKR")</f>
        <v>1 USD = 84.07 PKR</v>
      </c>
      <c r="H5040" s="9" t="str">
        <f ca="1">IFERROR(__xludf.DUMMYFUNCTION("""COMPUTED_VALUE"""),"USD PKR rate for 30/03/2010")</f>
        <v>USD PKR rate for 30/03/2010</v>
      </c>
      <c r="I5040" s="9"/>
    </row>
    <row r="5041" spans="1:9" ht="14.25" customHeight="1" x14ac:dyDescent="0.3">
      <c r="A5041" s="10">
        <v>44758</v>
      </c>
      <c r="B5041" s="11">
        <v>210.41990000000001</v>
      </c>
      <c r="C5041" s="8">
        <f t="shared" si="39"/>
        <v>194.51244279593425</v>
      </c>
      <c r="D5041" s="9">
        <f t="shared" si="38"/>
        <v>75.536806876559879</v>
      </c>
      <c r="E5041" s="9"/>
      <c r="F5041" s="9">
        <f ca="1">IFERROR(__xludf.DUMMYFUNCTION("""COMPUTED_VALUE"""),40266)</f>
        <v>40266</v>
      </c>
      <c r="G5041" s="9" t="str">
        <f ca="1">IFERROR(__xludf.DUMMYFUNCTION("""COMPUTED_VALUE"""),"1 USD = 83.8397 PKR")</f>
        <v>1 USD = 83.8397 PKR</v>
      </c>
      <c r="H5041" s="9" t="str">
        <f ca="1">IFERROR(__xludf.DUMMYFUNCTION("""COMPUTED_VALUE"""),"USD PKR rate for 29/03/2010")</f>
        <v>USD PKR rate for 29/03/2010</v>
      </c>
      <c r="I5041" s="9"/>
    </row>
    <row r="5042" spans="1:9" ht="14.25" customHeight="1" x14ac:dyDescent="0.3">
      <c r="A5042" s="10">
        <v>44759</v>
      </c>
      <c r="B5042" s="11">
        <v>210.3887</v>
      </c>
      <c r="C5042" s="8">
        <f t="shared" si="39"/>
        <v>194.5472313012711</v>
      </c>
      <c r="D5042" s="9">
        <f t="shared" si="38"/>
        <v>75.539544709357145</v>
      </c>
      <c r="E5042" s="9"/>
      <c r="F5042" s="9">
        <f ca="1">IFERROR(__xludf.DUMMYFUNCTION("""COMPUTED_VALUE"""),40265)</f>
        <v>40265</v>
      </c>
      <c r="G5042" s="9" t="str">
        <f ca="1">IFERROR(__xludf.DUMMYFUNCTION("""COMPUTED_VALUE"""),"1 USD = 83.7853 PKR")</f>
        <v>1 USD = 83.7853 PKR</v>
      </c>
      <c r="H5042" s="9" t="str">
        <f ca="1">IFERROR(__xludf.DUMMYFUNCTION("""COMPUTED_VALUE"""),"USD PKR rate for 28/03/2010")</f>
        <v>USD PKR rate for 28/03/2010</v>
      </c>
      <c r="I5042" s="9"/>
    </row>
    <row r="5043" spans="1:9" ht="14.25" customHeight="1" x14ac:dyDescent="0.3">
      <c r="A5043" s="10">
        <v>44760</v>
      </c>
      <c r="B5043" s="11">
        <v>215.69399999999999</v>
      </c>
      <c r="C5043" s="8">
        <f t="shared" si="39"/>
        <v>194.58202602852404</v>
      </c>
      <c r="D5043" s="9">
        <f t="shared" si="38"/>
        <v>75.54228254215441</v>
      </c>
      <c r="E5043" s="9"/>
      <c r="F5043" s="9">
        <f ca="1">IFERROR(__xludf.DUMMYFUNCTION("""COMPUTED_VALUE"""),40264)</f>
        <v>40264</v>
      </c>
      <c r="G5043" s="9" t="str">
        <f ca="1">IFERROR(__xludf.DUMMYFUNCTION("""COMPUTED_VALUE"""),"1 USD = 83.7845 PKR")</f>
        <v>1 USD = 83.7845 PKR</v>
      </c>
      <c r="H5043" s="9" t="str">
        <f ca="1">IFERROR(__xludf.DUMMYFUNCTION("""COMPUTED_VALUE"""),"USD PKR rate for 27/03/2010")</f>
        <v>USD PKR rate for 27/03/2010</v>
      </c>
      <c r="I5043" s="9"/>
    </row>
    <row r="5044" spans="1:9" ht="14.25" customHeight="1" x14ac:dyDescent="0.3">
      <c r="A5044" s="10">
        <v>44761</v>
      </c>
      <c r="B5044" s="11">
        <v>221.33080000000001</v>
      </c>
      <c r="C5044" s="8">
        <f t="shared" si="39"/>
        <v>194.6168269788059</v>
      </c>
      <c r="D5044" s="9">
        <f t="shared" si="38"/>
        <v>75.545020374951676</v>
      </c>
      <c r="E5044" s="9"/>
      <c r="F5044" s="9">
        <f ca="1">IFERROR(__xludf.DUMMYFUNCTION("""COMPUTED_VALUE"""),40263)</f>
        <v>40263</v>
      </c>
      <c r="G5044" s="9" t="str">
        <f ca="1">IFERROR(__xludf.DUMMYFUNCTION("""COMPUTED_VALUE"""),"1 USD = 83.6853 PKR")</f>
        <v>1 USD = 83.6853 PKR</v>
      </c>
      <c r="H5044" s="9" t="str">
        <f ca="1">IFERROR(__xludf.DUMMYFUNCTION("""COMPUTED_VALUE"""),"USD PKR rate for 26/03/2010")</f>
        <v>USD PKR rate for 26/03/2010</v>
      </c>
      <c r="I5044" s="9"/>
    </row>
    <row r="5045" spans="1:9" ht="14.25" customHeight="1" x14ac:dyDescent="0.3">
      <c r="A5045" s="10">
        <v>44762</v>
      </c>
      <c r="B5045" s="11">
        <v>224.99889999999999</v>
      </c>
      <c r="C5045" s="8">
        <f t="shared" si="39"/>
        <v>194.65163415322965</v>
      </c>
      <c r="D5045" s="9">
        <f t="shared" si="38"/>
        <v>75.547758207748942</v>
      </c>
      <c r="E5045" s="9"/>
      <c r="F5045" s="9">
        <f ca="1">IFERROR(__xludf.DUMMYFUNCTION("""COMPUTED_VALUE"""),40262)</f>
        <v>40262</v>
      </c>
      <c r="G5045" s="9" t="str">
        <f ca="1">IFERROR(__xludf.DUMMYFUNCTION("""COMPUTED_VALUE"""),"1 USD = 84.0031 PKR")</f>
        <v>1 USD = 84.0031 PKR</v>
      </c>
      <c r="H5045" s="9" t="str">
        <f ca="1">IFERROR(__xludf.DUMMYFUNCTION("""COMPUTED_VALUE"""),"USD PKR rate for 25/03/2010")</f>
        <v>USD PKR rate for 25/03/2010</v>
      </c>
      <c r="I5045" s="9"/>
    </row>
    <row r="5046" spans="1:9" ht="14.25" customHeight="1" x14ac:dyDescent="0.3">
      <c r="A5046" s="10">
        <v>44763</v>
      </c>
      <c r="B5046" s="11">
        <v>226.66159999999999</v>
      </c>
      <c r="C5046" s="8">
        <f t="shared" si="39"/>
        <v>194.6864475529085</v>
      </c>
      <c r="D5046" s="9">
        <f t="shared" si="38"/>
        <v>75.550496040546207</v>
      </c>
      <c r="E5046" s="9"/>
      <c r="F5046" s="9">
        <f ca="1">IFERROR(__xludf.DUMMYFUNCTION("""COMPUTED_VALUE"""),40261)</f>
        <v>40261</v>
      </c>
      <c r="G5046" s="9" t="str">
        <f ca="1">IFERROR(__xludf.DUMMYFUNCTION("""COMPUTED_VALUE"""),"1 USD = 84.2545 PKR")</f>
        <v>1 USD = 84.2545 PKR</v>
      </c>
      <c r="H5046" s="9" t="str">
        <f ca="1">IFERROR(__xludf.DUMMYFUNCTION("""COMPUTED_VALUE"""),"USD PKR rate for 24/03/2010")</f>
        <v>USD PKR rate for 24/03/2010</v>
      </c>
      <c r="I5046" s="9"/>
    </row>
    <row r="5047" spans="1:9" ht="14.25" customHeight="1" x14ac:dyDescent="0.3">
      <c r="A5047" s="10">
        <v>44764</v>
      </c>
      <c r="B5047" s="11">
        <v>228.37010000000001</v>
      </c>
      <c r="C5047" s="8">
        <f t="shared" si="39"/>
        <v>194.72126717895583</v>
      </c>
      <c r="D5047" s="9">
        <f t="shared" si="38"/>
        <v>75.553233873343473</v>
      </c>
      <c r="E5047" s="9"/>
      <c r="F5047" s="9">
        <f ca="1">IFERROR(__xludf.DUMMYFUNCTION("""COMPUTED_VALUE"""),40260)</f>
        <v>40260</v>
      </c>
      <c r="G5047" s="9" t="str">
        <f ca="1">IFERROR(__xludf.DUMMYFUNCTION("""COMPUTED_VALUE"""),"1 USD = 84.0212 PKR")</f>
        <v>1 USD = 84.0212 PKR</v>
      </c>
      <c r="H5047" s="9" t="str">
        <f ca="1">IFERROR(__xludf.DUMMYFUNCTION("""COMPUTED_VALUE"""),"USD PKR rate for 23/03/2010")</f>
        <v>USD PKR rate for 23/03/2010</v>
      </c>
      <c r="I5047" s="9"/>
    </row>
    <row r="5048" spans="1:9" ht="14.25" customHeight="1" x14ac:dyDescent="0.3">
      <c r="A5048" s="10">
        <v>44765</v>
      </c>
      <c r="B5048" s="11">
        <v>227.30539999999999</v>
      </c>
      <c r="C5048" s="8">
        <f t="shared" si="39"/>
        <v>194.75609303248501</v>
      </c>
      <c r="D5048" s="9">
        <f t="shared" si="38"/>
        <v>75.555971706140738</v>
      </c>
      <c r="E5048" s="9"/>
      <c r="F5048" s="9">
        <f ca="1">IFERROR(__xludf.DUMMYFUNCTION("""COMPUTED_VALUE"""),40259)</f>
        <v>40259</v>
      </c>
      <c r="G5048" s="9" t="str">
        <f ca="1">IFERROR(__xludf.DUMMYFUNCTION("""COMPUTED_VALUE"""),"1 USD = 84.0071 PKR")</f>
        <v>1 USD = 84.0071 PKR</v>
      </c>
      <c r="H5048" s="9" t="str">
        <f ca="1">IFERROR(__xludf.DUMMYFUNCTION("""COMPUTED_VALUE"""),"USD PKR rate for 22/03/2010")</f>
        <v>USD PKR rate for 22/03/2010</v>
      </c>
      <c r="I5048" s="9"/>
    </row>
    <row r="5049" spans="1:9" ht="14.25" customHeight="1" x14ac:dyDescent="0.3">
      <c r="A5049" s="10">
        <v>44766</v>
      </c>
      <c r="B5049" s="11">
        <v>227.30500000000001</v>
      </c>
      <c r="C5049" s="8">
        <f t="shared" si="39"/>
        <v>194.79092511461022</v>
      </c>
      <c r="D5049" s="9">
        <f t="shared" si="38"/>
        <v>75.558709538938004</v>
      </c>
      <c r="E5049" s="9"/>
      <c r="F5049" s="9">
        <f ca="1">IFERROR(__xludf.DUMMYFUNCTION("""COMPUTED_VALUE"""),40258)</f>
        <v>40258</v>
      </c>
      <c r="G5049" s="9" t="str">
        <f ca="1">IFERROR(__xludf.DUMMYFUNCTION("""COMPUTED_VALUE"""),"1 USD = 83.9597 PKR")</f>
        <v>1 USD = 83.9597 PKR</v>
      </c>
      <c r="H5049" s="9" t="str">
        <f ca="1">IFERROR(__xludf.DUMMYFUNCTION("""COMPUTED_VALUE"""),"USD PKR rate for 21/03/2010")</f>
        <v>USD PKR rate for 21/03/2010</v>
      </c>
      <c r="I5049" s="9"/>
    </row>
    <row r="5050" spans="1:9" ht="14.25" customHeight="1" x14ac:dyDescent="0.3">
      <c r="A5050" s="10">
        <v>44767</v>
      </c>
      <c r="B5050" s="11">
        <v>229.80539999999999</v>
      </c>
      <c r="C5050" s="8">
        <f t="shared" si="39"/>
        <v>194.82576342644526</v>
      </c>
      <c r="D5050" s="9">
        <f t="shared" si="38"/>
        <v>75.561447371735269</v>
      </c>
      <c r="E5050" s="9"/>
      <c r="F5050" s="9">
        <f ca="1">IFERROR(__xludf.DUMMYFUNCTION("""COMPUTED_VALUE"""),40257)</f>
        <v>40257</v>
      </c>
      <c r="G5050" s="9" t="str">
        <f ca="1">IFERROR(__xludf.DUMMYFUNCTION("""COMPUTED_VALUE"""),"1 USD = 83.9431 PKR")</f>
        <v>1 USD = 83.9431 PKR</v>
      </c>
      <c r="H5050" s="9" t="str">
        <f ca="1">IFERROR(__xludf.DUMMYFUNCTION("""COMPUTED_VALUE"""),"USD PKR rate for 20/03/2010")</f>
        <v>USD PKR rate for 20/03/2010</v>
      </c>
      <c r="I5050" s="9"/>
    </row>
    <row r="5051" spans="1:9" ht="14.25" customHeight="1" x14ac:dyDescent="0.3">
      <c r="A5051" s="10">
        <v>44768</v>
      </c>
      <c r="B5051" s="11">
        <v>232.85429999999999</v>
      </c>
      <c r="C5051" s="8">
        <f t="shared" si="39"/>
        <v>194.86060796910428</v>
      </c>
      <c r="D5051" s="9">
        <f t="shared" si="38"/>
        <v>75.564185204532535</v>
      </c>
      <c r="E5051" s="9"/>
      <c r="F5051" s="9">
        <f ca="1">IFERROR(__xludf.DUMMYFUNCTION("""COMPUTED_VALUE"""),40256)</f>
        <v>40256</v>
      </c>
      <c r="G5051" s="9" t="str">
        <f ca="1">IFERROR(__xludf.DUMMYFUNCTION("""COMPUTED_VALUE"""),"1 USD = 85.0238 PKR")</f>
        <v>1 USD = 85.0238 PKR</v>
      </c>
      <c r="H5051" s="9" t="str">
        <f ca="1">IFERROR(__xludf.DUMMYFUNCTION("""COMPUTED_VALUE"""),"USD PKR rate for 19/03/2010")</f>
        <v>USD PKR rate for 19/03/2010</v>
      </c>
      <c r="I5051" s="9"/>
    </row>
    <row r="5052" spans="1:9" ht="14.25" customHeight="1" x14ac:dyDescent="0.3">
      <c r="A5052" s="10">
        <v>44769</v>
      </c>
      <c r="B5052" s="11">
        <v>236.0292</v>
      </c>
      <c r="C5052" s="8">
        <f t="shared" si="39"/>
        <v>194.89545874370165</v>
      </c>
      <c r="D5052" s="9">
        <f t="shared" si="38"/>
        <v>75.566923037329801</v>
      </c>
      <c r="E5052" s="9"/>
      <c r="F5052" s="9">
        <f ca="1">IFERROR(__xludf.DUMMYFUNCTION("""COMPUTED_VALUE"""),40255)</f>
        <v>40255</v>
      </c>
      <c r="G5052" s="9" t="str">
        <f ca="1">IFERROR(__xludf.DUMMYFUNCTION("""COMPUTED_VALUE"""),"1 USD = 84.3995 PKR")</f>
        <v>1 USD = 84.3995 PKR</v>
      </c>
      <c r="H5052" s="9" t="str">
        <f ca="1">IFERROR(__xludf.DUMMYFUNCTION("""COMPUTED_VALUE"""),"USD PKR rate for 18/03/2010")</f>
        <v>USD PKR rate for 18/03/2010</v>
      </c>
      <c r="I5052" s="9"/>
    </row>
    <row r="5053" spans="1:9" ht="14.25" customHeight="1" x14ac:dyDescent="0.3">
      <c r="A5053" s="10">
        <v>44770</v>
      </c>
      <c r="B5053" s="11">
        <v>239.25200000000001</v>
      </c>
      <c r="C5053" s="8">
        <f t="shared" si="39"/>
        <v>194.93031575135205</v>
      </c>
      <c r="D5053" s="9">
        <f t="shared" si="38"/>
        <v>75.569660870127066</v>
      </c>
      <c r="E5053" s="9"/>
      <c r="F5053" s="9">
        <f ca="1">IFERROR(__xludf.DUMMYFUNCTION("""COMPUTED_VALUE"""),40254)</f>
        <v>40254</v>
      </c>
      <c r="G5053" s="9" t="str">
        <f ca="1">IFERROR(__xludf.DUMMYFUNCTION("""COMPUTED_VALUE"""),"1 USD = 84.3808 PKR")</f>
        <v>1 USD = 84.3808 PKR</v>
      </c>
      <c r="H5053" s="9" t="str">
        <f ca="1">IFERROR(__xludf.DUMMYFUNCTION("""COMPUTED_VALUE"""),"USD PKR rate for 17/03/2010")</f>
        <v>USD PKR rate for 17/03/2010</v>
      </c>
      <c r="I5053" s="9"/>
    </row>
    <row r="5054" spans="1:9" ht="14.25" customHeight="1" x14ac:dyDescent="0.3">
      <c r="A5054" s="10">
        <v>44771</v>
      </c>
      <c r="B5054" s="11">
        <v>207.04580000000001</v>
      </c>
      <c r="C5054" s="8">
        <f t="shared" si="39"/>
        <v>194.96517899317016</v>
      </c>
      <c r="D5054" s="9">
        <f t="shared" si="38"/>
        <v>75.572398702924332</v>
      </c>
      <c r="E5054" s="9"/>
      <c r="F5054" s="9">
        <f ca="1">IFERROR(__xludf.DUMMYFUNCTION("""COMPUTED_VALUE"""),40253)</f>
        <v>40253</v>
      </c>
      <c r="G5054" s="9" t="str">
        <f ca="1">IFERROR(__xludf.DUMMYFUNCTION("""COMPUTED_VALUE"""),"1 USD = 84.2295 PKR")</f>
        <v>1 USD = 84.2295 PKR</v>
      </c>
      <c r="H5054" s="9" t="str">
        <f ca="1">IFERROR(__xludf.DUMMYFUNCTION("""COMPUTED_VALUE"""),"USD PKR rate for 16/03/2010")</f>
        <v>USD PKR rate for 16/03/2010</v>
      </c>
      <c r="I5054" s="9"/>
    </row>
    <row r="5055" spans="1:9" ht="14.25" customHeight="1" x14ac:dyDescent="0.3">
      <c r="A5055" s="10">
        <v>44772</v>
      </c>
      <c r="B5055" s="11">
        <v>239.10740000000001</v>
      </c>
      <c r="C5055" s="8">
        <f t="shared" si="39"/>
        <v>195.00004847027103</v>
      </c>
      <c r="D5055" s="9">
        <f t="shared" si="38"/>
        <v>75.575136535721597</v>
      </c>
      <c r="E5055" s="9"/>
      <c r="F5055" s="9">
        <f ca="1">IFERROR(__xludf.DUMMYFUNCTION("""COMPUTED_VALUE"""),40252)</f>
        <v>40252</v>
      </c>
      <c r="G5055" s="9" t="str">
        <f ca="1">IFERROR(__xludf.DUMMYFUNCTION("""COMPUTED_VALUE"""),"1 USD = 84.0029 PKR")</f>
        <v>1 USD = 84.0029 PKR</v>
      </c>
      <c r="H5055" s="9" t="str">
        <f ca="1">IFERROR(__xludf.DUMMYFUNCTION("""COMPUTED_VALUE"""),"USD PKR rate for 15/03/2010")</f>
        <v>USD PKR rate for 15/03/2010</v>
      </c>
      <c r="I5055" s="9"/>
    </row>
    <row r="5056" spans="1:9" ht="14.25" customHeight="1" x14ac:dyDescent="0.3">
      <c r="A5056" s="10">
        <v>44773</v>
      </c>
      <c r="B5056" s="11">
        <v>239.0994</v>
      </c>
      <c r="C5056" s="8">
        <f t="shared" si="39"/>
        <v>195.03492418376976</v>
      </c>
      <c r="D5056" s="9">
        <f t="shared" si="38"/>
        <v>75.577874368518863</v>
      </c>
      <c r="E5056" s="9"/>
      <c r="F5056" s="9">
        <f ca="1">IFERROR(__xludf.DUMMYFUNCTION("""COMPUTED_VALUE"""),40251)</f>
        <v>40251</v>
      </c>
      <c r="G5056" s="9" t="str">
        <f ca="1">IFERROR(__xludf.DUMMYFUNCTION("""COMPUTED_VALUE"""),"1 USD = 84.4658 PKR")</f>
        <v>1 USD = 84.4658 PKR</v>
      </c>
      <c r="H5056" s="9" t="str">
        <f ca="1">IFERROR(__xludf.DUMMYFUNCTION("""COMPUTED_VALUE"""),"USD PKR rate for 14/03/2010")</f>
        <v>USD PKR rate for 14/03/2010</v>
      </c>
      <c r="I5056" s="9"/>
    </row>
    <row r="5057" spans="1:9" ht="14.25" customHeight="1" x14ac:dyDescent="0.3">
      <c r="A5057" s="10">
        <v>44774</v>
      </c>
      <c r="B5057" s="11">
        <v>238.96340000000001</v>
      </c>
      <c r="C5057" s="8">
        <f t="shared" si="39"/>
        <v>195.06980613478157</v>
      </c>
      <c r="D5057" s="9">
        <f t="shared" si="38"/>
        <v>75.580612201316129</v>
      </c>
      <c r="E5057" s="9"/>
      <c r="F5057" s="9">
        <f ca="1">IFERROR(__xludf.DUMMYFUNCTION("""COMPUTED_VALUE"""),40250)</f>
        <v>40250</v>
      </c>
      <c r="G5057" s="9" t="str">
        <f ca="1">IFERROR(__xludf.DUMMYFUNCTION("""COMPUTED_VALUE"""),"1 USD = 84.4656 PKR")</f>
        <v>1 USD = 84.4656 PKR</v>
      </c>
      <c r="H5057" s="9" t="str">
        <f ca="1">IFERROR(__xludf.DUMMYFUNCTION("""COMPUTED_VALUE"""),"USD PKR rate for 13/03/2010")</f>
        <v>USD PKR rate for 13/03/2010</v>
      </c>
      <c r="I5057" s="9"/>
    </row>
    <row r="5058" spans="1:9" ht="14.25" customHeight="1" x14ac:dyDescent="0.3">
      <c r="A5058" s="10">
        <v>44775</v>
      </c>
      <c r="B5058" s="11">
        <v>238.16839999999999</v>
      </c>
      <c r="C5058" s="8">
        <f t="shared" si="39"/>
        <v>195.1046943244225</v>
      </c>
      <c r="D5058" s="9">
        <f t="shared" si="38"/>
        <v>75.583350034113394</v>
      </c>
      <c r="E5058" s="9"/>
      <c r="F5058" s="9">
        <f ca="1">IFERROR(__xludf.DUMMYFUNCTION("""COMPUTED_VALUE"""),40249)</f>
        <v>40249</v>
      </c>
      <c r="G5058" s="9" t="str">
        <f ca="1">IFERROR(__xludf.DUMMYFUNCTION("""COMPUTED_VALUE"""),"1 USD = 84.2618 PKR")</f>
        <v>1 USD = 84.2618 PKR</v>
      </c>
      <c r="H5058" s="9" t="str">
        <f ca="1">IFERROR(__xludf.DUMMYFUNCTION("""COMPUTED_VALUE"""),"USD PKR rate for 12/03/2010")</f>
        <v>USD PKR rate for 12/03/2010</v>
      </c>
      <c r="I5058" s="9"/>
    </row>
    <row r="5059" spans="1:9" ht="14.25" customHeight="1" x14ac:dyDescent="0.3">
      <c r="A5059" s="10">
        <v>44776</v>
      </c>
      <c r="B5059" s="11">
        <v>230.01570000000001</v>
      </c>
      <c r="C5059" s="8">
        <f t="shared" si="39"/>
        <v>195.139588753808</v>
      </c>
      <c r="D5059" s="9">
        <f t="shared" si="38"/>
        <v>75.58608786691066</v>
      </c>
      <c r="E5059" s="9"/>
      <c r="F5059" s="9">
        <f ca="1">IFERROR(__xludf.DUMMYFUNCTION("""COMPUTED_VALUE"""),40248)</f>
        <v>40248</v>
      </c>
      <c r="G5059" s="9" t="str">
        <f ca="1">IFERROR(__xludf.DUMMYFUNCTION("""COMPUTED_VALUE"""),"1 USD = 84.2396 PKR")</f>
        <v>1 USD = 84.2396 PKR</v>
      </c>
      <c r="H5059" s="9" t="str">
        <f ca="1">IFERROR(__xludf.DUMMYFUNCTION("""COMPUTED_VALUE"""),"USD PKR rate for 11/03/2010")</f>
        <v>USD PKR rate for 11/03/2010</v>
      </c>
      <c r="I5059" s="9"/>
    </row>
    <row r="5060" spans="1:9" ht="14.25" customHeight="1" x14ac:dyDescent="0.3">
      <c r="A5060" s="10">
        <v>44777</v>
      </c>
      <c r="B5060" s="11">
        <v>226.40880000000001</v>
      </c>
      <c r="C5060" s="8">
        <f t="shared" si="39"/>
        <v>195.17448942405414</v>
      </c>
      <c r="D5060" s="9">
        <f t="shared" si="38"/>
        <v>75.588825699707925</v>
      </c>
      <c r="E5060" s="9"/>
      <c r="F5060" s="9">
        <f ca="1">IFERROR(__xludf.DUMMYFUNCTION("""COMPUTED_VALUE"""),40247)</f>
        <v>40247</v>
      </c>
      <c r="G5060" s="9" t="str">
        <f ca="1">IFERROR(__xludf.DUMMYFUNCTION("""COMPUTED_VALUE"""),"1 USD = 84.6261 PKR")</f>
        <v>1 USD = 84.6261 PKR</v>
      </c>
      <c r="H5060" s="9" t="str">
        <f ca="1">IFERROR(__xludf.DUMMYFUNCTION("""COMPUTED_VALUE"""),"USD PKR rate for 10/03/2010")</f>
        <v>USD PKR rate for 10/03/2010</v>
      </c>
      <c r="I5060" s="9"/>
    </row>
    <row r="5061" spans="1:9" ht="14.25" customHeight="1" x14ac:dyDescent="0.3">
      <c r="A5061" s="10">
        <v>44778</v>
      </c>
      <c r="B5061" s="11">
        <v>224.4092</v>
      </c>
      <c r="C5061" s="8">
        <f t="shared" si="39"/>
        <v>195.20939633627702</v>
      </c>
      <c r="D5061" s="9">
        <f t="shared" si="38"/>
        <v>75.591563532505191</v>
      </c>
      <c r="E5061" s="9"/>
      <c r="F5061" s="9">
        <f ca="1">IFERROR(__xludf.DUMMYFUNCTION("""COMPUTED_VALUE"""),40246)</f>
        <v>40246</v>
      </c>
      <c r="G5061" s="9" t="str">
        <f ca="1">IFERROR(__xludf.DUMMYFUNCTION("""COMPUTED_VALUE"""),"1 USD = 84.5255 PKR")</f>
        <v>1 USD = 84.5255 PKR</v>
      </c>
      <c r="H5061" s="9" t="str">
        <f ca="1">IFERROR(__xludf.DUMMYFUNCTION("""COMPUTED_VALUE"""),"USD PKR rate for 09/03/2010")</f>
        <v>USD PKR rate for 09/03/2010</v>
      </c>
      <c r="I5061" s="9"/>
    </row>
    <row r="5062" spans="1:9" ht="14.25" customHeight="1" x14ac:dyDescent="0.3">
      <c r="A5062" s="10">
        <v>44779</v>
      </c>
      <c r="B5062" s="11">
        <v>224.7893</v>
      </c>
      <c r="C5062" s="8">
        <f t="shared" si="39"/>
        <v>195.24430949159313</v>
      </c>
      <c r="D5062" s="9">
        <f t="shared" si="38"/>
        <v>75.594301365302456</v>
      </c>
      <c r="E5062" s="9"/>
      <c r="F5062" s="9">
        <f ca="1">IFERROR(__xludf.DUMMYFUNCTION("""COMPUTED_VALUE"""),40245)</f>
        <v>40245</v>
      </c>
      <c r="G5062" s="9" t="str">
        <f ca="1">IFERROR(__xludf.DUMMYFUNCTION("""COMPUTED_VALUE"""),"1 USD = 84.8682 PKR")</f>
        <v>1 USD = 84.8682 PKR</v>
      </c>
      <c r="H5062" s="9" t="str">
        <f ca="1">IFERROR(__xludf.DUMMYFUNCTION("""COMPUTED_VALUE"""),"USD PKR rate for 08/03/2010")</f>
        <v>USD PKR rate for 08/03/2010</v>
      </c>
      <c r="I5062" s="9"/>
    </row>
    <row r="5063" spans="1:9" ht="14.25" customHeight="1" x14ac:dyDescent="0.3">
      <c r="A5063" s="10">
        <v>44780</v>
      </c>
      <c r="B5063" s="11">
        <v>224.7063</v>
      </c>
      <c r="C5063" s="8">
        <f t="shared" si="39"/>
        <v>195.27922889111892</v>
      </c>
      <c r="D5063" s="9">
        <f t="shared" si="38"/>
        <v>75.597039198099722</v>
      </c>
      <c r="E5063" s="9"/>
      <c r="F5063" s="9">
        <f ca="1">IFERROR(__xludf.DUMMYFUNCTION("""COMPUTED_VALUE"""),40244)</f>
        <v>40244</v>
      </c>
      <c r="G5063" s="9" t="str">
        <f ca="1">IFERROR(__xludf.DUMMYFUNCTION("""COMPUTED_VALUE"""),"1 USD = 84.8025 PKR")</f>
        <v>1 USD = 84.8025 PKR</v>
      </c>
      <c r="H5063" s="9" t="str">
        <f ca="1">IFERROR(__xludf.DUMMYFUNCTION("""COMPUTED_VALUE"""),"USD PKR rate for 07/03/2010")</f>
        <v>USD PKR rate for 07/03/2010</v>
      </c>
      <c r="I5063" s="9"/>
    </row>
    <row r="5064" spans="1:9" ht="14.25" customHeight="1" x14ac:dyDescent="0.3">
      <c r="A5064" s="10">
        <v>44781</v>
      </c>
      <c r="B5064" s="11">
        <v>224.2362</v>
      </c>
      <c r="C5064" s="8">
        <f t="shared" si="39"/>
        <v>195.31415453597128</v>
      </c>
      <c r="D5064" s="9">
        <f t="shared" si="38"/>
        <v>75.599777030896988</v>
      </c>
      <c r="E5064" s="9"/>
      <c r="F5064" s="9">
        <f ca="1">IFERROR(__xludf.DUMMYFUNCTION("""COMPUTED_VALUE"""),40243)</f>
        <v>40243</v>
      </c>
      <c r="G5064" s="9" t="str">
        <f ca="1">IFERROR(__xludf.DUMMYFUNCTION("""COMPUTED_VALUE"""),"1 USD = 84.798 PKR")</f>
        <v>1 USD = 84.798 PKR</v>
      </c>
      <c r="H5064" s="9" t="str">
        <f ca="1">IFERROR(__xludf.DUMMYFUNCTION("""COMPUTED_VALUE"""),"USD PKR rate for 06/03/2010")</f>
        <v>USD PKR rate for 06/03/2010</v>
      </c>
      <c r="I5064" s="9"/>
    </row>
    <row r="5065" spans="1:9" ht="14.25" customHeight="1" x14ac:dyDescent="0.3">
      <c r="A5065" s="10">
        <v>44782</v>
      </c>
      <c r="B5065" s="11">
        <v>224.33090000000001</v>
      </c>
      <c r="C5065" s="8">
        <f t="shared" si="39"/>
        <v>195.34908642726711</v>
      </c>
      <c r="D5065" s="9">
        <f t="shared" si="38"/>
        <v>75.602514863694253</v>
      </c>
      <c r="E5065" s="9"/>
      <c r="F5065" s="9">
        <f ca="1">IFERROR(__xludf.DUMMYFUNCTION("""COMPUTED_VALUE"""),40242)</f>
        <v>40242</v>
      </c>
      <c r="G5065" s="9" t="str">
        <f ca="1">IFERROR(__xludf.DUMMYFUNCTION("""COMPUTED_VALUE"""),"1 USD = 84.9071 PKR")</f>
        <v>1 USD = 84.9071 PKR</v>
      </c>
      <c r="H5065" s="9" t="str">
        <f ca="1">IFERROR(__xludf.DUMMYFUNCTION("""COMPUTED_VALUE"""),"USD PKR rate for 05/03/2010")</f>
        <v>USD PKR rate for 05/03/2010</v>
      </c>
      <c r="I5065" s="9"/>
    </row>
    <row r="5066" spans="1:9" ht="14.25" customHeight="1" x14ac:dyDescent="0.3">
      <c r="A5066" s="10">
        <v>44783</v>
      </c>
      <c r="B5066" s="11">
        <v>221.46260000000001</v>
      </c>
      <c r="C5066" s="8">
        <f t="shared" si="39"/>
        <v>195.38402456612346</v>
      </c>
      <c r="D5066" s="9">
        <f t="shared" si="38"/>
        <v>75.605252696491519</v>
      </c>
      <c r="E5066" s="9"/>
      <c r="F5066" s="9">
        <f ca="1">IFERROR(__xludf.DUMMYFUNCTION("""COMPUTED_VALUE"""),40241)</f>
        <v>40241</v>
      </c>
      <c r="G5066" s="9" t="str">
        <f ca="1">IFERROR(__xludf.DUMMYFUNCTION("""COMPUTED_VALUE"""),"1 USD = 85.0661 PKR")</f>
        <v>1 USD = 85.0661 PKR</v>
      </c>
      <c r="H5066" s="9" t="str">
        <f ca="1">IFERROR(__xludf.DUMMYFUNCTION("""COMPUTED_VALUE"""),"USD PKR rate for 04/03/2010")</f>
        <v>USD PKR rate for 04/03/2010</v>
      </c>
      <c r="I5066" s="9"/>
    </row>
    <row r="5067" spans="1:9" ht="14.25" customHeight="1" x14ac:dyDescent="0.3">
      <c r="A5067" s="10">
        <v>44784</v>
      </c>
      <c r="B5067" s="11">
        <v>219.59739999999999</v>
      </c>
      <c r="C5067" s="8">
        <f t="shared" si="39"/>
        <v>195.41896895365798</v>
      </c>
      <c r="D5067" s="9">
        <f t="shared" si="38"/>
        <v>75.607990529288784</v>
      </c>
      <c r="E5067" s="9"/>
      <c r="F5067" s="9">
        <f ca="1">IFERROR(__xludf.DUMMYFUNCTION("""COMPUTED_VALUE"""),40240)</f>
        <v>40240</v>
      </c>
      <c r="G5067" s="9" t="str">
        <f ca="1">IFERROR(__xludf.DUMMYFUNCTION("""COMPUTED_VALUE"""),"1 USD = 84.9525 PKR")</f>
        <v>1 USD = 84.9525 PKR</v>
      </c>
      <c r="H5067" s="9" t="str">
        <f ca="1">IFERROR(__xludf.DUMMYFUNCTION("""COMPUTED_VALUE"""),"USD PKR rate for 03/03/2010")</f>
        <v>USD PKR rate for 03/03/2010</v>
      </c>
      <c r="I5067" s="9"/>
    </row>
    <row r="5068" spans="1:9" ht="14.25" customHeight="1" x14ac:dyDescent="0.3">
      <c r="A5068" s="10">
        <v>44785</v>
      </c>
      <c r="B5068" s="11">
        <v>218.49539999999999</v>
      </c>
      <c r="C5068" s="8">
        <f t="shared" si="39"/>
        <v>195.45391959098814</v>
      </c>
      <c r="D5068" s="9">
        <f t="shared" si="38"/>
        <v>75.61072836208605</v>
      </c>
      <c r="E5068" s="9"/>
      <c r="F5068" s="9">
        <f ca="1">IFERROR(__xludf.DUMMYFUNCTION("""COMPUTED_VALUE"""),40239)</f>
        <v>40239</v>
      </c>
      <c r="G5068" s="9" t="str">
        <f ca="1">IFERROR(__xludf.DUMMYFUNCTION("""COMPUTED_VALUE"""),"1 USD = 85.1459 PKR")</f>
        <v>1 USD = 85.1459 PKR</v>
      </c>
      <c r="H5068" s="9" t="str">
        <f ca="1">IFERROR(__xludf.DUMMYFUNCTION("""COMPUTED_VALUE"""),"USD PKR rate for 02/03/2010")</f>
        <v>USD PKR rate for 02/03/2010</v>
      </c>
      <c r="I5068" s="9"/>
    </row>
    <row r="5069" spans="1:9" ht="14.25" customHeight="1" x14ac:dyDescent="0.3">
      <c r="A5069" s="10">
        <v>44786</v>
      </c>
      <c r="B5069" s="11">
        <v>218.49539999999999</v>
      </c>
      <c r="C5069" s="8">
        <f t="shared" si="39"/>
        <v>195.48887647923169</v>
      </c>
      <c r="D5069" s="9">
        <f t="shared" si="38"/>
        <v>75.613466194883316</v>
      </c>
      <c r="E5069" s="9"/>
      <c r="F5069" s="9">
        <f ca="1">IFERROR(__xludf.DUMMYFUNCTION("""COMPUTED_VALUE"""),40238)</f>
        <v>40238</v>
      </c>
      <c r="G5069" s="9" t="str">
        <f ca="1">IFERROR(__xludf.DUMMYFUNCTION("""COMPUTED_VALUE"""),"1 USD = 85.0486 PKR")</f>
        <v>1 USD = 85.0486 PKR</v>
      </c>
      <c r="H5069" s="9" t="str">
        <f ca="1">IFERROR(__xludf.DUMMYFUNCTION("""COMPUTED_VALUE"""),"USD PKR rate for 01/03/2010")</f>
        <v>USD PKR rate for 01/03/2010</v>
      </c>
      <c r="I5069" s="9"/>
    </row>
    <row r="5070" spans="1:9" ht="14.25" customHeight="1" x14ac:dyDescent="0.3">
      <c r="A5070" s="10">
        <v>44787</v>
      </c>
      <c r="B5070" s="11">
        <v>216.5206</v>
      </c>
      <c r="C5070" s="8">
        <f t="shared" si="39"/>
        <v>195.52383961950662</v>
      </c>
      <c r="D5070" s="9">
        <f t="shared" si="38"/>
        <v>75.616204027680581</v>
      </c>
      <c r="E5070" s="9"/>
      <c r="F5070" s="9">
        <f ca="1">IFERROR(__xludf.DUMMYFUNCTION("""COMPUTED_VALUE"""),40237)</f>
        <v>40237</v>
      </c>
      <c r="G5070" s="9" t="str">
        <f ca="1">IFERROR(__xludf.DUMMYFUNCTION("""COMPUTED_VALUE"""),"1 USD = 84.8685 PKR")</f>
        <v>1 USD = 84.8685 PKR</v>
      </c>
      <c r="H5070" s="9" t="str">
        <f ca="1">IFERROR(__xludf.DUMMYFUNCTION("""COMPUTED_VALUE"""),"USD PKR rate for 28/02/2010")</f>
        <v>USD PKR rate for 28/02/2010</v>
      </c>
      <c r="I5070" s="9"/>
    </row>
    <row r="5071" spans="1:9" ht="14.25" customHeight="1" x14ac:dyDescent="0.3">
      <c r="A5071" s="10">
        <v>44788</v>
      </c>
      <c r="B5071" s="11">
        <v>213.54390000000001</v>
      </c>
      <c r="C5071" s="8">
        <f t="shared" si="39"/>
        <v>195.55880901293105</v>
      </c>
      <c r="D5071" s="9">
        <f t="shared" si="38"/>
        <v>75.618941860477847</v>
      </c>
      <c r="E5071" s="9"/>
      <c r="F5071" s="9">
        <f ca="1">IFERROR(__xludf.DUMMYFUNCTION("""COMPUTED_VALUE"""),40236)</f>
        <v>40236</v>
      </c>
      <c r="G5071" s="9" t="str">
        <f ca="1">IFERROR(__xludf.DUMMYFUNCTION("""COMPUTED_VALUE"""),"1 USD = 84.8967 PKR")</f>
        <v>1 USD = 84.8967 PKR</v>
      </c>
      <c r="H5071" s="9" t="str">
        <f ca="1">IFERROR(__xludf.DUMMYFUNCTION("""COMPUTED_VALUE"""),"USD PKR rate for 27/02/2010")</f>
        <v>USD PKR rate for 27/02/2010</v>
      </c>
      <c r="I5071" s="9"/>
    </row>
    <row r="5072" spans="1:9" ht="14.25" customHeight="1" x14ac:dyDescent="0.3">
      <c r="A5072" s="10">
        <v>44789</v>
      </c>
      <c r="B5072" s="11">
        <v>213.74690000000001</v>
      </c>
      <c r="C5072" s="8">
        <f t="shared" si="39"/>
        <v>195.59378466062341</v>
      </c>
      <c r="D5072" s="9">
        <f t="shared" si="38"/>
        <v>75.621679693275112</v>
      </c>
      <c r="E5072" s="9"/>
      <c r="F5072" s="9">
        <f ca="1">IFERROR(__xludf.DUMMYFUNCTION("""COMPUTED_VALUE"""),40235)</f>
        <v>40235</v>
      </c>
      <c r="G5072" s="9" t="str">
        <f ca="1">IFERROR(__xludf.DUMMYFUNCTION("""COMPUTED_VALUE"""),"1 USD = 84.8668 PKR")</f>
        <v>1 USD = 84.8668 PKR</v>
      </c>
      <c r="H5072" s="9" t="str">
        <f ca="1">IFERROR(__xludf.DUMMYFUNCTION("""COMPUTED_VALUE"""),"USD PKR rate for 26/02/2010")</f>
        <v>USD PKR rate for 26/02/2010</v>
      </c>
      <c r="I5072" s="9"/>
    </row>
    <row r="5073" spans="1:9" ht="14.25" customHeight="1" x14ac:dyDescent="0.3">
      <c r="A5073" s="10">
        <v>44790</v>
      </c>
      <c r="B5073" s="11">
        <v>214.9401</v>
      </c>
      <c r="C5073" s="8">
        <f t="shared" si="39"/>
        <v>195.62876656370227</v>
      </c>
      <c r="D5073" s="9">
        <f t="shared" si="38"/>
        <v>75.624417526072378</v>
      </c>
      <c r="E5073" s="9"/>
      <c r="F5073" s="9">
        <f ca="1">IFERROR(__xludf.DUMMYFUNCTION("""COMPUTED_VALUE"""),40234)</f>
        <v>40234</v>
      </c>
      <c r="G5073" s="9" t="str">
        <f ca="1">IFERROR(__xludf.DUMMYFUNCTION("""COMPUTED_VALUE"""),"1 USD = 84.8589 PKR")</f>
        <v>1 USD = 84.8589 PKR</v>
      </c>
      <c r="H5073" s="9" t="str">
        <f ca="1">IFERROR(__xludf.DUMMYFUNCTION("""COMPUTED_VALUE"""),"USD PKR rate for 25/02/2010")</f>
        <v>USD PKR rate for 25/02/2010</v>
      </c>
      <c r="I5073" s="9"/>
    </row>
    <row r="5074" spans="1:9" ht="14.25" customHeight="1" x14ac:dyDescent="0.3">
      <c r="A5074" s="10">
        <v>44791</v>
      </c>
      <c r="B5074" s="11">
        <v>214.875</v>
      </c>
      <c r="C5074" s="8">
        <f t="shared" si="39"/>
        <v>195.66375472328639</v>
      </c>
      <c r="D5074" s="9">
        <f t="shared" si="38"/>
        <v>75.627155358869643</v>
      </c>
      <c r="E5074" s="9"/>
      <c r="F5074" s="9">
        <f ca="1">IFERROR(__xludf.DUMMYFUNCTION("""COMPUTED_VALUE"""),40233)</f>
        <v>40233</v>
      </c>
      <c r="G5074" s="9" t="str">
        <f ca="1">IFERROR(__xludf.DUMMYFUNCTION("""COMPUTED_VALUE"""),"1 USD = 84.8711 PKR")</f>
        <v>1 USD = 84.8711 PKR</v>
      </c>
      <c r="H5074" s="9" t="str">
        <f ca="1">IFERROR(__xludf.DUMMYFUNCTION("""COMPUTED_VALUE"""),"USD PKR rate for 24/02/2010")</f>
        <v>USD PKR rate for 24/02/2010</v>
      </c>
      <c r="I5074" s="9"/>
    </row>
    <row r="5075" spans="1:9" ht="14.25" customHeight="1" x14ac:dyDescent="0.3">
      <c r="A5075" s="10">
        <v>44792</v>
      </c>
      <c r="B5075" s="11">
        <v>214.8587</v>
      </c>
      <c r="C5075" s="8">
        <f t="shared" si="39"/>
        <v>195.69874914049456</v>
      </c>
      <c r="D5075" s="9">
        <f t="shared" si="38"/>
        <v>75.629893191666909</v>
      </c>
      <c r="E5075" s="9"/>
      <c r="F5075" s="9">
        <f ca="1">IFERROR(__xludf.DUMMYFUNCTION("""COMPUTED_VALUE"""),40232)</f>
        <v>40232</v>
      </c>
      <c r="G5075" s="9" t="str">
        <f ca="1">IFERROR(__xludf.DUMMYFUNCTION("""COMPUTED_VALUE"""),"1 USD = 84.97 PKR")</f>
        <v>1 USD = 84.97 PKR</v>
      </c>
      <c r="H5075" s="9" t="str">
        <f ca="1">IFERROR(__xludf.DUMMYFUNCTION("""COMPUTED_VALUE"""),"USD PKR rate for 23/02/2010")</f>
        <v>USD PKR rate for 23/02/2010</v>
      </c>
      <c r="I5075" s="9"/>
    </row>
    <row r="5076" spans="1:9" ht="14.25" customHeight="1" x14ac:dyDescent="0.3">
      <c r="A5076" s="10">
        <v>44793</v>
      </c>
      <c r="B5076" s="11">
        <v>215.98240000000001</v>
      </c>
      <c r="C5076" s="8">
        <f t="shared" si="39"/>
        <v>195.73374981644633</v>
      </c>
      <c r="D5076" s="9">
        <f t="shared" si="38"/>
        <v>75.632631024464175</v>
      </c>
      <c r="E5076" s="9"/>
      <c r="F5076" s="9">
        <f ca="1">IFERROR(__xludf.DUMMYFUNCTION("""COMPUTED_VALUE"""),40231)</f>
        <v>40231</v>
      </c>
      <c r="G5076" s="9" t="str">
        <f ca="1">IFERROR(__xludf.DUMMYFUNCTION("""COMPUTED_VALUE"""),"1 USD = 85.1249 PKR")</f>
        <v>1 USD = 85.1249 PKR</v>
      </c>
      <c r="H5076" s="9" t="str">
        <f ca="1">IFERROR(__xludf.DUMMYFUNCTION("""COMPUTED_VALUE"""),"USD PKR rate for 22/02/2010")</f>
        <v>USD PKR rate for 22/02/2010</v>
      </c>
      <c r="I5076" s="9"/>
    </row>
    <row r="5077" spans="1:9" ht="14.25" customHeight="1" x14ac:dyDescent="0.3">
      <c r="A5077" s="10">
        <v>44794</v>
      </c>
      <c r="B5077" s="11">
        <v>216.024</v>
      </c>
      <c r="C5077" s="8">
        <f t="shared" si="39"/>
        <v>195.76875675226086</v>
      </c>
      <c r="D5077" s="9">
        <f t="shared" si="38"/>
        <v>75.63536885726144</v>
      </c>
      <c r="E5077" s="9"/>
      <c r="F5077" s="9">
        <f ca="1">IFERROR(__xludf.DUMMYFUNCTION("""COMPUTED_VALUE"""),40230)</f>
        <v>40230</v>
      </c>
      <c r="G5077" s="9" t="str">
        <f ca="1">IFERROR(__xludf.DUMMYFUNCTION("""COMPUTED_VALUE"""),"1 USD = 84.6911 PKR")</f>
        <v>1 USD = 84.6911 PKR</v>
      </c>
      <c r="H5077" s="9" t="str">
        <f ca="1">IFERROR(__xludf.DUMMYFUNCTION("""COMPUTED_VALUE"""),"USD PKR rate for 21/02/2010")</f>
        <v>USD PKR rate for 21/02/2010</v>
      </c>
      <c r="I5077" s="9"/>
    </row>
    <row r="5078" spans="1:9" ht="14.25" customHeight="1" x14ac:dyDescent="0.3">
      <c r="A5078" s="10">
        <v>44795</v>
      </c>
      <c r="B5078" s="11">
        <v>215.54239999999999</v>
      </c>
      <c r="C5078" s="8">
        <f t="shared" si="39"/>
        <v>195.80376994905777</v>
      </c>
      <c r="D5078" s="9">
        <f t="shared" si="38"/>
        <v>75.638106690058706</v>
      </c>
      <c r="E5078" s="9"/>
      <c r="F5078" s="9">
        <f ca="1">IFERROR(__xludf.DUMMYFUNCTION("""COMPUTED_VALUE"""),40229)</f>
        <v>40229</v>
      </c>
      <c r="G5078" s="9" t="str">
        <f ca="1">IFERROR(__xludf.DUMMYFUNCTION("""COMPUTED_VALUE"""),"1 USD = 84.6911 PKR")</f>
        <v>1 USD = 84.6911 PKR</v>
      </c>
      <c r="H5078" s="9" t="str">
        <f ca="1">IFERROR(__xludf.DUMMYFUNCTION("""COMPUTED_VALUE"""),"USD PKR rate for 20/02/2010")</f>
        <v>USD PKR rate for 20/02/2010</v>
      </c>
      <c r="I5078" s="9"/>
    </row>
    <row r="5079" spans="1:9" ht="14.25" customHeight="1" x14ac:dyDescent="0.3">
      <c r="A5079" s="10">
        <v>44796</v>
      </c>
      <c r="B5079" s="11">
        <v>217.1284</v>
      </c>
      <c r="C5079" s="8">
        <f t="shared" si="39"/>
        <v>195.83878940795682</v>
      </c>
      <c r="D5079" s="9">
        <f t="shared" si="38"/>
        <v>75.640844522855971</v>
      </c>
      <c r="E5079" s="9"/>
      <c r="F5079" s="9">
        <f ca="1">IFERROR(__xludf.DUMMYFUNCTION("""COMPUTED_VALUE"""),40228)</f>
        <v>40228</v>
      </c>
      <c r="G5079" s="9" t="str">
        <f ca="1">IFERROR(__xludf.DUMMYFUNCTION("""COMPUTED_VALUE"""),"1 USD = 84.7884 PKR")</f>
        <v>1 USD = 84.7884 PKR</v>
      </c>
      <c r="H5079" s="9" t="str">
        <f ca="1">IFERROR(__xludf.DUMMYFUNCTION("""COMPUTED_VALUE"""),"USD PKR rate for 19/02/2010")</f>
        <v>USD PKR rate for 19/02/2010</v>
      </c>
      <c r="I5079" s="9"/>
    </row>
    <row r="5080" spans="1:9" ht="14.25" customHeight="1" x14ac:dyDescent="0.3">
      <c r="A5080" s="10">
        <v>44797</v>
      </c>
      <c r="B5080" s="11">
        <v>218.34639999999999</v>
      </c>
      <c r="C5080" s="8">
        <f t="shared" si="39"/>
        <v>195.87381513007799</v>
      </c>
      <c r="D5080" s="9">
        <f t="shared" si="38"/>
        <v>75.643582355653237</v>
      </c>
      <c r="E5080" s="9"/>
      <c r="F5080" s="9">
        <f ca="1">IFERROR(__xludf.DUMMYFUNCTION("""COMPUTED_VALUE"""),40227)</f>
        <v>40227</v>
      </c>
      <c r="G5080" s="9" t="str">
        <f ca="1">IFERROR(__xludf.DUMMYFUNCTION("""COMPUTED_VALUE"""),"1 USD = 84.8308 PKR")</f>
        <v>1 USD = 84.8308 PKR</v>
      </c>
      <c r="H5080" s="9" t="str">
        <f ca="1">IFERROR(__xludf.DUMMYFUNCTION("""COMPUTED_VALUE"""),"USD PKR rate for 18/02/2010")</f>
        <v>USD PKR rate for 18/02/2010</v>
      </c>
      <c r="I5080" s="9"/>
    </row>
    <row r="5081" spans="1:9" ht="14.25" customHeight="1" x14ac:dyDescent="0.3">
      <c r="A5081" s="10">
        <v>44798</v>
      </c>
      <c r="B5081" s="11">
        <v>219.25530000000001</v>
      </c>
      <c r="C5081" s="8">
        <f t="shared" si="39"/>
        <v>195.90884711654141</v>
      </c>
      <c r="D5081" s="9">
        <f t="shared" si="38"/>
        <v>75.646320188450503</v>
      </c>
      <c r="E5081" s="9"/>
      <c r="F5081" s="9">
        <f ca="1">IFERROR(__xludf.DUMMYFUNCTION("""COMPUTED_VALUE"""),40226)</f>
        <v>40226</v>
      </c>
      <c r="G5081" s="9" t="str">
        <f ca="1">IFERROR(__xludf.DUMMYFUNCTION("""COMPUTED_VALUE"""),"1 USD = 84.8477 PKR")</f>
        <v>1 USD = 84.8477 PKR</v>
      </c>
      <c r="H5081" s="9" t="str">
        <f ca="1">IFERROR(__xludf.DUMMYFUNCTION("""COMPUTED_VALUE"""),"USD PKR rate for 17/02/2010")</f>
        <v>USD PKR rate for 17/02/2010</v>
      </c>
      <c r="I5081" s="9"/>
    </row>
    <row r="5082" spans="1:9" ht="14.25" customHeight="1" x14ac:dyDescent="0.3">
      <c r="A5082" s="10">
        <v>44799</v>
      </c>
      <c r="B5082" s="11">
        <v>220.65029999999999</v>
      </c>
      <c r="C5082" s="8">
        <f t="shared" si="39"/>
        <v>195.94388536846753</v>
      </c>
      <c r="D5082" s="9">
        <f t="shared" si="38"/>
        <v>75.649058021247768</v>
      </c>
      <c r="E5082" s="9"/>
      <c r="F5082" s="9">
        <f ca="1">IFERROR(__xludf.DUMMYFUNCTION("""COMPUTED_VALUE"""),40225)</f>
        <v>40225</v>
      </c>
      <c r="G5082" s="9" t="str">
        <f ca="1">IFERROR(__xludf.DUMMYFUNCTION("""COMPUTED_VALUE"""),"1 USD = 84.8617 PKR")</f>
        <v>1 USD = 84.8617 PKR</v>
      </c>
      <c r="H5082" s="9" t="str">
        <f ca="1">IFERROR(__xludf.DUMMYFUNCTION("""COMPUTED_VALUE"""),"USD PKR rate for 16/02/2010")</f>
        <v>USD PKR rate for 16/02/2010</v>
      </c>
      <c r="I5082" s="9"/>
    </row>
    <row r="5083" spans="1:9" ht="14.25" customHeight="1" x14ac:dyDescent="0.3">
      <c r="A5083" s="10">
        <v>44800</v>
      </c>
      <c r="B5083" s="11">
        <v>219.4906</v>
      </c>
      <c r="C5083" s="8">
        <f t="shared" si="39"/>
        <v>195.97892988697689</v>
      </c>
      <c r="D5083" s="9">
        <f t="shared" si="38"/>
        <v>75.651795854045034</v>
      </c>
      <c r="E5083" s="9"/>
      <c r="F5083" s="9">
        <f ca="1">IFERROR(__xludf.DUMMYFUNCTION("""COMPUTED_VALUE"""),40224)</f>
        <v>40224</v>
      </c>
      <c r="G5083" s="9" t="str">
        <f ca="1">IFERROR(__xludf.DUMMYFUNCTION("""COMPUTED_VALUE"""),"1 USD = 84.947 PKR")</f>
        <v>1 USD = 84.947 PKR</v>
      </c>
      <c r="H5083" s="9" t="str">
        <f ca="1">IFERROR(__xludf.DUMMYFUNCTION("""COMPUTED_VALUE"""),"USD PKR rate for 15/02/2010")</f>
        <v>USD PKR rate for 15/02/2010</v>
      </c>
      <c r="I5083" s="9"/>
    </row>
    <row r="5084" spans="1:9" ht="14.25" customHeight="1" x14ac:dyDescent="0.3">
      <c r="A5084" s="10">
        <v>44801</v>
      </c>
      <c r="B5084" s="11">
        <v>221.34229999999999</v>
      </c>
      <c r="C5084" s="8">
        <f t="shared" si="39"/>
        <v>196.01398067319008</v>
      </c>
      <c r="D5084" s="9">
        <f t="shared" si="38"/>
        <v>75.654533686842299</v>
      </c>
      <c r="E5084" s="9"/>
      <c r="F5084" s="9">
        <f ca="1">IFERROR(__xludf.DUMMYFUNCTION("""COMPUTED_VALUE"""),40223)</f>
        <v>40223</v>
      </c>
      <c r="G5084" s="9" t="str">
        <f ca="1">IFERROR(__xludf.DUMMYFUNCTION("""COMPUTED_VALUE"""),"1 USD = 84.9702 PKR")</f>
        <v>1 USD = 84.9702 PKR</v>
      </c>
      <c r="H5084" s="9" t="str">
        <f ca="1">IFERROR(__xludf.DUMMYFUNCTION("""COMPUTED_VALUE"""),"USD PKR rate for 14/02/2010")</f>
        <v>USD PKR rate for 14/02/2010</v>
      </c>
      <c r="I5084" s="9"/>
    </row>
    <row r="5085" spans="1:9" ht="14.25" customHeight="1" x14ac:dyDescent="0.3">
      <c r="A5085" s="10">
        <v>44802</v>
      </c>
      <c r="B5085" s="11">
        <v>222.20760000000001</v>
      </c>
      <c r="C5085" s="8">
        <f t="shared" si="39"/>
        <v>196.04903772822846</v>
      </c>
      <c r="D5085" s="9">
        <f t="shared" si="38"/>
        <v>75.657271519639565</v>
      </c>
      <c r="E5085" s="9"/>
      <c r="F5085" s="9">
        <f ca="1">IFERROR(__xludf.DUMMYFUNCTION("""COMPUTED_VALUE"""),40222)</f>
        <v>40222</v>
      </c>
      <c r="G5085" s="9" t="str">
        <f ca="1">IFERROR(__xludf.DUMMYFUNCTION("""COMPUTED_VALUE"""),"1 USD = 84.9431 PKR")</f>
        <v>1 USD = 84.9431 PKR</v>
      </c>
      <c r="H5085" s="9" t="str">
        <f ca="1">IFERROR(__xludf.DUMMYFUNCTION("""COMPUTED_VALUE"""),"USD PKR rate for 13/02/2010")</f>
        <v>USD PKR rate for 13/02/2010</v>
      </c>
      <c r="I5085" s="9"/>
    </row>
    <row r="5086" spans="1:9" ht="14.25" customHeight="1" x14ac:dyDescent="0.3">
      <c r="A5086" s="10">
        <v>44803</v>
      </c>
      <c r="B5086" s="11">
        <v>219.73679999999999</v>
      </c>
      <c r="C5086" s="8">
        <f t="shared" si="39"/>
        <v>196.08410105321298</v>
      </c>
      <c r="D5086" s="9">
        <f t="shared" si="38"/>
        <v>75.66000935243683</v>
      </c>
      <c r="E5086" s="9"/>
      <c r="F5086" s="9">
        <f ca="1">IFERROR(__xludf.DUMMYFUNCTION("""COMPUTED_VALUE"""),40221)</f>
        <v>40221</v>
      </c>
      <c r="G5086" s="9" t="str">
        <f ca="1">IFERROR(__xludf.DUMMYFUNCTION("""COMPUTED_VALUE"""),"1 USD = 84.9164 PKR")</f>
        <v>1 USD = 84.9164 PKR</v>
      </c>
      <c r="H5086" s="9" t="str">
        <f ca="1">IFERROR(__xludf.DUMMYFUNCTION("""COMPUTED_VALUE"""),"USD PKR rate for 12/02/2010")</f>
        <v>USD PKR rate for 12/02/2010</v>
      </c>
      <c r="I5086" s="9"/>
    </row>
    <row r="5087" spans="1:9" ht="14.25" customHeight="1" x14ac:dyDescent="0.3">
      <c r="A5087" s="10">
        <v>44804</v>
      </c>
      <c r="B5087" s="11">
        <v>218.18389999999999</v>
      </c>
      <c r="C5087" s="8">
        <f t="shared" si="39"/>
        <v>196.11917064926507</v>
      </c>
      <c r="D5087" s="9">
        <f t="shared" si="38"/>
        <v>75.662747185234096</v>
      </c>
      <c r="E5087" s="9"/>
      <c r="F5087" s="9">
        <f ca="1">IFERROR(__xludf.DUMMYFUNCTION("""COMPUTED_VALUE"""),40220)</f>
        <v>40220</v>
      </c>
      <c r="G5087" s="9" t="str">
        <f ca="1">IFERROR(__xludf.DUMMYFUNCTION("""COMPUTED_VALUE"""),"1 USD = 84.8629 PKR")</f>
        <v>1 USD = 84.8629 PKR</v>
      </c>
      <c r="H5087" s="9" t="str">
        <f ca="1">IFERROR(__xludf.DUMMYFUNCTION("""COMPUTED_VALUE"""),"USD PKR rate for 11/02/2010")</f>
        <v>USD PKR rate for 11/02/2010</v>
      </c>
      <c r="I5087" s="9"/>
    </row>
    <row r="5088" spans="1:9" ht="14.25" customHeight="1" x14ac:dyDescent="0.3">
      <c r="A5088" s="10">
        <v>44805</v>
      </c>
      <c r="B5088" s="11">
        <v>218.05590000000001</v>
      </c>
      <c r="C5088" s="8">
        <f t="shared" si="39"/>
        <v>196.15424651750629</v>
      </c>
      <c r="D5088" s="9">
        <f t="shared" si="38"/>
        <v>75.665485018031362</v>
      </c>
      <c r="E5088" s="9"/>
      <c r="F5088" s="9">
        <f ca="1">IFERROR(__xludf.DUMMYFUNCTION("""COMPUTED_VALUE"""),40219)</f>
        <v>40219</v>
      </c>
      <c r="G5088" s="9" t="str">
        <f ca="1">IFERROR(__xludf.DUMMYFUNCTION("""COMPUTED_VALUE"""),"1 USD = 84.8857 PKR")</f>
        <v>1 USD = 84.8857 PKR</v>
      </c>
      <c r="H5088" s="9" t="str">
        <f ca="1">IFERROR(__xludf.DUMMYFUNCTION("""COMPUTED_VALUE"""),"USD PKR rate for 10/02/2010")</f>
        <v>USD PKR rate for 10/02/2010</v>
      </c>
      <c r="I5088" s="9"/>
    </row>
    <row r="5089" spans="1:9" ht="14.25" customHeight="1" x14ac:dyDescent="0.3">
      <c r="A5089" s="10">
        <v>44806</v>
      </c>
      <c r="B5089" s="11">
        <v>219.20840000000001</v>
      </c>
      <c r="C5089" s="8">
        <f t="shared" si="39"/>
        <v>196.18932865905842</v>
      </c>
      <c r="D5089" s="9">
        <f t="shared" si="38"/>
        <v>75.668222850828627</v>
      </c>
      <c r="E5089" s="9"/>
      <c r="F5089" s="9">
        <f ca="1">IFERROR(__xludf.DUMMYFUNCTION("""COMPUTED_VALUE"""),40218)</f>
        <v>40218</v>
      </c>
      <c r="G5089" s="9" t="str">
        <f ca="1">IFERROR(__xludf.DUMMYFUNCTION("""COMPUTED_VALUE"""),"1 USD = 84.9075 PKR")</f>
        <v>1 USD = 84.9075 PKR</v>
      </c>
      <c r="H5089" s="9" t="str">
        <f ca="1">IFERROR(__xludf.DUMMYFUNCTION("""COMPUTED_VALUE"""),"USD PKR rate for 09/02/2010")</f>
        <v>USD PKR rate for 09/02/2010</v>
      </c>
      <c r="I5089" s="9"/>
    </row>
    <row r="5090" spans="1:9" ht="14.25" customHeight="1" x14ac:dyDescent="0.3">
      <c r="A5090" s="10">
        <v>44807</v>
      </c>
      <c r="B5090" s="11">
        <v>219.29050000000001</v>
      </c>
      <c r="C5090" s="8">
        <f t="shared" si="39"/>
        <v>196.22441707504345</v>
      </c>
      <c r="D5090" s="9">
        <f t="shared" si="38"/>
        <v>75.670960683625893</v>
      </c>
      <c r="E5090" s="9"/>
      <c r="F5090" s="9">
        <f ca="1">IFERROR(__xludf.DUMMYFUNCTION("""COMPUTED_VALUE"""),40217)</f>
        <v>40217</v>
      </c>
      <c r="G5090" s="9" t="str">
        <f ca="1">IFERROR(__xludf.DUMMYFUNCTION("""COMPUTED_VALUE"""),"1 USD = 84.9787 PKR")</f>
        <v>1 USD = 84.9787 PKR</v>
      </c>
      <c r="H5090" s="9" t="str">
        <f ca="1">IFERROR(__xludf.DUMMYFUNCTION("""COMPUTED_VALUE"""),"USD PKR rate for 08/02/2010")</f>
        <v>USD PKR rate for 08/02/2010</v>
      </c>
      <c r="I5090" s="9"/>
    </row>
    <row r="5091" spans="1:9" ht="14.25" customHeight="1" x14ac:dyDescent="0.3">
      <c r="A5091" s="10">
        <v>44808</v>
      </c>
      <c r="B5091" s="11">
        <v>218.71870000000001</v>
      </c>
      <c r="C5091" s="8">
        <f t="shared" si="39"/>
        <v>196.25951176658356</v>
      </c>
      <c r="D5091" s="9">
        <f t="shared" si="38"/>
        <v>75.673698516423158</v>
      </c>
      <c r="E5091" s="9"/>
      <c r="F5091" s="9">
        <f ca="1">IFERROR(__xludf.DUMMYFUNCTION("""COMPUTED_VALUE"""),40216)</f>
        <v>40216</v>
      </c>
      <c r="G5091" s="9" t="str">
        <f ca="1">IFERROR(__xludf.DUMMYFUNCTION("""COMPUTED_VALUE"""),"1 USD = 84.9624 PKR")</f>
        <v>1 USD = 84.9624 PKR</v>
      </c>
      <c r="H5091" s="9" t="str">
        <f ca="1">IFERROR(__xludf.DUMMYFUNCTION("""COMPUTED_VALUE"""),"USD PKR rate for 07/02/2010")</f>
        <v>USD PKR rate for 07/02/2010</v>
      </c>
      <c r="I5091" s="9"/>
    </row>
    <row r="5092" spans="1:9" ht="14.25" customHeight="1" x14ac:dyDescent="0.3">
      <c r="A5092" s="10">
        <v>44809</v>
      </c>
      <c r="B5092" s="11">
        <v>219.62710000000001</v>
      </c>
      <c r="C5092" s="8">
        <f t="shared" si="39"/>
        <v>196.29461273480109</v>
      </c>
      <c r="D5092" s="9">
        <f t="shared" si="38"/>
        <v>75.676436349220424</v>
      </c>
      <c r="E5092" s="9"/>
      <c r="F5092" s="9">
        <f ca="1">IFERROR(__xludf.DUMMYFUNCTION("""COMPUTED_VALUE"""),40215)</f>
        <v>40215</v>
      </c>
      <c r="G5092" s="9" t="str">
        <f ca="1">IFERROR(__xludf.DUMMYFUNCTION("""COMPUTED_VALUE"""),"1 USD = 85.0112 PKR")</f>
        <v>1 USD = 85.0112 PKR</v>
      </c>
      <c r="H5092" s="9" t="str">
        <f ca="1">IFERROR(__xludf.DUMMYFUNCTION("""COMPUTED_VALUE"""),"USD PKR rate for 06/02/2010")</f>
        <v>USD PKR rate for 06/02/2010</v>
      </c>
      <c r="I5092" s="9"/>
    </row>
    <row r="5093" spans="1:9" ht="14.25" customHeight="1" x14ac:dyDescent="0.3">
      <c r="A5093" s="10">
        <v>44810</v>
      </c>
      <c r="B5093" s="11">
        <v>222.1003</v>
      </c>
      <c r="C5093" s="8">
        <f t="shared" si="39"/>
        <v>196.32971998081848</v>
      </c>
      <c r="D5093" s="9">
        <f t="shared" si="38"/>
        <v>75.67917418201769</v>
      </c>
      <c r="E5093" s="9"/>
      <c r="F5093" s="9">
        <f ca="1">IFERROR(__xludf.DUMMYFUNCTION("""COMPUTED_VALUE"""),40214)</f>
        <v>40214</v>
      </c>
      <c r="G5093" s="9" t="str">
        <f ca="1">IFERROR(__xludf.DUMMYFUNCTION("""COMPUTED_VALUE"""),"1 USD = 85.157 PKR")</f>
        <v>1 USD = 85.157 PKR</v>
      </c>
      <c r="H5093" s="9" t="str">
        <f ca="1">IFERROR(__xludf.DUMMYFUNCTION("""COMPUTED_VALUE"""),"USD PKR rate for 05/02/2010")</f>
        <v>USD PKR rate for 05/02/2010</v>
      </c>
      <c r="I5093" s="9"/>
    </row>
    <row r="5094" spans="1:9" ht="14.25" customHeight="1" x14ac:dyDescent="0.3">
      <c r="A5094" s="10">
        <v>44811</v>
      </c>
      <c r="B5094" s="11">
        <v>224.12119999999999</v>
      </c>
      <c r="C5094" s="8">
        <f t="shared" si="39"/>
        <v>196.36483350575887</v>
      </c>
      <c r="D5094" s="9">
        <f t="shared" si="38"/>
        <v>75.681912014814955</v>
      </c>
      <c r="E5094" s="9"/>
      <c r="F5094" s="9">
        <f ca="1">IFERROR(__xludf.DUMMYFUNCTION("""COMPUTED_VALUE"""),40213)</f>
        <v>40213</v>
      </c>
      <c r="G5094" s="9" t="str">
        <f ca="1">IFERROR(__xludf.DUMMYFUNCTION("""COMPUTED_VALUE"""),"1 USD = 85.0185 PKR")</f>
        <v>1 USD = 85.0185 PKR</v>
      </c>
      <c r="H5094" s="9" t="str">
        <f ca="1">IFERROR(__xludf.DUMMYFUNCTION("""COMPUTED_VALUE"""),"USD PKR rate for 04/02/2010")</f>
        <v>USD PKR rate for 04/02/2010</v>
      </c>
      <c r="I5094" s="9"/>
    </row>
    <row r="5095" spans="1:9" ht="14.25" customHeight="1" x14ac:dyDescent="0.3">
      <c r="A5095" s="10">
        <v>44812</v>
      </c>
      <c r="B5095" s="11">
        <v>224.13489999999999</v>
      </c>
      <c r="C5095" s="8">
        <f t="shared" si="39"/>
        <v>196.39995331074505</v>
      </c>
      <c r="D5095" s="9">
        <f t="shared" si="38"/>
        <v>75.684649847612221</v>
      </c>
      <c r="E5095" s="9"/>
      <c r="F5095" s="9">
        <f ca="1">IFERROR(__xludf.DUMMYFUNCTION("""COMPUTED_VALUE"""),40212)</f>
        <v>40212</v>
      </c>
      <c r="G5095" s="9" t="str">
        <f ca="1">IFERROR(__xludf.DUMMYFUNCTION("""COMPUTED_VALUE"""),"1 USD = 85.0948 PKR")</f>
        <v>1 USD = 85.0948 PKR</v>
      </c>
      <c r="H5095" s="9" t="str">
        <f ca="1">IFERROR(__xludf.DUMMYFUNCTION("""COMPUTED_VALUE"""),"USD PKR rate for 03/02/2010")</f>
        <v>USD PKR rate for 03/02/2010</v>
      </c>
      <c r="I5095" s="9"/>
    </row>
    <row r="5096" spans="1:9" ht="14.25" customHeight="1" x14ac:dyDescent="0.3">
      <c r="A5096" s="10">
        <v>44813</v>
      </c>
      <c r="B5096" s="11">
        <v>225.62809999999999</v>
      </c>
      <c r="C5096" s="8">
        <f t="shared" si="39"/>
        <v>196.43507939690025</v>
      </c>
      <c r="D5096" s="9">
        <f t="shared" si="38"/>
        <v>75.687387680409486</v>
      </c>
      <c r="E5096" s="9"/>
      <c r="F5096" s="9">
        <f ca="1">IFERROR(__xludf.DUMMYFUNCTION("""COMPUTED_VALUE"""),40211)</f>
        <v>40211</v>
      </c>
      <c r="G5096" s="9" t="str">
        <f ca="1">IFERROR(__xludf.DUMMYFUNCTION("""COMPUTED_VALUE"""),"1 USD = 84.9408 PKR")</f>
        <v>1 USD = 84.9408 PKR</v>
      </c>
      <c r="H5096" s="9" t="str">
        <f ca="1">IFERROR(__xludf.DUMMYFUNCTION("""COMPUTED_VALUE"""),"USD PKR rate for 02/02/2010")</f>
        <v>USD PKR rate for 02/02/2010</v>
      </c>
      <c r="I5096" s="9"/>
    </row>
    <row r="5097" spans="1:9" ht="14.25" customHeight="1" x14ac:dyDescent="0.3">
      <c r="A5097" s="10">
        <v>44814</v>
      </c>
      <c r="B5097" s="11">
        <v>226.49039999999999</v>
      </c>
      <c r="C5097" s="8">
        <f t="shared" si="39"/>
        <v>196.47021176534781</v>
      </c>
      <c r="D5097" s="9">
        <f t="shared" si="38"/>
        <v>75.690125513206752</v>
      </c>
      <c r="E5097" s="9"/>
      <c r="F5097" s="9">
        <f ca="1">IFERROR(__xludf.DUMMYFUNCTION("""COMPUTED_VALUE"""),40210)</f>
        <v>40210</v>
      </c>
      <c r="G5097" s="9" t="str">
        <f ca="1">IFERROR(__xludf.DUMMYFUNCTION("""COMPUTED_VALUE"""),"1 USD = 84.5902 PKR")</f>
        <v>1 USD = 84.5902 PKR</v>
      </c>
      <c r="H5097" s="9" t="str">
        <f ca="1">IFERROR(__xludf.DUMMYFUNCTION("""COMPUTED_VALUE"""),"USD PKR rate for 01/02/2010")</f>
        <v>USD PKR rate for 01/02/2010</v>
      </c>
      <c r="I5097" s="9"/>
    </row>
    <row r="5098" spans="1:9" ht="14.25" customHeight="1" x14ac:dyDescent="0.3">
      <c r="A5098" s="10">
        <v>44815</v>
      </c>
      <c r="B5098" s="11">
        <v>226.32230000000001</v>
      </c>
      <c r="C5098" s="8">
        <f t="shared" si="39"/>
        <v>196.50535041721133</v>
      </c>
      <c r="D5098" s="9">
        <f t="shared" si="38"/>
        <v>75.692863346004017</v>
      </c>
      <c r="E5098" s="9"/>
      <c r="F5098" s="9">
        <f ca="1">IFERROR(__xludf.DUMMYFUNCTION("""COMPUTED_VALUE"""),40209)</f>
        <v>40209</v>
      </c>
      <c r="G5098" s="9" t="str">
        <f ca="1">IFERROR(__xludf.DUMMYFUNCTION("""COMPUTED_VALUE"""),"1 USD = 84.6772 PKR")</f>
        <v>1 USD = 84.6772 PKR</v>
      </c>
      <c r="H5098" s="9" t="str">
        <f ca="1">IFERROR(__xludf.DUMMYFUNCTION("""COMPUTED_VALUE"""),"USD PKR rate for 31/01/2010")</f>
        <v>USD PKR rate for 31/01/2010</v>
      </c>
      <c r="I5098" s="9"/>
    </row>
    <row r="5099" spans="1:9" ht="14.25" customHeight="1" x14ac:dyDescent="0.3">
      <c r="A5099" s="10">
        <v>44816</v>
      </c>
      <c r="B5099" s="11">
        <v>230.78700000000001</v>
      </c>
      <c r="C5099" s="8">
        <f t="shared" si="39"/>
        <v>196.54049535361457</v>
      </c>
      <c r="D5099" s="9">
        <f t="shared" si="38"/>
        <v>75.695601178801283</v>
      </c>
      <c r="E5099" s="9"/>
      <c r="F5099" s="9">
        <f ca="1">IFERROR(__xludf.DUMMYFUNCTION("""COMPUTED_VALUE"""),40208)</f>
        <v>40208</v>
      </c>
      <c r="G5099" s="9" t="str">
        <f ca="1">IFERROR(__xludf.DUMMYFUNCTION("""COMPUTED_VALUE"""),"1 USD = 84.6875 PKR")</f>
        <v>1 USD = 84.6875 PKR</v>
      </c>
      <c r="H5099" s="9" t="str">
        <f ca="1">IFERROR(__xludf.DUMMYFUNCTION("""COMPUTED_VALUE"""),"USD PKR rate for 30/01/2010")</f>
        <v>USD PKR rate for 30/01/2010</v>
      </c>
      <c r="I5099" s="9"/>
    </row>
    <row r="5100" spans="1:9" ht="14.25" customHeight="1" x14ac:dyDescent="0.3">
      <c r="A5100" s="10">
        <v>44817</v>
      </c>
      <c r="B5100" s="11">
        <v>231.58170000000001</v>
      </c>
      <c r="C5100" s="8">
        <f t="shared" si="39"/>
        <v>196.57564657568159</v>
      </c>
      <c r="D5100" s="9">
        <f t="shared" si="38"/>
        <v>75.698339011598549</v>
      </c>
      <c r="E5100" s="9"/>
      <c r="F5100" s="9">
        <f ca="1">IFERROR(__xludf.DUMMYFUNCTION("""COMPUTED_VALUE"""),40207)</f>
        <v>40207</v>
      </c>
      <c r="G5100" s="9" t="str">
        <f ca="1">IFERROR(__xludf.DUMMYFUNCTION("""COMPUTED_VALUE"""),"1 USD = 84.7021 PKR")</f>
        <v>1 USD = 84.7021 PKR</v>
      </c>
      <c r="H5100" s="9" t="str">
        <f ca="1">IFERROR(__xludf.DUMMYFUNCTION("""COMPUTED_VALUE"""),"USD PKR rate for 29/01/2010")</f>
        <v>USD PKR rate for 29/01/2010</v>
      </c>
      <c r="I5100" s="9"/>
    </row>
    <row r="5101" spans="1:9" ht="14.25" customHeight="1" x14ac:dyDescent="0.3">
      <c r="A5101" s="10">
        <v>44818</v>
      </c>
      <c r="B5101" s="11">
        <v>234.88550000000001</v>
      </c>
      <c r="C5101" s="8">
        <f t="shared" si="39"/>
        <v>196.61080408453651</v>
      </c>
      <c r="D5101" s="9">
        <f t="shared" si="38"/>
        <v>75.701076844395814</v>
      </c>
      <c r="E5101" s="9"/>
      <c r="F5101" s="9">
        <f ca="1">IFERROR(__xludf.DUMMYFUNCTION("""COMPUTED_VALUE"""),40206)</f>
        <v>40206</v>
      </c>
      <c r="G5101" s="9" t="str">
        <f ca="1">IFERROR(__xludf.DUMMYFUNCTION("""COMPUTED_VALUE"""),"1 USD = 84.6238 PKR")</f>
        <v>1 USD = 84.6238 PKR</v>
      </c>
      <c r="H5101" s="9" t="str">
        <f ca="1">IFERROR(__xludf.DUMMYFUNCTION("""COMPUTED_VALUE"""),"USD PKR rate for 28/01/2010")</f>
        <v>USD PKR rate for 28/01/2010</v>
      </c>
      <c r="I5101" s="9"/>
    </row>
    <row r="5102" spans="1:9" ht="14.25" customHeight="1" x14ac:dyDescent="0.3">
      <c r="A5102" s="10">
        <v>44819</v>
      </c>
      <c r="B5102" s="11">
        <v>236.70150000000001</v>
      </c>
      <c r="C5102" s="8">
        <f t="shared" si="39"/>
        <v>196.64596788130373</v>
      </c>
      <c r="D5102" s="9">
        <f t="shared" si="38"/>
        <v>75.70381467719308</v>
      </c>
      <c r="E5102" s="9"/>
      <c r="F5102" s="9">
        <f ca="1">IFERROR(__xludf.DUMMYFUNCTION("""COMPUTED_VALUE"""),40205)</f>
        <v>40205</v>
      </c>
      <c r="G5102" s="9" t="str">
        <f ca="1">IFERROR(__xludf.DUMMYFUNCTION("""COMPUTED_VALUE"""),"1 USD = 84.479 PKR")</f>
        <v>1 USD = 84.479 PKR</v>
      </c>
      <c r="H5102" s="9" t="str">
        <f ca="1">IFERROR(__xludf.DUMMYFUNCTION("""COMPUTED_VALUE"""),"USD PKR rate for 27/01/2010")</f>
        <v>USD PKR rate for 27/01/2010</v>
      </c>
      <c r="I5102" s="9"/>
    </row>
    <row r="5103" spans="1:9" ht="14.25" customHeight="1" x14ac:dyDescent="0.3">
      <c r="A5103" s="10">
        <v>44820</v>
      </c>
      <c r="B5103" s="11">
        <v>236.91399999999999</v>
      </c>
      <c r="C5103" s="8">
        <f t="shared" si="39"/>
        <v>196.6811379671077</v>
      </c>
      <c r="D5103" s="9">
        <f t="shared" ref="D5103:D5357" si="40">(A5103-$A$3)/365.2524</f>
        <v>75.706552509990345</v>
      </c>
      <c r="E5103" s="9"/>
      <c r="F5103" s="9">
        <f ca="1">IFERROR(__xludf.DUMMYFUNCTION("""COMPUTED_VALUE"""),40204)</f>
        <v>40204</v>
      </c>
      <c r="G5103" s="9" t="str">
        <f ca="1">IFERROR(__xludf.DUMMYFUNCTION("""COMPUTED_VALUE"""),"1 USD = 84.585 PKR")</f>
        <v>1 USD = 84.585 PKR</v>
      </c>
      <c r="H5103" s="9" t="str">
        <f ca="1">IFERROR(__xludf.DUMMYFUNCTION("""COMPUTED_VALUE"""),"USD PKR rate for 26/01/2010")</f>
        <v>USD PKR rate for 26/01/2010</v>
      </c>
      <c r="I5103" s="9"/>
    </row>
    <row r="5104" spans="1:9" ht="14.25" customHeight="1" x14ac:dyDescent="0.3">
      <c r="A5104" s="10">
        <v>44821</v>
      </c>
      <c r="B5104" s="11">
        <v>236.91</v>
      </c>
      <c r="C5104" s="8">
        <f t="shared" ref="C5104:C5358" si="41">(1+$C$1)^D5104*$C$3</f>
        <v>196.71631434307355</v>
      </c>
      <c r="D5104" s="9">
        <f t="shared" si="40"/>
        <v>75.709290342787611</v>
      </c>
      <c r="E5104" s="9"/>
      <c r="F5104" s="9">
        <f ca="1">IFERROR(__xludf.DUMMYFUNCTION("""COMPUTED_VALUE"""),40203)</f>
        <v>40203</v>
      </c>
      <c r="G5104" s="9" t="str">
        <f ca="1">IFERROR(__xludf.DUMMYFUNCTION("""COMPUTED_VALUE"""),"1 USD = 84.6317 PKR")</f>
        <v>1 USD = 84.6317 PKR</v>
      </c>
      <c r="H5104" s="9" t="str">
        <f ca="1">IFERROR(__xludf.DUMMYFUNCTION("""COMPUTED_VALUE"""),"USD PKR rate for 25/01/2010")</f>
        <v>USD PKR rate for 25/01/2010</v>
      </c>
      <c r="I5104" s="9"/>
    </row>
    <row r="5105" spans="1:9" ht="14.25" customHeight="1" x14ac:dyDescent="0.3">
      <c r="A5105" s="10">
        <v>44822</v>
      </c>
      <c r="B5105" s="11">
        <v>221.85740000000001</v>
      </c>
      <c r="C5105" s="8">
        <f t="shared" si="41"/>
        <v>196.75149701032606</v>
      </c>
      <c r="D5105" s="9">
        <f t="shared" si="40"/>
        <v>75.712028175584877</v>
      </c>
      <c r="E5105" s="9"/>
      <c r="F5105" s="9">
        <f ca="1">IFERROR(__xludf.DUMMYFUNCTION("""COMPUTED_VALUE"""),40202)</f>
        <v>40202</v>
      </c>
      <c r="G5105" s="9" t="str">
        <f ca="1">IFERROR(__xludf.DUMMYFUNCTION("""COMPUTED_VALUE"""),"1 USD = 84.5909 PKR")</f>
        <v>1 USD = 84.5909 PKR</v>
      </c>
      <c r="H5105" s="9" t="str">
        <f ca="1">IFERROR(__xludf.DUMMYFUNCTION("""COMPUTED_VALUE"""),"USD PKR rate for 24/01/2010")</f>
        <v>USD PKR rate for 24/01/2010</v>
      </c>
      <c r="I5105" s="9"/>
    </row>
    <row r="5106" spans="1:9" ht="14.25" customHeight="1" x14ac:dyDescent="0.3">
      <c r="A5106" s="10">
        <v>44823</v>
      </c>
      <c r="B5106" s="11">
        <v>238.20009999999999</v>
      </c>
      <c r="C5106" s="8">
        <f t="shared" si="41"/>
        <v>196.78668596999049</v>
      </c>
      <c r="D5106" s="9">
        <f t="shared" si="40"/>
        <v>75.714766008382142</v>
      </c>
      <c r="E5106" s="9"/>
      <c r="F5106" s="9">
        <f ca="1">IFERROR(__xludf.DUMMYFUNCTION("""COMPUTED_VALUE"""),40201)</f>
        <v>40201</v>
      </c>
      <c r="G5106" s="9" t="str">
        <f ca="1">IFERROR(__xludf.DUMMYFUNCTION("""COMPUTED_VALUE"""),"1 USD = 84.6378 PKR")</f>
        <v>1 USD = 84.6378 PKR</v>
      </c>
      <c r="H5106" s="9" t="str">
        <f ca="1">IFERROR(__xludf.DUMMYFUNCTION("""COMPUTED_VALUE"""),"USD PKR rate for 23/01/2010")</f>
        <v>USD PKR rate for 23/01/2010</v>
      </c>
      <c r="I5106" s="9"/>
    </row>
    <row r="5107" spans="1:9" ht="14.25" customHeight="1" x14ac:dyDescent="0.3">
      <c r="A5107" s="10">
        <v>44824</v>
      </c>
      <c r="B5107" s="11">
        <v>239.26159999999999</v>
      </c>
      <c r="C5107" s="8">
        <f t="shared" si="41"/>
        <v>196.82188122319221</v>
      </c>
      <c r="D5107" s="9">
        <f t="shared" si="40"/>
        <v>75.717503841179408</v>
      </c>
      <c r="E5107" s="9"/>
      <c r="F5107" s="9">
        <f ca="1">IFERROR(__xludf.DUMMYFUNCTION("""COMPUTED_VALUE"""),40200)</f>
        <v>40200</v>
      </c>
      <c r="G5107" s="9" t="str">
        <f ca="1">IFERROR(__xludf.DUMMYFUNCTION("""COMPUTED_VALUE"""),"1 USD = 84.6033 PKR")</f>
        <v>1 USD = 84.6033 PKR</v>
      </c>
      <c r="H5107" s="9" t="str">
        <f ca="1">IFERROR(__xludf.DUMMYFUNCTION("""COMPUTED_VALUE"""),"USD PKR rate for 22/01/2010")</f>
        <v>USD PKR rate for 22/01/2010</v>
      </c>
      <c r="I5107" s="9"/>
    </row>
    <row r="5108" spans="1:9" ht="14.25" customHeight="1" x14ac:dyDescent="0.3">
      <c r="A5108" s="10">
        <v>44825</v>
      </c>
      <c r="B5108" s="11">
        <v>239.91890000000001</v>
      </c>
      <c r="C5108" s="8">
        <f t="shared" si="41"/>
        <v>196.85708277105681</v>
      </c>
      <c r="D5108" s="9">
        <f t="shared" si="40"/>
        <v>75.720241673976673</v>
      </c>
      <c r="E5108" s="9"/>
      <c r="F5108" s="9">
        <f ca="1">IFERROR(__xludf.DUMMYFUNCTION("""COMPUTED_VALUE"""),40199)</f>
        <v>40199</v>
      </c>
      <c r="G5108" s="9" t="str">
        <f ca="1">IFERROR(__xludf.DUMMYFUNCTION("""COMPUTED_VALUE"""),"1 USD = 84.5705 PKR")</f>
        <v>1 USD = 84.5705 PKR</v>
      </c>
      <c r="H5108" s="9" t="str">
        <f ca="1">IFERROR(__xludf.DUMMYFUNCTION("""COMPUTED_VALUE"""),"USD PKR rate for 21/01/2010")</f>
        <v>USD PKR rate for 21/01/2010</v>
      </c>
      <c r="I5108" s="9"/>
    </row>
    <row r="5109" spans="1:9" ht="14.25" customHeight="1" x14ac:dyDescent="0.3">
      <c r="A5109" s="10">
        <v>44826</v>
      </c>
      <c r="B5109" s="11">
        <v>239.48339999999999</v>
      </c>
      <c r="C5109" s="8">
        <f t="shared" si="41"/>
        <v>196.89229061471008</v>
      </c>
      <c r="D5109" s="9">
        <f t="shared" si="40"/>
        <v>75.722979506773939</v>
      </c>
      <c r="E5109" s="9"/>
      <c r="F5109" s="9">
        <f ca="1">IFERROR(__xludf.DUMMYFUNCTION("""COMPUTED_VALUE"""),40198)</f>
        <v>40198</v>
      </c>
      <c r="G5109" s="9" t="str">
        <f ca="1">IFERROR(__xludf.DUMMYFUNCTION("""COMPUTED_VALUE"""),"1 USD = 84.6333 PKR")</f>
        <v>1 USD = 84.6333 PKR</v>
      </c>
      <c r="H5109" s="9" t="str">
        <f ca="1">IFERROR(__xludf.DUMMYFUNCTION("""COMPUTED_VALUE"""),"USD PKR rate for 20/01/2010")</f>
        <v>USD PKR rate for 20/01/2010</v>
      </c>
      <c r="I5109" s="9"/>
    </row>
    <row r="5110" spans="1:9" ht="14.25" customHeight="1" x14ac:dyDescent="0.3">
      <c r="A5110" s="10">
        <v>44827</v>
      </c>
      <c r="B5110" s="11">
        <v>239.8109</v>
      </c>
      <c r="C5110" s="8">
        <f t="shared" si="41"/>
        <v>196.92750475527802</v>
      </c>
      <c r="D5110" s="9">
        <f t="shared" si="40"/>
        <v>75.725717339571204</v>
      </c>
      <c r="E5110" s="9"/>
      <c r="F5110" s="9">
        <f ca="1">IFERROR(__xludf.DUMMYFUNCTION("""COMPUTED_VALUE"""),40197)</f>
        <v>40197</v>
      </c>
      <c r="G5110" s="9" t="str">
        <f ca="1">IFERROR(__xludf.DUMMYFUNCTION("""COMPUTED_VALUE"""),"1 USD = 84.4539 PKR")</f>
        <v>1 USD = 84.4539 PKR</v>
      </c>
      <c r="H5110" s="9" t="str">
        <f ca="1">IFERROR(__xludf.DUMMYFUNCTION("""COMPUTED_VALUE"""),"USD PKR rate for 19/01/2010")</f>
        <v>USD PKR rate for 19/01/2010</v>
      </c>
      <c r="I5110" s="9"/>
    </row>
    <row r="5111" spans="1:9" ht="14.25" customHeight="1" x14ac:dyDescent="0.3">
      <c r="A5111" s="10">
        <v>44828</v>
      </c>
      <c r="B5111" s="11">
        <v>240.77090000000001</v>
      </c>
      <c r="C5111" s="8">
        <f t="shared" si="41"/>
        <v>196.96272519388685</v>
      </c>
      <c r="D5111" s="9">
        <f t="shared" si="40"/>
        <v>75.72845517236847</v>
      </c>
      <c r="E5111" s="9"/>
      <c r="F5111" s="9">
        <f ca="1">IFERROR(__xludf.DUMMYFUNCTION("""COMPUTED_VALUE"""),40196)</f>
        <v>40196</v>
      </c>
      <c r="G5111" s="9" t="str">
        <f ca="1">IFERROR(__xludf.DUMMYFUNCTION("""COMPUTED_VALUE"""),"1 USD = 84.3391 PKR")</f>
        <v>1 USD = 84.3391 PKR</v>
      </c>
      <c r="H5111" s="9" t="str">
        <f ca="1">IFERROR(__xludf.DUMMYFUNCTION("""COMPUTED_VALUE"""),"USD PKR rate for 18/01/2010")</f>
        <v>USD PKR rate for 18/01/2010</v>
      </c>
      <c r="I5111" s="9"/>
    </row>
    <row r="5112" spans="1:9" ht="14.25" customHeight="1" x14ac:dyDescent="0.3">
      <c r="A5112" s="10">
        <v>44829</v>
      </c>
      <c r="B5112">
        <v>240.75999405481338</v>
      </c>
      <c r="C5112" s="8">
        <f t="shared" si="41"/>
        <v>196.99795193166278</v>
      </c>
      <c r="D5112" s="9">
        <f t="shared" si="40"/>
        <v>75.731193005165736</v>
      </c>
      <c r="E5112" s="9"/>
      <c r="F5112" s="9">
        <f ca="1">IFERROR(__xludf.DUMMYFUNCTION("""COMPUTED_VALUE"""),40195)</f>
        <v>40195</v>
      </c>
      <c r="G5112" s="9" t="str">
        <f ca="1">IFERROR(__xludf.DUMMYFUNCTION("""COMPUTED_VALUE"""),"1 USD = 84.6178 PKR")</f>
        <v>1 USD = 84.6178 PKR</v>
      </c>
      <c r="H5112" s="9" t="str">
        <f ca="1">IFERROR(__xludf.DUMMYFUNCTION("""COMPUTED_VALUE"""),"USD PKR rate for 17/01/2010")</f>
        <v>USD PKR rate for 17/01/2010</v>
      </c>
      <c r="I5112" s="9"/>
    </row>
    <row r="5113" spans="1:9" ht="14.25" customHeight="1" x14ac:dyDescent="0.3">
      <c r="A5113" s="10">
        <v>44830</v>
      </c>
      <c r="B5113">
        <v>239.79576858803281</v>
      </c>
      <c r="C5113" s="8">
        <f t="shared" si="41"/>
        <v>197.03318496973279</v>
      </c>
      <c r="D5113" s="9">
        <f t="shared" si="40"/>
        <v>75.733930837963001</v>
      </c>
      <c r="E5113" s="9"/>
      <c r="F5113" s="9">
        <f ca="1">IFERROR(__xludf.DUMMYFUNCTION("""COMPUTED_VALUE"""),40194)</f>
        <v>40194</v>
      </c>
      <c r="G5113" s="9" t="str">
        <f ca="1">IFERROR(__xludf.DUMMYFUNCTION("""COMPUTED_VALUE"""),"1 USD = 84.5762 PKR")</f>
        <v>1 USD = 84.5762 PKR</v>
      </c>
      <c r="H5113" s="9" t="str">
        <f ca="1">IFERROR(__xludf.DUMMYFUNCTION("""COMPUTED_VALUE"""),"USD PKR rate for 16/01/2010")</f>
        <v>USD PKR rate for 16/01/2010</v>
      </c>
      <c r="I5113" s="9"/>
    </row>
    <row r="5114" spans="1:9" ht="14.25" customHeight="1" x14ac:dyDescent="0.3">
      <c r="A5114" s="10">
        <v>44831</v>
      </c>
      <c r="B5114">
        <v>236.75006825888772</v>
      </c>
      <c r="C5114" s="8">
        <f t="shared" si="41"/>
        <v>197.0684243092235</v>
      </c>
      <c r="D5114" s="9">
        <f t="shared" si="40"/>
        <v>75.736668670760267</v>
      </c>
      <c r="E5114" s="9"/>
      <c r="F5114" s="9">
        <f ca="1">IFERROR(__xludf.DUMMYFUNCTION("""COMPUTED_VALUE"""),40193)</f>
        <v>40193</v>
      </c>
      <c r="G5114" s="9" t="str">
        <f ca="1">IFERROR(__xludf.DUMMYFUNCTION("""COMPUTED_VALUE"""),"1 USD = 84.6991 PKR")</f>
        <v>1 USD = 84.6991 PKR</v>
      </c>
      <c r="H5114" s="9" t="str">
        <f ca="1">IFERROR(__xludf.DUMMYFUNCTION("""COMPUTED_VALUE"""),"USD PKR rate for 15/01/2010")</f>
        <v>USD PKR rate for 15/01/2010</v>
      </c>
      <c r="I5114" s="9"/>
    </row>
    <row r="5115" spans="1:9" ht="14.25" customHeight="1" x14ac:dyDescent="0.3">
      <c r="A5115" s="10">
        <v>44832</v>
      </c>
      <c r="B5115">
        <v>234.30208985727</v>
      </c>
      <c r="C5115" s="8">
        <f t="shared" si="41"/>
        <v>197.10366995126194</v>
      </c>
      <c r="D5115" s="9">
        <f t="shared" si="40"/>
        <v>75.739406503557532</v>
      </c>
      <c r="E5115" s="9"/>
      <c r="F5115" s="9">
        <f ca="1">IFERROR(__xludf.DUMMYFUNCTION("""COMPUTED_VALUE"""),40192)</f>
        <v>40192</v>
      </c>
      <c r="G5115" s="9" t="str">
        <f ca="1">IFERROR(__xludf.DUMMYFUNCTION("""COMPUTED_VALUE"""),"1 USD = 84.792 PKR")</f>
        <v>1 USD = 84.792 PKR</v>
      </c>
      <c r="H5115" s="9" t="str">
        <f ca="1">IFERROR(__xludf.DUMMYFUNCTION("""COMPUTED_VALUE"""),"USD PKR rate for 14/01/2010")</f>
        <v>USD PKR rate for 14/01/2010</v>
      </c>
      <c r="I5115" s="9"/>
    </row>
    <row r="5116" spans="1:9" ht="14.25" customHeight="1" x14ac:dyDescent="0.3">
      <c r="A5116" s="10">
        <v>44833</v>
      </c>
      <c r="B5116">
        <v>231.949905485888</v>
      </c>
      <c r="C5116" s="8">
        <f t="shared" si="41"/>
        <v>197.13892189697529</v>
      </c>
      <c r="D5116" s="9">
        <f t="shared" si="40"/>
        <v>75.742144336354798</v>
      </c>
      <c r="E5116" s="9"/>
      <c r="F5116" s="9">
        <f ca="1">IFERROR(__xludf.DUMMYFUNCTION("""COMPUTED_VALUE"""),40191)</f>
        <v>40191</v>
      </c>
      <c r="G5116" s="9" t="str">
        <f ca="1">IFERROR(__xludf.DUMMYFUNCTION("""COMPUTED_VALUE"""),"1 USD = 84.9528 PKR")</f>
        <v>1 USD = 84.9528 PKR</v>
      </c>
      <c r="H5116" s="9" t="str">
        <f ca="1">IFERROR(__xludf.DUMMYFUNCTION("""COMPUTED_VALUE"""),"USD PKR rate for 13/01/2010")</f>
        <v>USD PKR rate for 13/01/2010</v>
      </c>
      <c r="I5116" s="9"/>
    </row>
    <row r="5117" spans="1:9" ht="14.25" customHeight="1" x14ac:dyDescent="0.3">
      <c r="A5117" s="10">
        <v>44834</v>
      </c>
      <c r="B5117">
        <v>228.10376571427406</v>
      </c>
      <c r="C5117" s="8">
        <f t="shared" si="41"/>
        <v>197.17418014749092</v>
      </c>
      <c r="D5117" s="9">
        <f t="shared" si="40"/>
        <v>75.744882169152064</v>
      </c>
      <c r="E5117" s="9"/>
      <c r="F5117" s="9">
        <f ca="1">IFERROR(__xludf.DUMMYFUNCTION("""COMPUTED_VALUE"""),40190)</f>
        <v>40190</v>
      </c>
      <c r="G5117" s="9" t="str">
        <f ca="1">IFERROR(__xludf.DUMMYFUNCTION("""COMPUTED_VALUE"""),"1 USD = 85.0943 PKR")</f>
        <v>1 USD = 85.0943 PKR</v>
      </c>
      <c r="H5117" s="9" t="str">
        <f ca="1">IFERROR(__xludf.DUMMYFUNCTION("""COMPUTED_VALUE"""),"USD PKR rate for 12/01/2010")</f>
        <v>USD PKR rate for 12/01/2010</v>
      </c>
      <c r="I5117" s="9"/>
    </row>
    <row r="5118" spans="1:9" ht="14.25" customHeight="1" x14ac:dyDescent="0.3">
      <c r="A5118" s="10">
        <v>44835</v>
      </c>
      <c r="B5118">
        <v>228.10376571427406</v>
      </c>
      <c r="C5118" s="8">
        <f t="shared" si="41"/>
        <v>197.20944470393653</v>
      </c>
      <c r="D5118" s="9">
        <f t="shared" si="40"/>
        <v>75.747620001949329</v>
      </c>
      <c r="E5118" s="9"/>
      <c r="F5118" s="9">
        <f ca="1">IFERROR(__xludf.DUMMYFUNCTION("""COMPUTED_VALUE"""),40189)</f>
        <v>40189</v>
      </c>
      <c r="G5118" s="9" t="str">
        <f ca="1">IFERROR(__xludf.DUMMYFUNCTION("""COMPUTED_VALUE"""),"1 USD = 84.7933 PKR")</f>
        <v>1 USD = 84.7933 PKR</v>
      </c>
      <c r="H5118" s="9" t="str">
        <f ca="1">IFERROR(__xludf.DUMMYFUNCTION("""COMPUTED_VALUE"""),"USD PKR rate for 11/01/2010")</f>
        <v>USD PKR rate for 11/01/2010</v>
      </c>
      <c r="I5118" s="9"/>
    </row>
    <row r="5119" spans="1:9" ht="14.25" customHeight="1" x14ac:dyDescent="0.3">
      <c r="A5119" s="10">
        <v>44836</v>
      </c>
      <c r="B5119">
        <v>228.09449110785462</v>
      </c>
      <c r="C5119" s="8">
        <f t="shared" si="41"/>
        <v>197.24471556743984</v>
      </c>
      <c r="D5119" s="9">
        <f t="shared" si="40"/>
        <v>75.750357834746595</v>
      </c>
      <c r="E5119" s="9"/>
      <c r="F5119" s="9">
        <f ca="1">IFERROR(__xludf.DUMMYFUNCTION("""COMPUTED_VALUE"""),40188)</f>
        <v>40188</v>
      </c>
      <c r="G5119" s="9" t="str">
        <f ca="1">IFERROR(__xludf.DUMMYFUNCTION("""COMPUTED_VALUE"""),"1 USD = 84.7148 PKR")</f>
        <v>1 USD = 84.7148 PKR</v>
      </c>
      <c r="H5119" s="9" t="str">
        <f ca="1">IFERROR(__xludf.DUMMYFUNCTION("""COMPUTED_VALUE"""),"USD PKR rate for 10/01/2010")</f>
        <v>USD PKR rate for 10/01/2010</v>
      </c>
      <c r="I5119" s="9"/>
    </row>
    <row r="5120" spans="1:9" ht="14.25" customHeight="1" x14ac:dyDescent="0.3">
      <c r="A5120" s="10">
        <v>44837</v>
      </c>
      <c r="B5120">
        <v>228.09884323511733</v>
      </c>
      <c r="C5120" s="8">
        <f t="shared" si="41"/>
        <v>197.27999273912897</v>
      </c>
      <c r="D5120" s="9">
        <f t="shared" si="40"/>
        <v>75.75309566754386</v>
      </c>
      <c r="E5120" s="9"/>
      <c r="F5120" s="9">
        <f ca="1">IFERROR(__xludf.DUMMYFUNCTION("""COMPUTED_VALUE"""),40187)</f>
        <v>40187</v>
      </c>
      <c r="G5120" s="9" t="str">
        <f ca="1">IFERROR(__xludf.DUMMYFUNCTION("""COMPUTED_VALUE"""),"1 USD = 84.7465 PKR")</f>
        <v>1 USD = 84.7465 PKR</v>
      </c>
      <c r="H5120" s="9" t="str">
        <f ca="1">IFERROR(__xludf.DUMMYFUNCTION("""COMPUTED_VALUE"""),"USD PKR rate for 09/01/2010")</f>
        <v>USD PKR rate for 09/01/2010</v>
      </c>
      <c r="I5120" s="9"/>
    </row>
    <row r="5121" spans="1:9" ht="14.25" customHeight="1" x14ac:dyDescent="0.3">
      <c r="A5121" s="10">
        <v>44838</v>
      </c>
      <c r="B5121">
        <v>225.23648585033223</v>
      </c>
      <c r="C5121" s="8">
        <f t="shared" si="41"/>
        <v>197.31527622013189</v>
      </c>
      <c r="D5121" s="9">
        <f t="shared" si="40"/>
        <v>75.755833500341126</v>
      </c>
      <c r="E5121" s="9"/>
      <c r="F5121" s="9">
        <f ca="1">IFERROR(__xludf.DUMMYFUNCTION("""COMPUTED_VALUE"""),40186)</f>
        <v>40186</v>
      </c>
      <c r="G5121" s="9" t="str">
        <f ca="1">IFERROR(__xludf.DUMMYFUNCTION("""COMPUTED_VALUE"""),"1 USD = 84.7957 PKR")</f>
        <v>1 USD = 84.7957 PKR</v>
      </c>
      <c r="H5121" s="9" t="str">
        <f ca="1">IFERROR(__xludf.DUMMYFUNCTION("""COMPUTED_VALUE"""),"USD PKR rate for 08/01/2010")</f>
        <v>USD PKR rate for 08/01/2010</v>
      </c>
      <c r="I5121" s="9"/>
    </row>
    <row r="5122" spans="1:9" ht="14.25" customHeight="1" x14ac:dyDescent="0.3">
      <c r="A5122" s="10">
        <v>44839</v>
      </c>
      <c r="B5122">
        <v>224.20639896838352</v>
      </c>
      <c r="C5122" s="8">
        <f t="shared" si="41"/>
        <v>197.3505660115774</v>
      </c>
      <c r="D5122" s="9">
        <f t="shared" si="40"/>
        <v>75.758571333138391</v>
      </c>
      <c r="E5122" s="9"/>
      <c r="F5122" s="9">
        <f ca="1">IFERROR(__xludf.DUMMYFUNCTION("""COMPUTED_VALUE"""),40185)</f>
        <v>40185</v>
      </c>
      <c r="G5122" s="9" t="str">
        <f ca="1">IFERROR(__xludf.DUMMYFUNCTION("""COMPUTED_VALUE"""),"1 USD = 84.7453 PKR")</f>
        <v>1 USD = 84.7453 PKR</v>
      </c>
      <c r="H5122" s="9" t="str">
        <f ca="1">IFERROR(__xludf.DUMMYFUNCTION("""COMPUTED_VALUE"""),"USD PKR rate for 07/01/2010")</f>
        <v>USD PKR rate for 07/01/2010</v>
      </c>
      <c r="I5122" s="9"/>
    </row>
    <row r="5123" spans="1:9" ht="14.25" customHeight="1" x14ac:dyDescent="0.3">
      <c r="A5123" s="10">
        <v>44840</v>
      </c>
      <c r="B5123">
        <v>223.00027991430943</v>
      </c>
      <c r="C5123" s="8">
        <f t="shared" si="41"/>
        <v>197.38586211459392</v>
      </c>
      <c r="D5123" s="9">
        <f t="shared" si="40"/>
        <v>75.761309165935657</v>
      </c>
      <c r="E5123" s="9"/>
      <c r="F5123" s="9">
        <f ca="1">IFERROR(__xludf.DUMMYFUNCTION("""COMPUTED_VALUE"""),40184)</f>
        <v>40184</v>
      </c>
      <c r="G5123" s="9" t="str">
        <f ca="1">IFERROR(__xludf.DUMMYFUNCTION("""COMPUTED_VALUE"""),"1 USD = 84.7291 PKR")</f>
        <v>1 USD = 84.7291 PKR</v>
      </c>
      <c r="H5123" s="9" t="str">
        <f ca="1">IFERROR(__xludf.DUMMYFUNCTION("""COMPUTED_VALUE"""),"USD PKR rate for 06/01/2010")</f>
        <v>USD PKR rate for 06/01/2010</v>
      </c>
      <c r="I5123" s="9"/>
    </row>
    <row r="5124" spans="1:9" ht="14.25" customHeight="1" x14ac:dyDescent="0.3">
      <c r="A5124" s="10">
        <v>44841</v>
      </c>
      <c r="B5124">
        <v>223.00032545766842</v>
      </c>
      <c r="C5124" s="8">
        <f t="shared" si="41"/>
        <v>197.42116453031028</v>
      </c>
      <c r="D5124" s="9">
        <f t="shared" si="40"/>
        <v>75.764046998732923</v>
      </c>
      <c r="E5124" s="9"/>
      <c r="F5124" s="9">
        <f ca="1">IFERROR(__xludf.DUMMYFUNCTION("""COMPUTED_VALUE"""),40183)</f>
        <v>40183</v>
      </c>
      <c r="G5124" s="9" t="str">
        <f ca="1">IFERROR(__xludf.DUMMYFUNCTION("""COMPUTED_VALUE"""),"1 USD = 84.6822 PKR")</f>
        <v>1 USD = 84.6822 PKR</v>
      </c>
      <c r="H5124" s="9" t="str">
        <f ca="1">IFERROR(__xludf.DUMMYFUNCTION("""COMPUTED_VALUE"""),"USD PKR rate for 05/01/2010")</f>
        <v>USD PKR rate for 05/01/2010</v>
      </c>
      <c r="I5124" s="9"/>
    </row>
    <row r="5125" spans="1:9" ht="14.25" customHeight="1" x14ac:dyDescent="0.3">
      <c r="A5125" s="10">
        <v>44842</v>
      </c>
      <c r="B5125">
        <v>221.00880686397412</v>
      </c>
      <c r="C5125" s="8">
        <f t="shared" si="41"/>
        <v>197.45647325985556</v>
      </c>
      <c r="D5125" s="9">
        <f t="shared" si="40"/>
        <v>75.766784831530188</v>
      </c>
      <c r="E5125" s="9"/>
      <c r="F5125" s="9">
        <f ca="1">IFERROR(__xludf.DUMMYFUNCTION("""COMPUTED_VALUE"""),40182)</f>
        <v>40182</v>
      </c>
      <c r="G5125" s="9" t="str">
        <f ca="1">IFERROR(__xludf.DUMMYFUNCTION("""COMPUTED_VALUE"""),"1 USD = 84.4363 PKR")</f>
        <v>1 USD = 84.4363 PKR</v>
      </c>
      <c r="H5125" s="9" t="str">
        <f ca="1">IFERROR(__xludf.DUMMYFUNCTION("""COMPUTED_VALUE"""),"USD PKR rate for 04/01/2010")</f>
        <v>USD PKR rate for 04/01/2010</v>
      </c>
      <c r="I5125" s="9"/>
    </row>
    <row r="5126" spans="1:9" ht="14.25" customHeight="1" x14ac:dyDescent="0.3">
      <c r="A5126" s="10">
        <v>44843</v>
      </c>
      <c r="B5126">
        <v>221.00885185748274</v>
      </c>
      <c r="C5126" s="8">
        <f t="shared" si="41"/>
        <v>197.49178830435889</v>
      </c>
      <c r="D5126" s="9">
        <f t="shared" si="40"/>
        <v>75.769522664327454</v>
      </c>
      <c r="E5126" s="9"/>
      <c r="F5126" s="9">
        <f ca="1">IFERROR(__xludf.DUMMYFUNCTION("""COMPUTED_VALUE"""),40181)</f>
        <v>40181</v>
      </c>
      <c r="G5126" s="9" t="str">
        <f ca="1">IFERROR(__xludf.DUMMYFUNCTION("""COMPUTED_VALUE"""),"1 USD = 84.4208 PKR")</f>
        <v>1 USD = 84.4208 PKR</v>
      </c>
      <c r="H5126" s="9" t="str">
        <f ca="1">IFERROR(__xludf.DUMMYFUNCTION("""COMPUTED_VALUE"""),"USD PKR rate for 03/01/2010")</f>
        <v>USD PKR rate for 03/01/2010</v>
      </c>
      <c r="I5126" s="9"/>
    </row>
    <row r="5127" spans="1:9" ht="14.25" customHeight="1" x14ac:dyDescent="0.3">
      <c r="A5127" s="10">
        <v>44844</v>
      </c>
      <c r="B5127">
        <v>220.50908109700271</v>
      </c>
      <c r="C5127" s="8">
        <f t="shared" si="41"/>
        <v>197.52710966494979</v>
      </c>
      <c r="D5127" s="9">
        <f t="shared" si="40"/>
        <v>75.772260497124719</v>
      </c>
      <c r="E5127" s="9"/>
      <c r="F5127" s="9">
        <f ca="1">IFERROR(__xludf.DUMMYFUNCTION("""COMPUTED_VALUE"""),40180)</f>
        <v>40180</v>
      </c>
      <c r="G5127" s="9" t="str">
        <f ca="1">IFERROR(__xludf.DUMMYFUNCTION("""COMPUTED_VALUE"""),"1 USD = 84.4051 PKR")</f>
        <v>1 USD = 84.4051 PKR</v>
      </c>
      <c r="H5127" s="9" t="str">
        <f ca="1">IFERROR(__xludf.DUMMYFUNCTION("""COMPUTED_VALUE"""),"USD PKR rate for 02/01/2010")</f>
        <v>USD PKR rate for 02/01/2010</v>
      </c>
      <c r="I5127" s="9"/>
    </row>
    <row r="5128" spans="1:9" ht="14.25" customHeight="1" x14ac:dyDescent="0.3">
      <c r="A5128" s="10">
        <v>44845</v>
      </c>
      <c r="B5128">
        <v>217.15026845803644</v>
      </c>
      <c r="C5128" s="8">
        <f t="shared" si="41"/>
        <v>197.56243734275779</v>
      </c>
      <c r="D5128" s="9">
        <f t="shared" si="40"/>
        <v>75.774998329921985</v>
      </c>
      <c r="E5128" s="9"/>
      <c r="F5128" s="9">
        <f ca="1">IFERROR(__xludf.DUMMYFUNCTION("""COMPUTED_VALUE"""),40179)</f>
        <v>40179</v>
      </c>
      <c r="G5128" s="9" t="str">
        <f ca="1">IFERROR(__xludf.DUMMYFUNCTION("""COMPUTED_VALUE"""),"1 USD = 84.3894 PKR")</f>
        <v>1 USD = 84.3894 PKR</v>
      </c>
      <c r="H5128" s="9" t="str">
        <f ca="1">IFERROR(__xludf.DUMMYFUNCTION("""COMPUTED_VALUE"""),"USD PKR rate for 01/01/2010")</f>
        <v>USD PKR rate for 01/01/2010</v>
      </c>
      <c r="I5128" s="9"/>
    </row>
    <row r="5129" spans="1:9" ht="14.25" customHeight="1" x14ac:dyDescent="0.3">
      <c r="A5129" s="10">
        <v>44846</v>
      </c>
      <c r="B5129">
        <v>217.95015580495794</v>
      </c>
      <c r="C5129" s="8">
        <f t="shared" si="41"/>
        <v>197.59777133891285</v>
      </c>
      <c r="D5129" s="9">
        <f t="shared" si="40"/>
        <v>75.777736162719251</v>
      </c>
      <c r="E5129" s="9"/>
      <c r="F5129" s="9">
        <f ca="1">IFERROR(__xludf.DUMMYFUNCTION("""COMPUTED_VALUE"""),40178)</f>
        <v>40178</v>
      </c>
      <c r="G5129" s="9" t="str">
        <f ca="1">IFERROR(__xludf.DUMMYFUNCTION("""COMPUTED_VALUE"""),"1 USD = 84.1414 PKR")</f>
        <v>1 USD = 84.1414 PKR</v>
      </c>
      <c r="H5129" s="9" t="str">
        <f ca="1">IFERROR(__xludf.DUMMYFUNCTION("""COMPUTED_VALUE"""),"USD PKR rate for 31/12/2009")</f>
        <v>USD PKR rate for 31/12/2009</v>
      </c>
      <c r="I5129" s="9"/>
    </row>
    <row r="5130" spans="1:9" ht="14.25" customHeight="1" x14ac:dyDescent="0.3">
      <c r="A5130" s="10">
        <v>44847</v>
      </c>
      <c r="B5130">
        <v>218.25005564427869</v>
      </c>
      <c r="C5130" s="8">
        <f t="shared" si="41"/>
        <v>197.63311165454471</v>
      </c>
      <c r="D5130" s="9">
        <f t="shared" si="40"/>
        <v>75.780473995516516</v>
      </c>
      <c r="E5130" s="9"/>
      <c r="F5130" s="9">
        <f ca="1">IFERROR(__xludf.DUMMYFUNCTION("""COMPUTED_VALUE"""),40177)</f>
        <v>40177</v>
      </c>
      <c r="G5130" s="9" t="str">
        <f ca="1">IFERROR(__xludf.DUMMYFUNCTION("""COMPUTED_VALUE"""),"1 USD = 84.1879 PKR")</f>
        <v>1 USD = 84.1879 PKR</v>
      </c>
      <c r="H5130" s="9" t="str">
        <f ca="1">IFERROR(__xludf.DUMMYFUNCTION("""COMPUTED_VALUE"""),"USD PKR rate for 30/12/2009")</f>
        <v>USD PKR rate for 30/12/2009</v>
      </c>
      <c r="I5130" s="9"/>
    </row>
    <row r="5131" spans="1:9" ht="14.25" customHeight="1" x14ac:dyDescent="0.3">
      <c r="A5131" s="10">
        <v>44848</v>
      </c>
      <c r="B5131">
        <v>218.25028873734107</v>
      </c>
      <c r="C5131" s="8">
        <f t="shared" si="41"/>
        <v>197.66845829078403</v>
      </c>
      <c r="D5131" s="9">
        <f t="shared" si="40"/>
        <v>75.783211828313782</v>
      </c>
      <c r="E5131" s="9"/>
      <c r="F5131" s="9">
        <f ca="1">IFERROR(__xludf.DUMMYFUNCTION("""COMPUTED_VALUE"""),40176)</f>
        <v>40176</v>
      </c>
      <c r="G5131" s="9" t="str">
        <f ca="1">IFERROR(__xludf.DUMMYFUNCTION("""COMPUTED_VALUE"""),"1 USD = 84.0983 PKR")</f>
        <v>1 USD = 84.0983 PKR</v>
      </c>
      <c r="H5131" s="9" t="str">
        <f ca="1">IFERROR(__xludf.DUMMYFUNCTION("""COMPUTED_VALUE"""),"USD PKR rate for 29/12/2009")</f>
        <v>USD PKR rate for 29/12/2009</v>
      </c>
      <c r="I5131" s="9"/>
    </row>
    <row r="5132" spans="1:9" ht="14.25" customHeight="1" x14ac:dyDescent="0.3">
      <c r="A5132" s="10">
        <v>44849</v>
      </c>
      <c r="B5132">
        <v>218.25028873734107</v>
      </c>
      <c r="C5132" s="8">
        <f t="shared" si="41"/>
        <v>197.70381124876104</v>
      </c>
      <c r="D5132" s="9">
        <f t="shared" si="40"/>
        <v>75.785949661111047</v>
      </c>
      <c r="E5132" s="9"/>
      <c r="F5132" s="9">
        <f ca="1">IFERROR(__xludf.DUMMYFUNCTION("""COMPUTED_VALUE"""),40175)</f>
        <v>40175</v>
      </c>
      <c r="G5132" s="9" t="str">
        <f ca="1">IFERROR(__xludf.DUMMYFUNCTION("""COMPUTED_VALUE"""),"1 USD = 84.1497 PKR")</f>
        <v>1 USD = 84.1497 PKR</v>
      </c>
      <c r="H5132" s="9" t="str">
        <f ca="1">IFERROR(__xludf.DUMMYFUNCTION("""COMPUTED_VALUE"""),"USD PKR rate for 28/12/2009")</f>
        <v>USD PKR rate for 28/12/2009</v>
      </c>
      <c r="I5132" s="9"/>
    </row>
    <row r="5133" spans="1:9" ht="14.25" customHeight="1" x14ac:dyDescent="0.3">
      <c r="A5133" s="10">
        <v>44850</v>
      </c>
      <c r="B5133">
        <v>218.25019611789253</v>
      </c>
      <c r="C5133" s="8">
        <f t="shared" si="41"/>
        <v>197.73917052960644</v>
      </c>
      <c r="D5133" s="9">
        <f t="shared" si="40"/>
        <v>75.788687493908313</v>
      </c>
      <c r="E5133" s="9"/>
      <c r="F5133" s="9">
        <f ca="1">IFERROR(__xludf.DUMMYFUNCTION("""COMPUTED_VALUE"""),40174)</f>
        <v>40174</v>
      </c>
      <c r="G5133" s="9" t="str">
        <f ca="1">IFERROR(__xludf.DUMMYFUNCTION("""COMPUTED_VALUE"""),"1 USD = 84.1743 PKR")</f>
        <v>1 USD = 84.1743 PKR</v>
      </c>
      <c r="H5133" s="9" t="str">
        <f ca="1">IFERROR(__xludf.DUMMYFUNCTION("""COMPUTED_VALUE"""),"USD PKR rate for 27/12/2009")</f>
        <v>USD PKR rate for 27/12/2009</v>
      </c>
      <c r="I5133" s="9"/>
    </row>
    <row r="5134" spans="1:9" ht="14.25" customHeight="1" x14ac:dyDescent="0.3">
      <c r="A5134" s="10">
        <v>44851</v>
      </c>
      <c r="B5134">
        <v>219.75015110067318</v>
      </c>
      <c r="C5134" s="8">
        <f t="shared" si="41"/>
        <v>197.77453613445095</v>
      </c>
      <c r="D5134" s="9">
        <f t="shared" si="40"/>
        <v>75.791425326705578</v>
      </c>
      <c r="E5134" s="9"/>
      <c r="F5134" s="9">
        <f ca="1">IFERROR(__xludf.DUMMYFUNCTION("""COMPUTED_VALUE"""),40173)</f>
        <v>40173</v>
      </c>
      <c r="G5134" s="9" t="str">
        <f ca="1">IFERROR(__xludf.DUMMYFUNCTION("""COMPUTED_VALUE"""),"1 USD = 84.1796 PKR")</f>
        <v>1 USD = 84.1796 PKR</v>
      </c>
      <c r="H5134" s="9" t="str">
        <f ca="1">IFERROR(__xludf.DUMMYFUNCTION("""COMPUTED_VALUE"""),"USD PKR rate for 26/12/2009")</f>
        <v>USD PKR rate for 26/12/2009</v>
      </c>
      <c r="I5134" s="9"/>
    </row>
    <row r="5135" spans="1:9" ht="14.25" customHeight="1" x14ac:dyDescent="0.3">
      <c r="A5135" s="10">
        <v>44852</v>
      </c>
      <c r="B5135">
        <v>219.7503247177921</v>
      </c>
      <c r="C5135" s="8">
        <f t="shared" si="41"/>
        <v>197.80990806442577</v>
      </c>
      <c r="D5135" s="9">
        <f t="shared" si="40"/>
        <v>75.794163159502844</v>
      </c>
      <c r="E5135" s="9"/>
      <c r="F5135" s="9">
        <f ca="1">IFERROR(__xludf.DUMMYFUNCTION("""COMPUTED_VALUE"""),40172)</f>
        <v>40172</v>
      </c>
      <c r="G5135" s="9" t="str">
        <f ca="1">IFERROR(__xludf.DUMMYFUNCTION("""COMPUTED_VALUE"""),"1 USD = 84.185 PKR")</f>
        <v>1 USD = 84.185 PKR</v>
      </c>
      <c r="H5135" s="9" t="str">
        <f ca="1">IFERROR(__xludf.DUMMYFUNCTION("""COMPUTED_VALUE"""),"USD PKR rate for 25/12/2009")</f>
        <v>USD PKR rate for 25/12/2009</v>
      </c>
      <c r="I5135" s="9"/>
    </row>
    <row r="5136" spans="1:9" ht="14.25" customHeight="1" x14ac:dyDescent="0.3">
      <c r="A5136" s="10">
        <v>44853</v>
      </c>
      <c r="B5136">
        <v>220.99973582220221</v>
      </c>
      <c r="C5136" s="8">
        <f t="shared" si="41"/>
        <v>197.84528632066207</v>
      </c>
      <c r="D5136" s="9">
        <f t="shared" si="40"/>
        <v>75.79690099230011</v>
      </c>
      <c r="E5136" s="9"/>
      <c r="F5136" s="9">
        <f ca="1">IFERROR(__xludf.DUMMYFUNCTION("""COMPUTED_VALUE"""),40171)</f>
        <v>40171</v>
      </c>
      <c r="G5136" s="9" t="str">
        <f ca="1">IFERROR(__xludf.DUMMYFUNCTION("""COMPUTED_VALUE"""),"1 USD = 84.2441 PKR")</f>
        <v>1 USD = 84.2441 PKR</v>
      </c>
      <c r="H5136" s="9" t="str">
        <f ca="1">IFERROR(__xludf.DUMMYFUNCTION("""COMPUTED_VALUE"""),"USD PKR rate for 24/12/2009")</f>
        <v>USD PKR rate for 24/12/2009</v>
      </c>
      <c r="I5136" s="9"/>
    </row>
    <row r="5137" spans="1:9" ht="14.25" customHeight="1" x14ac:dyDescent="0.3">
      <c r="A5137" s="10">
        <v>44854</v>
      </c>
      <c r="B5137">
        <v>220.82507342594411</v>
      </c>
      <c r="C5137" s="8">
        <f t="shared" si="41"/>
        <v>197.88067090429124</v>
      </c>
      <c r="D5137" s="9">
        <f t="shared" si="40"/>
        <v>75.799638825097375</v>
      </c>
      <c r="E5137" s="9"/>
      <c r="F5137" s="9">
        <f ca="1">IFERROR(__xludf.DUMMYFUNCTION("""COMPUTED_VALUE"""),40170)</f>
        <v>40170</v>
      </c>
      <c r="G5137" s="9" t="str">
        <f ca="1">IFERROR(__xludf.DUMMYFUNCTION("""COMPUTED_VALUE"""),"1 USD = 84.2879 PKR")</f>
        <v>1 USD = 84.2879 PKR</v>
      </c>
      <c r="H5137" s="9" t="str">
        <f ca="1">IFERROR(__xludf.DUMMYFUNCTION("""COMPUTED_VALUE"""),"USD PKR rate for 23/12/2009")</f>
        <v>USD PKR rate for 23/12/2009</v>
      </c>
      <c r="I5137" s="9"/>
    </row>
    <row r="5138" spans="1:9" ht="14.25" customHeight="1" x14ac:dyDescent="0.3">
      <c r="A5138" s="10">
        <v>44855</v>
      </c>
      <c r="B5138">
        <v>221.15043340526333</v>
      </c>
      <c r="C5138" s="8">
        <f t="shared" si="41"/>
        <v>197.91606181644508</v>
      </c>
      <c r="D5138" s="9">
        <f t="shared" si="40"/>
        <v>75.802376657894641</v>
      </c>
      <c r="E5138" s="9"/>
      <c r="F5138" s="9">
        <f ca="1">IFERROR(__xludf.DUMMYFUNCTION("""COMPUTED_VALUE"""),40169)</f>
        <v>40169</v>
      </c>
      <c r="G5138" s="9" t="str">
        <f ca="1">IFERROR(__xludf.DUMMYFUNCTION("""COMPUTED_VALUE"""),"1 USD = 84.2363 PKR")</f>
        <v>1 USD = 84.2363 PKR</v>
      </c>
      <c r="H5138" s="9" t="str">
        <f ca="1">IFERROR(__xludf.DUMMYFUNCTION("""COMPUTED_VALUE"""),"USD PKR rate for 22/12/2009")</f>
        <v>USD PKR rate for 22/12/2009</v>
      </c>
      <c r="I5138" s="9"/>
    </row>
    <row r="5139" spans="1:9" ht="14.25" customHeight="1" x14ac:dyDescent="0.3">
      <c r="A5139" s="10">
        <v>44856</v>
      </c>
      <c r="B5139">
        <v>218.37297595483011</v>
      </c>
      <c r="C5139" s="8">
        <f t="shared" si="41"/>
        <v>197.9514590582551</v>
      </c>
      <c r="D5139" s="9">
        <f t="shared" si="40"/>
        <v>75.805114490691906</v>
      </c>
      <c r="E5139" s="9"/>
      <c r="F5139" s="9">
        <f ca="1">IFERROR(__xludf.DUMMYFUNCTION("""COMPUTED_VALUE"""),40168)</f>
        <v>40168</v>
      </c>
      <c r="G5139" s="9" t="str">
        <f ca="1">IFERROR(__xludf.DUMMYFUNCTION("""COMPUTED_VALUE"""),"1 USD = 84.2821 PKR")</f>
        <v>1 USD = 84.2821 PKR</v>
      </c>
      <c r="H5139" s="9" t="str">
        <f ca="1">IFERROR(__xludf.DUMMYFUNCTION("""COMPUTED_VALUE"""),"USD PKR rate for 21/12/2009")</f>
        <v>USD PKR rate for 21/12/2009</v>
      </c>
      <c r="I5139" s="9"/>
    </row>
    <row r="5140" spans="1:9" ht="14.25" customHeight="1" x14ac:dyDescent="0.3">
      <c r="A5140" s="10">
        <v>44857</v>
      </c>
      <c r="B5140">
        <v>218.37290937674322</v>
      </c>
      <c r="C5140" s="8">
        <f t="shared" si="41"/>
        <v>197.98686263085384</v>
      </c>
      <c r="D5140" s="9">
        <f t="shared" si="40"/>
        <v>75.807852323489172</v>
      </c>
      <c r="E5140" s="9"/>
      <c r="F5140" s="9">
        <f ca="1">IFERROR(__xludf.DUMMYFUNCTION("""COMPUTED_VALUE"""),40167)</f>
        <v>40167</v>
      </c>
      <c r="G5140" s="9" t="str">
        <f ca="1">IFERROR(__xludf.DUMMYFUNCTION("""COMPUTED_VALUE"""),"1 USD = 84.1988 PKR")</f>
        <v>1 USD = 84.1988 PKR</v>
      </c>
      <c r="H5140" s="9" t="str">
        <f ca="1">IFERROR(__xludf.DUMMYFUNCTION("""COMPUTED_VALUE"""),"USD PKR rate for 20/12/2009")</f>
        <v>USD PKR rate for 20/12/2009</v>
      </c>
      <c r="I5140" s="9"/>
    </row>
    <row r="5141" spans="1:9" ht="14.25" customHeight="1" x14ac:dyDescent="0.3">
      <c r="A5141" s="10">
        <v>44858</v>
      </c>
      <c r="B5141">
        <v>220.00004349514876</v>
      </c>
      <c r="C5141" s="8">
        <f t="shared" si="41"/>
        <v>198.02227253537333</v>
      </c>
      <c r="D5141" s="9">
        <f t="shared" si="40"/>
        <v>75.810590156286437</v>
      </c>
      <c r="E5141" s="9"/>
      <c r="F5141" s="9">
        <f ca="1">IFERROR(__xludf.DUMMYFUNCTION("""COMPUTED_VALUE"""),40166)</f>
        <v>40166</v>
      </c>
      <c r="G5141" s="9" t="str">
        <f ca="1">IFERROR(__xludf.DUMMYFUNCTION("""COMPUTED_VALUE"""),"1 USD = 84.1944 PKR")</f>
        <v>1 USD = 84.1944 PKR</v>
      </c>
      <c r="H5141" s="9" t="str">
        <f ca="1">IFERROR(__xludf.DUMMYFUNCTION("""COMPUTED_VALUE"""),"USD PKR rate for 19/12/2009")</f>
        <v>USD PKR rate for 19/12/2009</v>
      </c>
      <c r="I5141" s="9"/>
    </row>
    <row r="5142" spans="1:9" ht="14.25" customHeight="1" x14ac:dyDescent="0.3">
      <c r="A5142" s="10">
        <v>44859</v>
      </c>
      <c r="B5142">
        <v>219.4251047335342</v>
      </c>
      <c r="C5142" s="8">
        <f t="shared" si="41"/>
        <v>198.05768877294605</v>
      </c>
      <c r="D5142" s="9">
        <f t="shared" si="40"/>
        <v>75.813327989083703</v>
      </c>
      <c r="E5142" s="9"/>
      <c r="F5142" s="9">
        <f ca="1">IFERROR(__xludf.DUMMYFUNCTION("""COMPUTED_VALUE"""),40165)</f>
        <v>40165</v>
      </c>
      <c r="G5142" s="9" t="str">
        <f ca="1">IFERROR(__xludf.DUMMYFUNCTION("""COMPUTED_VALUE"""),"1 USD = 84.2324 PKR")</f>
        <v>1 USD = 84.2324 PKR</v>
      </c>
      <c r="H5142" s="9" t="str">
        <f ca="1">IFERROR(__xludf.DUMMYFUNCTION("""COMPUTED_VALUE"""),"USD PKR rate for 18/12/2009")</f>
        <v>USD PKR rate for 18/12/2009</v>
      </c>
      <c r="I5142" s="9"/>
    </row>
    <row r="5143" spans="1:9" ht="14.25" customHeight="1" x14ac:dyDescent="0.3">
      <c r="A5143" s="10">
        <v>44860</v>
      </c>
      <c r="B5143">
        <v>220.7499053666522</v>
      </c>
      <c r="C5143" s="8">
        <f t="shared" si="41"/>
        <v>198.09311134470465</v>
      </c>
      <c r="D5143" s="9">
        <f t="shared" si="40"/>
        <v>75.816065821880969</v>
      </c>
      <c r="E5143" s="9"/>
      <c r="F5143" s="9">
        <f ca="1">IFERROR(__xludf.DUMMYFUNCTION("""COMPUTED_VALUE"""),40164)</f>
        <v>40164</v>
      </c>
      <c r="G5143" s="9" t="str">
        <f ca="1">IFERROR(__xludf.DUMMYFUNCTION("""COMPUTED_VALUE"""),"1 USD = 84.328 PKR")</f>
        <v>1 USD = 84.328 PKR</v>
      </c>
      <c r="H5143" s="9" t="str">
        <f ca="1">IFERROR(__xludf.DUMMYFUNCTION("""COMPUTED_VALUE"""),"USD PKR rate for 17/12/2009")</f>
        <v>USD PKR rate for 17/12/2009</v>
      </c>
      <c r="I5143" s="9"/>
    </row>
    <row r="5144" spans="1:9" ht="14.25" customHeight="1" x14ac:dyDescent="0.3">
      <c r="A5144" s="10">
        <v>44861</v>
      </c>
      <c r="B5144">
        <v>221.37489189823685</v>
      </c>
      <c r="C5144" s="8">
        <f t="shared" si="41"/>
        <v>198.128540251782</v>
      </c>
      <c r="D5144" s="9">
        <f t="shared" si="40"/>
        <v>75.818803654678234</v>
      </c>
      <c r="E5144" s="9"/>
      <c r="F5144" s="9">
        <f ca="1">IFERROR(__xludf.DUMMYFUNCTION("""COMPUTED_VALUE"""),40163)</f>
        <v>40163</v>
      </c>
      <c r="G5144" s="9" t="str">
        <f ca="1">IFERROR(__xludf.DUMMYFUNCTION("""COMPUTED_VALUE"""),"1 USD = 84.3137 PKR")</f>
        <v>1 USD = 84.3137 PKR</v>
      </c>
      <c r="H5144" s="9" t="str">
        <f ca="1">IFERROR(__xludf.DUMMYFUNCTION("""COMPUTED_VALUE"""),"USD PKR rate for 16/12/2009")</f>
        <v>USD PKR rate for 16/12/2009</v>
      </c>
      <c r="I5144" s="9"/>
    </row>
    <row r="5145" spans="1:9" ht="14.25" customHeight="1" x14ac:dyDescent="0.3">
      <c r="A5145" s="10">
        <v>44862</v>
      </c>
      <c r="B5145">
        <v>221.37506999765171</v>
      </c>
      <c r="C5145" s="8">
        <f t="shared" si="41"/>
        <v>198.16397549531118</v>
      </c>
      <c r="D5145" s="9">
        <f t="shared" si="40"/>
        <v>75.8215414874755</v>
      </c>
      <c r="E5145" s="9"/>
      <c r="F5145" s="9">
        <f ca="1">IFERROR(__xludf.DUMMYFUNCTION("""COMPUTED_VALUE"""),40162)</f>
        <v>40162</v>
      </c>
      <c r="G5145" s="9" t="str">
        <f ca="1">IFERROR(__xludf.DUMMYFUNCTION("""COMPUTED_VALUE"""),"1 USD = 84.346 PKR")</f>
        <v>1 USD = 84.346 PKR</v>
      </c>
      <c r="H5145" s="9" t="str">
        <f ca="1">IFERROR(__xludf.DUMMYFUNCTION("""COMPUTED_VALUE"""),"USD PKR rate for 15/12/2009")</f>
        <v>USD PKR rate for 15/12/2009</v>
      </c>
      <c r="I5145" s="9"/>
    </row>
    <row r="5146" spans="1:9" ht="14.25" customHeight="1" x14ac:dyDescent="0.3">
      <c r="A5146" s="10">
        <v>44863</v>
      </c>
      <c r="B5146">
        <v>221.37506999765171</v>
      </c>
      <c r="C5146" s="8">
        <f t="shared" si="41"/>
        <v>198.19941707642545</v>
      </c>
      <c r="D5146" s="9">
        <f t="shared" si="40"/>
        <v>75.824279320272765</v>
      </c>
      <c r="E5146" s="9"/>
      <c r="F5146" s="9">
        <f ca="1">IFERROR(__xludf.DUMMYFUNCTION("""COMPUTED_VALUE"""),40161)</f>
        <v>40161</v>
      </c>
      <c r="G5146" s="9" t="str">
        <f ca="1">IFERROR(__xludf.DUMMYFUNCTION("""COMPUTED_VALUE"""),"1 USD = 84.1895 PKR")</f>
        <v>1 USD = 84.1895 PKR</v>
      </c>
      <c r="H5146" s="9" t="str">
        <f ca="1">IFERROR(__xludf.DUMMYFUNCTION("""COMPUTED_VALUE"""),"USD PKR rate for 14/12/2009")</f>
        <v>USD PKR rate for 14/12/2009</v>
      </c>
      <c r="I5146" s="9"/>
    </row>
    <row r="5147" spans="1:9" ht="14.25" customHeight="1" x14ac:dyDescent="0.3">
      <c r="A5147" s="10">
        <v>44864</v>
      </c>
      <c r="B5147">
        <v>221.37505198883673</v>
      </c>
      <c r="C5147" s="8">
        <f t="shared" si="41"/>
        <v>198.2348649962583</v>
      </c>
      <c r="D5147" s="9">
        <f t="shared" si="40"/>
        <v>75.827017153070031</v>
      </c>
      <c r="E5147" s="9"/>
      <c r="F5147" s="9">
        <f ca="1">IFERROR(__xludf.DUMMYFUNCTION("""COMPUTED_VALUE"""),40160)</f>
        <v>40160</v>
      </c>
      <c r="G5147" s="9" t="str">
        <f ca="1">IFERROR(__xludf.DUMMYFUNCTION("""COMPUTED_VALUE"""),"1 USD = 84.1298 PKR")</f>
        <v>1 USD = 84.1298 PKR</v>
      </c>
      <c r="H5147" s="9" t="str">
        <f ca="1">IFERROR(__xludf.DUMMYFUNCTION("""COMPUTED_VALUE"""),"USD PKR rate for 13/12/2009")</f>
        <v>USD PKR rate for 13/12/2009</v>
      </c>
      <c r="I5147" s="9"/>
    </row>
    <row r="5148" spans="1:9" ht="14.25" customHeight="1" x14ac:dyDescent="0.3">
      <c r="A5148" s="10">
        <v>44865</v>
      </c>
      <c r="B5148">
        <v>220.46018317630339</v>
      </c>
      <c r="C5148" s="8">
        <f t="shared" si="41"/>
        <v>198.27031925594321</v>
      </c>
      <c r="D5148" s="9">
        <f t="shared" si="40"/>
        <v>75.829754985867297</v>
      </c>
      <c r="E5148" s="9"/>
      <c r="F5148" s="9">
        <f ca="1">IFERROR(__xludf.DUMMYFUNCTION("""COMPUTED_VALUE"""),40159)</f>
        <v>40159</v>
      </c>
      <c r="G5148" s="9" t="str">
        <f ca="1">IFERROR(__xludf.DUMMYFUNCTION("""COMPUTED_VALUE"""),"1 USD = 84.1453 PKR")</f>
        <v>1 USD = 84.1453 PKR</v>
      </c>
      <c r="H5148" s="9" t="str">
        <f ca="1">IFERROR(__xludf.DUMMYFUNCTION("""COMPUTED_VALUE"""),"USD PKR rate for 12/12/2009")</f>
        <v>USD PKR rate for 12/12/2009</v>
      </c>
      <c r="I5148" s="9"/>
    </row>
    <row r="5149" spans="1:9" ht="14.25" customHeight="1" x14ac:dyDescent="0.3">
      <c r="A5149" s="10">
        <v>44866</v>
      </c>
      <c r="B5149">
        <v>220.5142901393281</v>
      </c>
      <c r="C5149" s="8">
        <f t="shared" si="41"/>
        <v>198.30577985661441</v>
      </c>
      <c r="D5149" s="9">
        <f t="shared" si="40"/>
        <v>75.832492818664562</v>
      </c>
      <c r="E5149" s="9"/>
      <c r="F5149" s="9">
        <f ca="1">IFERROR(__xludf.DUMMYFUNCTION("""COMPUTED_VALUE"""),40158)</f>
        <v>40158</v>
      </c>
      <c r="G5149" s="9" t="str">
        <f ca="1">IFERROR(__xludf.DUMMYFUNCTION("""COMPUTED_VALUE"""),"1 USD = 84.241 PKR")</f>
        <v>1 USD = 84.241 PKR</v>
      </c>
      <c r="H5149" s="9" t="str">
        <f ca="1">IFERROR(__xludf.DUMMYFUNCTION("""COMPUTED_VALUE"""),"USD PKR rate for 11/12/2009")</f>
        <v>USD PKR rate for 11/12/2009</v>
      </c>
      <c r="I5149" s="9"/>
    </row>
    <row r="5150" spans="1:9" ht="14.25" customHeight="1" x14ac:dyDescent="0.3">
      <c r="A5150" s="10">
        <v>44867</v>
      </c>
      <c r="B5150">
        <v>221.49138005682448</v>
      </c>
      <c r="C5150" s="8">
        <f t="shared" si="41"/>
        <v>198.34124679940587</v>
      </c>
      <c r="D5150" s="9">
        <f t="shared" si="40"/>
        <v>75.835230651461828</v>
      </c>
      <c r="E5150" s="9"/>
      <c r="F5150" s="9">
        <f ca="1">IFERROR(__xludf.DUMMYFUNCTION("""COMPUTED_VALUE"""),40157)</f>
        <v>40157</v>
      </c>
      <c r="G5150" s="9" t="str">
        <f ca="1">IFERROR(__xludf.DUMMYFUNCTION("""COMPUTED_VALUE"""),"1 USD = 84.2591 PKR")</f>
        <v>1 USD = 84.2591 PKR</v>
      </c>
      <c r="H5150" s="9" t="str">
        <f ca="1">IFERROR(__xludf.DUMMYFUNCTION("""COMPUTED_VALUE"""),"USD PKR rate for 10/12/2009")</f>
        <v>USD PKR rate for 10/12/2009</v>
      </c>
      <c r="I5150" s="9"/>
    </row>
    <row r="5151" spans="1:9" ht="14.25" customHeight="1" x14ac:dyDescent="0.3">
      <c r="A5151" s="10">
        <v>44868</v>
      </c>
      <c r="B5151">
        <v>221.50225238161664</v>
      </c>
      <c r="C5151" s="8">
        <f t="shared" si="41"/>
        <v>198.37672008545181</v>
      </c>
      <c r="D5151" s="9">
        <f t="shared" si="40"/>
        <v>75.837968484259093</v>
      </c>
      <c r="E5151" s="9"/>
      <c r="F5151" s="9">
        <f ca="1">IFERROR(__xludf.DUMMYFUNCTION("""COMPUTED_VALUE"""),40156)</f>
        <v>40156</v>
      </c>
      <c r="G5151" s="9" t="str">
        <f ca="1">IFERROR(__xludf.DUMMYFUNCTION("""COMPUTED_VALUE"""),"1 USD = 84.0367 PKR")</f>
        <v>1 USD = 84.0367 PKR</v>
      </c>
      <c r="H5151" s="9" t="str">
        <f ca="1">IFERROR(__xludf.DUMMYFUNCTION("""COMPUTED_VALUE"""),"USD PKR rate for 09/12/2009")</f>
        <v>USD PKR rate for 09/12/2009</v>
      </c>
      <c r="I5151" s="9"/>
    </row>
    <row r="5152" spans="1:9" ht="14.25" customHeight="1" x14ac:dyDescent="0.3">
      <c r="A5152" s="10">
        <v>44869</v>
      </c>
      <c r="B5152">
        <v>221.50377021331153</v>
      </c>
      <c r="C5152" s="8">
        <f t="shared" si="41"/>
        <v>198.41219971588677</v>
      </c>
      <c r="D5152" s="9">
        <f t="shared" si="40"/>
        <v>75.840706317056359</v>
      </c>
      <c r="E5152" s="9"/>
      <c r="F5152" s="9">
        <f ca="1">IFERROR(__xludf.DUMMYFUNCTION("""COMPUTED_VALUE"""),40155)</f>
        <v>40155</v>
      </c>
      <c r="G5152" s="9" t="str">
        <f ca="1">IFERROR(__xludf.DUMMYFUNCTION("""COMPUTED_VALUE"""),"1 USD = 83.849 PKR")</f>
        <v>1 USD = 83.849 PKR</v>
      </c>
      <c r="H5152" s="9" t="str">
        <f ca="1">IFERROR(__xludf.DUMMYFUNCTION("""COMPUTED_VALUE"""),"USD PKR rate for 08/12/2009")</f>
        <v>USD PKR rate for 08/12/2009</v>
      </c>
      <c r="I5152" s="9"/>
    </row>
    <row r="5153" spans="1:9" ht="14.25" customHeight="1" x14ac:dyDescent="0.3">
      <c r="A5153" s="10">
        <v>44870</v>
      </c>
      <c r="B5153">
        <v>217.85622806384922</v>
      </c>
      <c r="C5153" s="8">
        <f t="shared" si="41"/>
        <v>198.44768569184541</v>
      </c>
      <c r="D5153" s="9">
        <f t="shared" si="40"/>
        <v>75.843444149853624</v>
      </c>
      <c r="E5153" s="9"/>
      <c r="F5153" s="9">
        <f ca="1">IFERROR(__xludf.DUMMYFUNCTION("""COMPUTED_VALUE"""),40154)</f>
        <v>40154</v>
      </c>
      <c r="G5153" s="9" t="str">
        <f ca="1">IFERROR(__xludf.DUMMYFUNCTION("""COMPUTED_VALUE"""),"1 USD = 83.6637 PKR")</f>
        <v>1 USD = 83.6637 PKR</v>
      </c>
      <c r="H5153" s="9" t="str">
        <f ca="1">IFERROR(__xludf.DUMMYFUNCTION("""COMPUTED_VALUE"""),"USD PKR rate for 07/12/2009")</f>
        <v>USD PKR rate for 07/12/2009</v>
      </c>
      <c r="I5153" s="9"/>
    </row>
    <row r="5154" spans="1:9" ht="14.25" customHeight="1" x14ac:dyDescent="0.3">
      <c r="A5154" s="10">
        <v>44871</v>
      </c>
      <c r="B5154">
        <v>219.41223096785106</v>
      </c>
      <c r="C5154" s="8">
        <f t="shared" si="41"/>
        <v>198.48317801446257</v>
      </c>
      <c r="D5154" s="9">
        <f t="shared" si="40"/>
        <v>75.84618198265089</v>
      </c>
      <c r="E5154" s="9"/>
      <c r="F5154" s="9">
        <f ca="1">IFERROR(__xludf.DUMMYFUNCTION("""COMPUTED_VALUE"""),40153)</f>
        <v>40153</v>
      </c>
      <c r="G5154" s="9" t="str">
        <f ca="1">IFERROR(__xludf.DUMMYFUNCTION("""COMPUTED_VALUE"""),"1 USD = 83.6476 PKR")</f>
        <v>1 USD = 83.6476 PKR</v>
      </c>
      <c r="H5154" s="9" t="str">
        <f ca="1">IFERROR(__xludf.DUMMYFUNCTION("""COMPUTED_VALUE"""),"USD PKR rate for 06/12/2009")</f>
        <v>USD PKR rate for 06/12/2009</v>
      </c>
      <c r="I5154" s="9"/>
    </row>
    <row r="5155" spans="1:9" ht="14.25" customHeight="1" x14ac:dyDescent="0.3">
      <c r="A5155" s="10">
        <v>44872</v>
      </c>
      <c r="B5155">
        <v>221.5094337550957</v>
      </c>
      <c r="C5155" s="8">
        <f t="shared" si="41"/>
        <v>198.51867668487347</v>
      </c>
      <c r="D5155" s="9">
        <f t="shared" si="40"/>
        <v>75.848919815448156</v>
      </c>
      <c r="E5155" s="9"/>
      <c r="F5155" s="9">
        <f ca="1">IFERROR(__xludf.DUMMYFUNCTION("""COMPUTED_VALUE"""),40152)</f>
        <v>40152</v>
      </c>
      <c r="G5155" s="9" t="str">
        <f ca="1">IFERROR(__xludf.DUMMYFUNCTION("""COMPUTED_VALUE"""),"1 USD = 83.6679 PKR")</f>
        <v>1 USD = 83.6679 PKR</v>
      </c>
      <c r="H5155" s="9" t="str">
        <f ca="1">IFERROR(__xludf.DUMMYFUNCTION("""COMPUTED_VALUE"""),"USD PKR rate for 05/12/2009")</f>
        <v>USD PKR rate for 05/12/2009</v>
      </c>
      <c r="I5155" s="9"/>
    </row>
    <row r="5156" spans="1:9" ht="14.25" customHeight="1" x14ac:dyDescent="0.3">
      <c r="A5156" s="10">
        <v>44873</v>
      </c>
      <c r="B5156">
        <v>221.75026862064414</v>
      </c>
      <c r="C5156" s="8">
        <f t="shared" si="41"/>
        <v>198.55418170421333</v>
      </c>
      <c r="D5156" s="9">
        <f t="shared" si="40"/>
        <v>75.851657648245421</v>
      </c>
      <c r="E5156" s="9"/>
      <c r="F5156" s="9">
        <f ca="1">IFERROR(__xludf.DUMMYFUNCTION("""COMPUTED_VALUE"""),40151)</f>
        <v>40151</v>
      </c>
      <c r="G5156" s="9" t="str">
        <f ca="1">IFERROR(__xludf.DUMMYFUNCTION("""COMPUTED_VALUE"""),"1 USD = 83.4614 PKR")</f>
        <v>1 USD = 83.4614 PKR</v>
      </c>
      <c r="H5156" s="9" t="str">
        <f ca="1">IFERROR(__xludf.DUMMYFUNCTION("""COMPUTED_VALUE"""),"USD PKR rate for 04/12/2009")</f>
        <v>USD PKR rate for 04/12/2009</v>
      </c>
      <c r="I5156" s="9"/>
    </row>
    <row r="5157" spans="1:9" ht="14.25" customHeight="1" x14ac:dyDescent="0.3">
      <c r="A5157" s="10">
        <v>44874</v>
      </c>
      <c r="B5157">
        <v>221.46336244127238</v>
      </c>
      <c r="C5157" s="8">
        <f t="shared" si="41"/>
        <v>198.5896930736175</v>
      </c>
      <c r="D5157" s="9">
        <f t="shared" si="40"/>
        <v>75.854395481042687</v>
      </c>
      <c r="E5157" s="9"/>
      <c r="F5157" s="9">
        <f ca="1">IFERROR(__xludf.DUMMYFUNCTION("""COMPUTED_VALUE"""),40150)</f>
        <v>40150</v>
      </c>
      <c r="G5157" s="9" t="str">
        <f ca="1">IFERROR(__xludf.DUMMYFUNCTION("""COMPUTED_VALUE"""),"1 USD = 83.5647 PKR")</f>
        <v>1 USD = 83.5647 PKR</v>
      </c>
      <c r="H5157" s="9" t="str">
        <f ca="1">IFERROR(__xludf.DUMMYFUNCTION("""COMPUTED_VALUE"""),"USD PKR rate for 03/12/2009")</f>
        <v>USD PKR rate for 03/12/2009</v>
      </c>
      <c r="I5157" s="9"/>
    </row>
    <row r="5158" spans="1:9" ht="14.25" customHeight="1" x14ac:dyDescent="0.3">
      <c r="A5158" s="10">
        <v>44875</v>
      </c>
      <c r="B5158">
        <v>221.49002766278863</v>
      </c>
      <c r="C5158" s="8">
        <f t="shared" si="41"/>
        <v>198.62521079422203</v>
      </c>
      <c r="D5158" s="9">
        <f t="shared" si="40"/>
        <v>75.857133313839952</v>
      </c>
      <c r="E5158" s="9"/>
      <c r="F5158" s="9">
        <f ca="1">IFERROR(__xludf.DUMMYFUNCTION("""COMPUTED_VALUE"""),40149)</f>
        <v>40149</v>
      </c>
      <c r="G5158" s="9" t="str">
        <f ca="1">IFERROR(__xludf.DUMMYFUNCTION("""COMPUTED_VALUE"""),"1 USD = 83.5193 PKR")</f>
        <v>1 USD = 83.5193 PKR</v>
      </c>
      <c r="H5158" s="9" t="str">
        <f ca="1">IFERROR(__xludf.DUMMYFUNCTION("""COMPUTED_VALUE"""),"USD PKR rate for 02/12/2009")</f>
        <v>USD PKR rate for 02/12/2009</v>
      </c>
      <c r="I5158" s="9"/>
    </row>
    <row r="5159" spans="1:9" ht="14.25" customHeight="1" x14ac:dyDescent="0.3">
      <c r="A5159" s="10">
        <v>44876</v>
      </c>
      <c r="B5159">
        <v>221.56028106901095</v>
      </c>
      <c r="C5159" s="8">
        <f t="shared" si="41"/>
        <v>198.66073486716269</v>
      </c>
      <c r="D5159" s="9">
        <f t="shared" si="40"/>
        <v>75.859871146637218</v>
      </c>
      <c r="E5159" s="9"/>
      <c r="F5159" s="9">
        <f ca="1">IFERROR(__xludf.DUMMYFUNCTION("""COMPUTED_VALUE"""),40148)</f>
        <v>40148</v>
      </c>
      <c r="G5159" s="9" t="str">
        <f ca="1">IFERROR(__xludf.DUMMYFUNCTION("""COMPUTED_VALUE"""),"1 USD = 83.3155 PKR")</f>
        <v>1 USD = 83.3155 PKR</v>
      </c>
      <c r="H5159" s="9" t="str">
        <f ca="1">IFERROR(__xludf.DUMMYFUNCTION("""COMPUTED_VALUE"""),"USD PKR rate for 01/12/2009")</f>
        <v>USD PKR rate for 01/12/2009</v>
      </c>
      <c r="I5159" s="9"/>
    </row>
    <row r="5160" spans="1:9" ht="14.25" customHeight="1" x14ac:dyDescent="0.3">
      <c r="A5160" s="10">
        <v>44877</v>
      </c>
      <c r="B5160">
        <v>219.74580107780852</v>
      </c>
      <c r="C5160" s="8">
        <f t="shared" si="41"/>
        <v>198.69626529357552</v>
      </c>
      <c r="D5160" s="9">
        <f t="shared" si="40"/>
        <v>75.862608979434484</v>
      </c>
      <c r="E5160" s="9"/>
      <c r="F5160" s="9">
        <f ca="1">IFERROR(__xludf.DUMMYFUNCTION("""COMPUTED_VALUE"""),40147)</f>
        <v>40147</v>
      </c>
      <c r="G5160" s="9" t="str">
        <f ca="1">IFERROR(__xludf.DUMMYFUNCTION("""COMPUTED_VALUE"""),"1 USD = 83.523 PKR")</f>
        <v>1 USD = 83.523 PKR</v>
      </c>
      <c r="H5160" s="9" t="str">
        <f ca="1">IFERROR(__xludf.DUMMYFUNCTION("""COMPUTED_VALUE"""),"USD PKR rate for 30/11/2009")</f>
        <v>USD PKR rate for 30/11/2009</v>
      </c>
      <c r="I5160" s="9"/>
    </row>
    <row r="5161" spans="1:9" ht="14.25" customHeight="1" x14ac:dyDescent="0.3">
      <c r="A5161" s="10">
        <v>44878</v>
      </c>
      <c r="B5161">
        <v>219.74572480340194</v>
      </c>
      <c r="C5161" s="8">
        <f t="shared" si="41"/>
        <v>198.73180207459691</v>
      </c>
      <c r="D5161" s="9">
        <f t="shared" si="40"/>
        <v>75.865346812231749</v>
      </c>
      <c r="E5161" s="9"/>
      <c r="F5161" s="9">
        <f ca="1">IFERROR(__xludf.DUMMYFUNCTION("""COMPUTED_VALUE"""),40146)</f>
        <v>40146</v>
      </c>
      <c r="G5161" s="9" t="str">
        <f ca="1">IFERROR(__xludf.DUMMYFUNCTION("""COMPUTED_VALUE"""),"1 USD = 83.5411 PKR")</f>
        <v>1 USD = 83.5411 PKR</v>
      </c>
      <c r="H5161" s="9" t="str">
        <f ca="1">IFERROR(__xludf.DUMMYFUNCTION("""COMPUTED_VALUE"""),"USD PKR rate for 29/11/2009")</f>
        <v>USD PKR rate for 29/11/2009</v>
      </c>
      <c r="I5161" s="9"/>
    </row>
    <row r="5162" spans="1:9" ht="14.25" customHeight="1" x14ac:dyDescent="0.3">
      <c r="A5162" s="10">
        <v>44879</v>
      </c>
      <c r="B5162">
        <v>221.49517342432489</v>
      </c>
      <c r="C5162" s="8">
        <f t="shared" si="41"/>
        <v>198.76734521136336</v>
      </c>
      <c r="D5162" s="9">
        <f t="shared" si="40"/>
        <v>75.868084645029015</v>
      </c>
      <c r="E5162" s="9"/>
      <c r="F5162" s="9">
        <f ca="1">IFERROR(__xludf.DUMMYFUNCTION("""COMPUTED_VALUE"""),40145)</f>
        <v>40145</v>
      </c>
      <c r="G5162" s="9" t="str">
        <f ca="1">IFERROR(__xludf.DUMMYFUNCTION("""COMPUTED_VALUE"""),"1 USD = 83.5499 PKR")</f>
        <v>1 USD = 83.5499 PKR</v>
      </c>
      <c r="H5162" s="9" t="str">
        <f ca="1">IFERROR(__xludf.DUMMYFUNCTION("""COMPUTED_VALUE"""),"USD PKR rate for 28/11/2009")</f>
        <v>USD PKR rate for 28/11/2009</v>
      </c>
      <c r="I5162" s="9"/>
    </row>
    <row r="5163" spans="1:9" ht="14.25" customHeight="1" x14ac:dyDescent="0.3">
      <c r="A5163" s="10">
        <v>44880</v>
      </c>
      <c r="B5163">
        <v>221.89644186657193</v>
      </c>
      <c r="C5163" s="8">
        <f t="shared" si="41"/>
        <v>198.80289470501177</v>
      </c>
      <c r="D5163" s="9">
        <f t="shared" si="40"/>
        <v>75.870822477826295</v>
      </c>
      <c r="E5163" s="9"/>
      <c r="F5163" s="9">
        <f ca="1">IFERROR(__xludf.DUMMYFUNCTION("""COMPUTED_VALUE"""),40144)</f>
        <v>40144</v>
      </c>
      <c r="G5163" s="9" t="str">
        <f ca="1">IFERROR(__xludf.DUMMYFUNCTION("""COMPUTED_VALUE"""),"1 USD = 83.5675 PKR")</f>
        <v>1 USD = 83.5675 PKR</v>
      </c>
      <c r="H5163" s="9" t="str">
        <f ca="1">IFERROR(__xludf.DUMMYFUNCTION("""COMPUTED_VALUE"""),"USD PKR rate for 27/11/2009")</f>
        <v>USD PKR rate for 27/11/2009</v>
      </c>
      <c r="I5163" s="9"/>
    </row>
    <row r="5164" spans="1:9" ht="14.25" customHeight="1" x14ac:dyDescent="0.3">
      <c r="A5164" s="10">
        <v>44881</v>
      </c>
      <c r="B5164">
        <v>222.45010515419088</v>
      </c>
      <c r="C5164" s="8">
        <f t="shared" si="41"/>
        <v>198.83845055667868</v>
      </c>
      <c r="D5164" s="9">
        <f t="shared" si="40"/>
        <v>75.87356031062356</v>
      </c>
      <c r="E5164" s="9"/>
      <c r="F5164" s="9">
        <f ca="1">IFERROR(__xludf.DUMMYFUNCTION("""COMPUTED_VALUE"""),40143)</f>
        <v>40143</v>
      </c>
      <c r="G5164" s="9" t="str">
        <f ca="1">IFERROR(__xludf.DUMMYFUNCTION("""COMPUTED_VALUE"""),"1 USD = 83.5795 PKR")</f>
        <v>1 USD = 83.5795 PKR</v>
      </c>
      <c r="H5164" s="9" t="str">
        <f ca="1">IFERROR(__xludf.DUMMYFUNCTION("""COMPUTED_VALUE"""),"USD PKR rate for 26/11/2009")</f>
        <v>USD PKR rate for 26/11/2009</v>
      </c>
      <c r="I5164" s="9"/>
    </row>
    <row r="5165" spans="1:9" ht="14.25" customHeight="1" x14ac:dyDescent="0.3">
      <c r="A5165" s="10">
        <v>44882</v>
      </c>
      <c r="B5165">
        <v>222.44973676210145</v>
      </c>
      <c r="C5165" s="8">
        <f t="shared" si="41"/>
        <v>198.87401276750145</v>
      </c>
      <c r="D5165" s="9">
        <f t="shared" si="40"/>
        <v>75.876298143420826</v>
      </c>
      <c r="E5165" s="9"/>
      <c r="F5165" s="9">
        <f ca="1">IFERROR(__xludf.DUMMYFUNCTION("""COMPUTED_VALUE"""),40142)</f>
        <v>40142</v>
      </c>
      <c r="G5165" s="9" t="str">
        <f ca="1">IFERROR(__xludf.DUMMYFUNCTION("""COMPUTED_VALUE"""),"1 USD = 83.3564 PKR")</f>
        <v>1 USD = 83.3564 PKR</v>
      </c>
      <c r="H5165" s="9" t="str">
        <f ca="1">IFERROR(__xludf.DUMMYFUNCTION("""COMPUTED_VALUE"""),"USD PKR rate for 25/11/2009")</f>
        <v>USD PKR rate for 25/11/2009</v>
      </c>
      <c r="I5165" s="9"/>
    </row>
    <row r="5166" spans="1:9" ht="14.25" customHeight="1" x14ac:dyDescent="0.3">
      <c r="A5166" s="10">
        <v>44883</v>
      </c>
      <c r="B5166">
        <v>222.4503126963414</v>
      </c>
      <c r="C5166" s="8">
        <f t="shared" si="41"/>
        <v>198.90958133861719</v>
      </c>
      <c r="D5166" s="9">
        <f t="shared" si="40"/>
        <v>75.879035976218091</v>
      </c>
      <c r="E5166" s="9"/>
      <c r="F5166" s="9">
        <f ca="1">IFERROR(__xludf.DUMMYFUNCTION("""COMPUTED_VALUE"""),40141)</f>
        <v>40141</v>
      </c>
      <c r="G5166" s="9" t="str">
        <f ca="1">IFERROR(__xludf.DUMMYFUNCTION("""COMPUTED_VALUE"""),"1 USD = 83.4955 PKR")</f>
        <v>1 USD = 83.4955 PKR</v>
      </c>
      <c r="H5166" s="9" t="str">
        <f ca="1">IFERROR(__xludf.DUMMYFUNCTION("""COMPUTED_VALUE"""),"USD PKR rate for 24/11/2009")</f>
        <v>USD PKR rate for 24/11/2009</v>
      </c>
      <c r="I5166" s="9"/>
    </row>
    <row r="5167" spans="1:9" ht="14.25" customHeight="1" x14ac:dyDescent="0.3">
      <c r="A5167" s="10">
        <v>44884</v>
      </c>
      <c r="B5167">
        <v>222.4503126963414</v>
      </c>
      <c r="C5167" s="8">
        <f t="shared" si="41"/>
        <v>198.94515627116385</v>
      </c>
      <c r="D5167" s="9">
        <f t="shared" si="40"/>
        <v>75.881773809015357</v>
      </c>
      <c r="E5167" s="9"/>
      <c r="F5167" s="9">
        <f ca="1">IFERROR(__xludf.DUMMYFUNCTION("""COMPUTED_VALUE"""),40140)</f>
        <v>40140</v>
      </c>
      <c r="G5167" s="9" t="str">
        <f ca="1">IFERROR(__xludf.DUMMYFUNCTION("""COMPUTED_VALUE"""),"1 USD = 83.5583 PKR")</f>
        <v>1 USD = 83.5583 PKR</v>
      </c>
      <c r="H5167" s="9" t="str">
        <f ca="1">IFERROR(__xludf.DUMMYFUNCTION("""COMPUTED_VALUE"""),"USD PKR rate for 23/11/2009")</f>
        <v>USD PKR rate for 23/11/2009</v>
      </c>
      <c r="I5167" s="9"/>
    </row>
    <row r="5168" spans="1:9" ht="14.25" customHeight="1" x14ac:dyDescent="0.3">
      <c r="A5168" s="10">
        <v>44885</v>
      </c>
      <c r="B5168">
        <v>222.44966715163696</v>
      </c>
      <c r="C5168" s="8">
        <f t="shared" si="41"/>
        <v>198.98073756627892</v>
      </c>
      <c r="D5168" s="9">
        <f t="shared" si="40"/>
        <v>75.884511641812622</v>
      </c>
      <c r="E5168" s="9"/>
      <c r="F5168" s="9">
        <f ca="1">IFERROR(__xludf.DUMMYFUNCTION("""COMPUTED_VALUE"""),40139)</f>
        <v>40139</v>
      </c>
      <c r="G5168" s="9" t="str">
        <f ca="1">IFERROR(__xludf.DUMMYFUNCTION("""COMPUTED_VALUE"""),"1 USD = 83.5218 PKR")</f>
        <v>1 USD = 83.5218 PKR</v>
      </c>
      <c r="H5168" s="9" t="str">
        <f ca="1">IFERROR(__xludf.DUMMYFUNCTION("""COMPUTED_VALUE"""),"USD PKR rate for 22/11/2009")</f>
        <v>USD PKR rate for 22/11/2009</v>
      </c>
      <c r="I5168" s="9"/>
    </row>
    <row r="5169" spans="1:9" ht="14.25" customHeight="1" x14ac:dyDescent="0.3">
      <c r="A5169" s="10">
        <v>44886</v>
      </c>
      <c r="B5169">
        <v>223.75035169227198</v>
      </c>
      <c r="C5169" s="8">
        <f t="shared" si="41"/>
        <v>199.01632522510039</v>
      </c>
      <c r="D5169" s="9">
        <f t="shared" si="40"/>
        <v>75.887249474609888</v>
      </c>
      <c r="E5169" s="9"/>
      <c r="F5169" s="9">
        <f ca="1">IFERROR(__xludf.DUMMYFUNCTION("""COMPUTED_VALUE"""),40138)</f>
        <v>40138</v>
      </c>
      <c r="G5169" s="9" t="str">
        <f ca="1">IFERROR(__xludf.DUMMYFUNCTION("""COMPUTED_VALUE"""),"1 USD = 83.5235 PKR")</f>
        <v>1 USD = 83.5235 PKR</v>
      </c>
      <c r="H5169" s="9" t="str">
        <f ca="1">IFERROR(__xludf.DUMMYFUNCTION("""COMPUTED_VALUE"""),"USD PKR rate for 21/11/2009")</f>
        <v>USD PKR rate for 21/11/2009</v>
      </c>
      <c r="I5169" s="9"/>
    </row>
    <row r="5170" spans="1:9" ht="14.25" customHeight="1" x14ac:dyDescent="0.3">
      <c r="A5170" s="10">
        <v>44887</v>
      </c>
      <c r="B5170">
        <v>223.69554509706546</v>
      </c>
      <c r="C5170" s="8">
        <f t="shared" si="41"/>
        <v>199.05191924876641</v>
      </c>
      <c r="D5170" s="9">
        <f t="shared" si="40"/>
        <v>75.889987307407154</v>
      </c>
      <c r="E5170" s="9"/>
      <c r="F5170" s="9">
        <f ca="1">IFERROR(__xludf.DUMMYFUNCTION("""COMPUTED_VALUE"""),40137)</f>
        <v>40137</v>
      </c>
      <c r="G5170" s="9" t="str">
        <f ca="1">IFERROR(__xludf.DUMMYFUNCTION("""COMPUTED_VALUE"""),"1 USD = 83.5055 PKR")</f>
        <v>1 USD = 83.5055 PKR</v>
      </c>
      <c r="H5170" s="9" t="str">
        <f ca="1">IFERROR(__xludf.DUMMYFUNCTION("""COMPUTED_VALUE"""),"USD PKR rate for 20/11/2009")</f>
        <v>USD PKR rate for 20/11/2009</v>
      </c>
      <c r="I5170" s="9"/>
    </row>
    <row r="5171" spans="1:9" ht="14.25" customHeight="1" x14ac:dyDescent="0.3">
      <c r="A5171" s="10">
        <v>44888</v>
      </c>
      <c r="B5171">
        <v>223.49739485076199</v>
      </c>
      <c r="C5171" s="8">
        <f t="shared" si="41"/>
        <v>199.0875196384153</v>
      </c>
      <c r="D5171" s="9">
        <f t="shared" si="40"/>
        <v>75.892725140204419</v>
      </c>
      <c r="E5171" s="9"/>
      <c r="F5171" s="9">
        <f ca="1">IFERROR(__xludf.DUMMYFUNCTION("""COMPUTED_VALUE"""),40136)</f>
        <v>40136</v>
      </c>
      <c r="G5171" s="9" t="str">
        <f ca="1">IFERROR(__xludf.DUMMYFUNCTION("""COMPUTED_VALUE"""),"1 USD = 83.4324 PKR")</f>
        <v>1 USD = 83.4324 PKR</v>
      </c>
      <c r="H5171" s="9" t="str">
        <f ca="1">IFERROR(__xludf.DUMMYFUNCTION("""COMPUTED_VALUE"""),"USD PKR rate for 19/11/2009")</f>
        <v>USD PKR rate for 19/11/2009</v>
      </c>
      <c r="I5171" s="9"/>
    </row>
    <row r="5172" spans="1:9" ht="14.25" customHeight="1" x14ac:dyDescent="0.3">
      <c r="A5172" s="10">
        <v>44889</v>
      </c>
      <c r="B5172">
        <v>224.52976811577494</v>
      </c>
      <c r="C5172" s="8">
        <f t="shared" si="41"/>
        <v>199.12312639518561</v>
      </c>
      <c r="D5172" s="9">
        <f t="shared" si="40"/>
        <v>75.895462973001685</v>
      </c>
      <c r="E5172" s="9"/>
      <c r="F5172" s="9">
        <f ca="1">IFERROR(__xludf.DUMMYFUNCTION("""COMPUTED_VALUE"""),40135)</f>
        <v>40135</v>
      </c>
      <c r="G5172" s="9" t="str">
        <f ca="1">IFERROR(__xludf.DUMMYFUNCTION("""COMPUTED_VALUE"""),"1 USD = 83.3977 PKR")</f>
        <v>1 USD = 83.3977 PKR</v>
      </c>
      <c r="H5172" s="9" t="str">
        <f ca="1">IFERROR(__xludf.DUMMYFUNCTION("""COMPUTED_VALUE"""),"USD PKR rate for 18/11/2009")</f>
        <v>USD PKR rate for 18/11/2009</v>
      </c>
      <c r="I5172" s="9"/>
    </row>
    <row r="5173" spans="1:9" ht="14.25" customHeight="1" x14ac:dyDescent="0.3">
      <c r="A5173" s="10">
        <v>44890</v>
      </c>
      <c r="B5173">
        <v>223.50375583924261</v>
      </c>
      <c r="C5173" s="8">
        <f t="shared" si="41"/>
        <v>199.15873952021616</v>
      </c>
      <c r="D5173" s="9">
        <f t="shared" si="40"/>
        <v>75.89820080579895</v>
      </c>
      <c r="E5173" s="9"/>
      <c r="F5173" s="9">
        <f ca="1">IFERROR(__xludf.DUMMYFUNCTION("""COMPUTED_VALUE"""),40134)</f>
        <v>40134</v>
      </c>
      <c r="G5173" s="9" t="str">
        <f ca="1">IFERROR(__xludf.DUMMYFUNCTION("""COMPUTED_VALUE"""),"1 USD = 83.4854 PKR")</f>
        <v>1 USD = 83.4854 PKR</v>
      </c>
      <c r="H5173" s="9" t="str">
        <f ca="1">IFERROR(__xludf.DUMMYFUNCTION("""COMPUTED_VALUE"""),"USD PKR rate for 17/11/2009")</f>
        <v>USD PKR rate for 17/11/2009</v>
      </c>
      <c r="I5173" s="9"/>
    </row>
    <row r="5174" spans="1:9" ht="14.25" customHeight="1" x14ac:dyDescent="0.3">
      <c r="A5174" s="10">
        <v>44891</v>
      </c>
      <c r="B5174">
        <v>223.50375583924261</v>
      </c>
      <c r="C5174" s="8">
        <f t="shared" si="41"/>
        <v>199.19435901464584</v>
      </c>
      <c r="D5174" s="9">
        <f t="shared" si="40"/>
        <v>75.900938638596216</v>
      </c>
      <c r="E5174" s="9"/>
      <c r="F5174" s="9">
        <f ca="1">IFERROR(__xludf.DUMMYFUNCTION("""COMPUTED_VALUE"""),40133)</f>
        <v>40133</v>
      </c>
      <c r="G5174" s="9" t="str">
        <f ca="1">IFERROR(__xludf.DUMMYFUNCTION("""COMPUTED_VALUE"""),"1 USD = 83.4969 PKR")</f>
        <v>1 USD = 83.4969 PKR</v>
      </c>
      <c r="H5174" s="9" t="str">
        <f ca="1">IFERROR(__xludf.DUMMYFUNCTION("""COMPUTED_VALUE"""),"USD PKR rate for 16/11/2009")</f>
        <v>USD PKR rate for 16/11/2009</v>
      </c>
      <c r="I5174" s="9"/>
    </row>
    <row r="5175" spans="1:9" ht="14.25" customHeight="1" x14ac:dyDescent="0.3">
      <c r="A5175" s="10">
        <v>44892</v>
      </c>
      <c r="B5175">
        <v>223.49850822286078</v>
      </c>
      <c r="C5175" s="8">
        <f t="shared" si="41"/>
        <v>199.22998487961388</v>
      </c>
      <c r="D5175" s="9">
        <f t="shared" si="40"/>
        <v>75.903676471393482</v>
      </c>
      <c r="E5175" s="9"/>
      <c r="F5175" s="9">
        <f ca="1">IFERROR(__xludf.DUMMYFUNCTION("""COMPUTED_VALUE"""),40132)</f>
        <v>40132</v>
      </c>
      <c r="G5175" s="9" t="str">
        <f ca="1">IFERROR(__xludf.DUMMYFUNCTION("""COMPUTED_VALUE"""),"1 USD = 83.5094 PKR")</f>
        <v>1 USD = 83.5094 PKR</v>
      </c>
      <c r="H5175" s="9" t="str">
        <f ca="1">IFERROR(__xludf.DUMMYFUNCTION("""COMPUTED_VALUE"""),"USD PKR rate for 15/11/2009")</f>
        <v>USD PKR rate for 15/11/2009</v>
      </c>
      <c r="I5175" s="9"/>
    </row>
    <row r="5176" spans="1:9" ht="14.25" customHeight="1" x14ac:dyDescent="0.3">
      <c r="A5176" s="10">
        <v>44893</v>
      </c>
      <c r="B5176">
        <v>224.10386411076723</v>
      </c>
      <c r="C5176" s="8">
        <f t="shared" si="41"/>
        <v>199.26561711625942</v>
      </c>
      <c r="D5176" s="9">
        <f t="shared" si="40"/>
        <v>75.906414304190747</v>
      </c>
      <c r="E5176" s="9"/>
      <c r="F5176" s="9">
        <f ca="1">IFERROR(__xludf.DUMMYFUNCTION("""COMPUTED_VALUE"""),40131)</f>
        <v>40131</v>
      </c>
      <c r="G5176" s="9" t="str">
        <f ca="1">IFERROR(__xludf.DUMMYFUNCTION("""COMPUTED_VALUE"""),"1 USD = 83.5393 PKR")</f>
        <v>1 USD = 83.5393 PKR</v>
      </c>
      <c r="H5176" s="9" t="str">
        <f ca="1">IFERROR(__xludf.DUMMYFUNCTION("""COMPUTED_VALUE"""),"USD PKR rate for 14/11/2009")</f>
        <v>USD PKR rate for 14/11/2009</v>
      </c>
      <c r="I5176" s="9"/>
    </row>
    <row r="5177" spans="1:9" ht="14.25" customHeight="1" x14ac:dyDescent="0.3">
      <c r="A5177" s="10">
        <v>44894</v>
      </c>
      <c r="B5177">
        <v>223.95054345140809</v>
      </c>
      <c r="C5177" s="8">
        <f t="shared" si="41"/>
        <v>199.3012557257224</v>
      </c>
      <c r="D5177" s="9">
        <f t="shared" si="40"/>
        <v>75.909152136988013</v>
      </c>
      <c r="E5177" s="9"/>
      <c r="F5177" s="9">
        <f ca="1">IFERROR(__xludf.DUMMYFUNCTION("""COMPUTED_VALUE"""),40130)</f>
        <v>40130</v>
      </c>
      <c r="G5177" s="9" t="str">
        <f ca="1">IFERROR(__xludf.DUMMYFUNCTION("""COMPUTED_VALUE"""),"1 USD = 83.5253 PKR")</f>
        <v>1 USD = 83.5253 PKR</v>
      </c>
      <c r="H5177" s="9" t="str">
        <f ca="1">IFERROR(__xludf.DUMMYFUNCTION("""COMPUTED_VALUE"""),"USD PKR rate for 13/11/2009")</f>
        <v>USD PKR rate for 13/11/2009</v>
      </c>
      <c r="I5177" s="9"/>
    </row>
    <row r="5178" spans="1:9" ht="14.25" customHeight="1" x14ac:dyDescent="0.3">
      <c r="A5178" s="10">
        <v>44895</v>
      </c>
      <c r="B5178">
        <v>224.00029931732624</v>
      </c>
      <c r="C5178" s="8">
        <f t="shared" si="41"/>
        <v>199.33690070914247</v>
      </c>
      <c r="D5178" s="9">
        <f t="shared" si="40"/>
        <v>75.911889969785278</v>
      </c>
      <c r="E5178" s="9"/>
      <c r="F5178" s="9">
        <f ca="1">IFERROR(__xludf.DUMMYFUNCTION("""COMPUTED_VALUE"""),40129)</f>
        <v>40129</v>
      </c>
      <c r="G5178" s="9" t="str">
        <f ca="1">IFERROR(__xludf.DUMMYFUNCTION("""COMPUTED_VALUE"""),"1 USD = 83.4429 PKR")</f>
        <v>1 USD = 83.4429 PKR</v>
      </c>
      <c r="H5178" s="9" t="str">
        <f ca="1">IFERROR(__xludf.DUMMYFUNCTION("""COMPUTED_VALUE"""),"USD PKR rate for 12/11/2009")</f>
        <v>USD PKR rate for 12/11/2009</v>
      </c>
      <c r="I5178" s="9"/>
    </row>
    <row r="5179" spans="1:9" ht="14.25" customHeight="1" x14ac:dyDescent="0.3">
      <c r="A5179" s="10">
        <v>44896</v>
      </c>
      <c r="B5179">
        <v>223.64955955463444</v>
      </c>
      <c r="C5179" s="8">
        <f t="shared" si="41"/>
        <v>199.37255206765951</v>
      </c>
      <c r="D5179" s="9">
        <f t="shared" si="40"/>
        <v>75.914627802582544</v>
      </c>
      <c r="E5179" s="9"/>
      <c r="F5179" s="9">
        <f ca="1">IFERROR(__xludf.DUMMYFUNCTION("""COMPUTED_VALUE"""),40128)</f>
        <v>40128</v>
      </c>
      <c r="G5179" s="9" t="str">
        <f ca="1">IFERROR(__xludf.DUMMYFUNCTION("""COMPUTED_VALUE"""),"1 USD = 83.2001 PKR")</f>
        <v>1 USD = 83.2001 PKR</v>
      </c>
      <c r="H5179" s="9" t="str">
        <f ca="1">IFERROR(__xludf.DUMMYFUNCTION("""COMPUTED_VALUE"""),"USD PKR rate for 11/11/2009")</f>
        <v>USD PKR rate for 11/11/2009</v>
      </c>
      <c r="I5179" s="9"/>
    </row>
    <row r="5180" spans="1:9" ht="14.25" customHeight="1" x14ac:dyDescent="0.3">
      <c r="A5180" s="10">
        <v>44897</v>
      </c>
      <c r="B5180">
        <v>223.703660961293</v>
      </c>
      <c r="C5180" s="8">
        <f t="shared" si="41"/>
        <v>199.40820980241378</v>
      </c>
      <c r="D5180" s="9">
        <f t="shared" si="40"/>
        <v>75.917365635379809</v>
      </c>
      <c r="E5180" s="9"/>
      <c r="F5180" s="9">
        <f ca="1">IFERROR(__xludf.DUMMYFUNCTION("""COMPUTED_VALUE"""),40127)</f>
        <v>40127</v>
      </c>
      <c r="G5180" s="9" t="str">
        <f ca="1">IFERROR(__xludf.DUMMYFUNCTION("""COMPUTED_VALUE"""),"1 USD = 83.383 PKR")</f>
        <v>1 USD = 83.383 PKR</v>
      </c>
      <c r="H5180" s="9" t="str">
        <f ca="1">IFERROR(__xludf.DUMMYFUNCTION("""COMPUTED_VALUE"""),"USD PKR rate for 10/11/2009")</f>
        <v>USD PKR rate for 10/11/2009</v>
      </c>
      <c r="I5180" s="9"/>
    </row>
    <row r="5181" spans="1:9" ht="14.25" customHeight="1" x14ac:dyDescent="0.3">
      <c r="A5181" s="10">
        <v>44898</v>
      </c>
      <c r="B5181">
        <v>224.21113192958825</v>
      </c>
      <c r="C5181" s="8">
        <f t="shared" si="41"/>
        <v>199.44387391454566</v>
      </c>
      <c r="D5181" s="9">
        <f t="shared" si="40"/>
        <v>75.920103468177075</v>
      </c>
      <c r="E5181" s="9"/>
      <c r="F5181" s="9">
        <f ca="1">IFERROR(__xludf.DUMMYFUNCTION("""COMPUTED_VALUE"""),40126)</f>
        <v>40126</v>
      </c>
      <c r="G5181" s="9" t="str">
        <f ca="1">IFERROR(__xludf.DUMMYFUNCTION("""COMPUTED_VALUE"""),"1 USD = 83.3678 PKR")</f>
        <v>1 USD = 83.3678 PKR</v>
      </c>
      <c r="H5181" s="9" t="str">
        <f ca="1">IFERROR(__xludf.DUMMYFUNCTION("""COMPUTED_VALUE"""),"USD PKR rate for 09/11/2009")</f>
        <v>USD PKR rate for 09/11/2009</v>
      </c>
      <c r="I5181" s="9"/>
    </row>
    <row r="5182" spans="1:9" ht="14.25" customHeight="1" x14ac:dyDescent="0.3">
      <c r="A5182" s="10">
        <v>44899</v>
      </c>
      <c r="B5182">
        <v>224.3261442843646</v>
      </c>
      <c r="C5182" s="8">
        <f t="shared" si="41"/>
        <v>199.47954440519578</v>
      </c>
      <c r="D5182" s="9">
        <f t="shared" si="40"/>
        <v>75.922841300974341</v>
      </c>
      <c r="E5182" s="9"/>
      <c r="F5182" s="9">
        <f ca="1">IFERROR(__xludf.DUMMYFUNCTION("""COMPUTED_VALUE"""),40125)</f>
        <v>40125</v>
      </c>
      <c r="G5182" s="9" t="str">
        <f ca="1">IFERROR(__xludf.DUMMYFUNCTION("""COMPUTED_VALUE"""),"1 USD = 83.5473 PKR")</f>
        <v>1 USD = 83.5473 PKR</v>
      </c>
      <c r="H5182" s="9" t="str">
        <f ca="1">IFERROR(__xludf.DUMMYFUNCTION("""COMPUTED_VALUE"""),"USD PKR rate for 08/11/2009")</f>
        <v>USD PKR rate for 08/11/2009</v>
      </c>
      <c r="I5182" s="9"/>
    </row>
    <row r="5183" spans="1:9" ht="14.25" customHeight="1" x14ac:dyDescent="0.3">
      <c r="A5183" s="10">
        <v>44900</v>
      </c>
      <c r="B5183">
        <v>224.50117609623697</v>
      </c>
      <c r="C5183" s="8">
        <f t="shared" si="41"/>
        <v>199.51522127550481</v>
      </c>
      <c r="D5183" s="9">
        <f t="shared" si="40"/>
        <v>75.925579133771606</v>
      </c>
      <c r="E5183" s="9"/>
      <c r="F5183" s="9">
        <f ca="1">IFERROR(__xludf.DUMMYFUNCTION("""COMPUTED_VALUE"""),40124)</f>
        <v>40124</v>
      </c>
      <c r="G5183" s="9" t="str">
        <f ca="1">IFERROR(__xludf.DUMMYFUNCTION("""COMPUTED_VALUE"""),"1 USD = 83.5926 PKR")</f>
        <v>1 USD = 83.5926 PKR</v>
      </c>
      <c r="H5183" s="9" t="str">
        <f ca="1">IFERROR(__xludf.DUMMYFUNCTION("""COMPUTED_VALUE"""),"USD PKR rate for 07/11/2009")</f>
        <v>USD PKR rate for 07/11/2009</v>
      </c>
      <c r="I5183" s="9"/>
    </row>
    <row r="5184" spans="1:9" ht="14.25" customHeight="1" x14ac:dyDescent="0.3">
      <c r="A5184" s="10">
        <v>44901</v>
      </c>
      <c r="B5184">
        <v>224.03782985878891</v>
      </c>
      <c r="C5184" s="8">
        <f t="shared" si="41"/>
        <v>199.55090452661386</v>
      </c>
      <c r="D5184" s="9">
        <f t="shared" si="40"/>
        <v>75.928316966568872</v>
      </c>
      <c r="E5184" s="9"/>
      <c r="F5184" s="9">
        <f ca="1">IFERROR(__xludf.DUMMYFUNCTION("""COMPUTED_VALUE"""),40123)</f>
        <v>40123</v>
      </c>
      <c r="G5184" s="9" t="str">
        <f ca="1">IFERROR(__xludf.DUMMYFUNCTION("""COMPUTED_VALUE"""),"1 USD = 83.6355 PKR")</f>
        <v>1 USD = 83.6355 PKR</v>
      </c>
      <c r="H5184" s="9" t="str">
        <f ca="1">IFERROR(__xludf.DUMMYFUNCTION("""COMPUTED_VALUE"""),"USD PKR rate for 06/11/2009")</f>
        <v>USD PKR rate for 06/11/2009</v>
      </c>
      <c r="I5184" s="9"/>
    </row>
    <row r="5185" spans="1:9" ht="14.25" customHeight="1" x14ac:dyDescent="0.3">
      <c r="A5185" s="10">
        <v>44902</v>
      </c>
      <c r="B5185">
        <v>224.58100738804498</v>
      </c>
      <c r="C5185" s="8">
        <f t="shared" si="41"/>
        <v>199.58659415966392</v>
      </c>
      <c r="D5185" s="9">
        <f t="shared" si="40"/>
        <v>75.931054799366137</v>
      </c>
      <c r="E5185" s="9"/>
      <c r="F5185" s="9">
        <f ca="1">IFERROR(__xludf.DUMMYFUNCTION("""COMPUTED_VALUE"""),40122)</f>
        <v>40122</v>
      </c>
      <c r="G5185" s="9" t="str">
        <f ca="1">IFERROR(__xludf.DUMMYFUNCTION("""COMPUTED_VALUE"""),"1 USD = 83.586 PKR")</f>
        <v>1 USD = 83.586 PKR</v>
      </c>
      <c r="H5185" s="9" t="str">
        <f ca="1">IFERROR(__xludf.DUMMYFUNCTION("""COMPUTED_VALUE"""),"USD PKR rate for 05/11/2009")</f>
        <v>USD PKR rate for 05/11/2009</v>
      </c>
      <c r="I5185" s="9"/>
    </row>
    <row r="5186" spans="1:9" ht="14.25" customHeight="1" x14ac:dyDescent="0.3">
      <c r="A5186" s="10">
        <v>44903</v>
      </c>
      <c r="B5186">
        <v>224.49342853597992</v>
      </c>
      <c r="C5186" s="8">
        <f t="shared" si="41"/>
        <v>199.62229017579679</v>
      </c>
      <c r="D5186" s="9">
        <f t="shared" si="40"/>
        <v>75.933792632163403</v>
      </c>
      <c r="E5186" s="9"/>
      <c r="F5186" s="9">
        <f ca="1">IFERROR(__xludf.DUMMYFUNCTION("""COMPUTED_VALUE"""),40121)</f>
        <v>40121</v>
      </c>
      <c r="G5186" s="9" t="str">
        <f ca="1">IFERROR(__xludf.DUMMYFUNCTION("""COMPUTED_VALUE"""),"1 USD = 83.6804 PKR")</f>
        <v>1 USD = 83.6804 PKR</v>
      </c>
      <c r="H5186" s="9" t="str">
        <f ca="1">IFERROR(__xludf.DUMMYFUNCTION("""COMPUTED_VALUE"""),"USD PKR rate for 04/11/2009")</f>
        <v>USD PKR rate for 04/11/2009</v>
      </c>
      <c r="I5186" s="9"/>
    </row>
    <row r="5187" spans="1:9" ht="14.25" customHeight="1" x14ac:dyDescent="0.3">
      <c r="A5187" s="10">
        <v>44904</v>
      </c>
      <c r="B5187">
        <v>224.65048030976473</v>
      </c>
      <c r="C5187" s="8">
        <f t="shared" si="41"/>
        <v>199.65799257615387</v>
      </c>
      <c r="D5187" s="9">
        <f t="shared" si="40"/>
        <v>75.936530464960668</v>
      </c>
      <c r="E5187" s="9"/>
      <c r="F5187" s="9">
        <f ca="1">IFERROR(__xludf.DUMMYFUNCTION("""COMPUTED_VALUE"""),40120)</f>
        <v>40120</v>
      </c>
      <c r="G5187" s="9" t="str">
        <f ca="1">IFERROR(__xludf.DUMMYFUNCTION("""COMPUTED_VALUE"""),"1 USD = 83.6739 PKR")</f>
        <v>1 USD = 83.6739 PKR</v>
      </c>
      <c r="H5187" s="9" t="str">
        <f ca="1">IFERROR(__xludf.DUMMYFUNCTION("""COMPUTED_VALUE"""),"USD PKR rate for 03/11/2009")</f>
        <v>USD PKR rate for 03/11/2009</v>
      </c>
      <c r="I5187" s="9"/>
    </row>
    <row r="5188" spans="1:9" ht="14.25" customHeight="1" x14ac:dyDescent="0.3">
      <c r="A5188" s="10">
        <v>44905</v>
      </c>
      <c r="B5188">
        <v>224.85658182300875</v>
      </c>
      <c r="C5188" s="8">
        <f t="shared" si="41"/>
        <v>199.693701361877</v>
      </c>
      <c r="D5188" s="9">
        <f t="shared" si="40"/>
        <v>75.939268297757934</v>
      </c>
      <c r="E5188" s="9"/>
      <c r="F5188" s="9">
        <f ca="1">IFERROR(__xludf.DUMMYFUNCTION("""COMPUTED_VALUE"""),40119)</f>
        <v>40119</v>
      </c>
      <c r="G5188" s="9" t="str">
        <f ca="1">IFERROR(__xludf.DUMMYFUNCTION("""COMPUTED_VALUE"""),"1 USD = 83.6855 PKR")</f>
        <v>1 USD = 83.6855 PKR</v>
      </c>
      <c r="H5188" s="9" t="str">
        <f ca="1">IFERROR(__xludf.DUMMYFUNCTION("""COMPUTED_VALUE"""),"USD PKR rate for 02/11/2009")</f>
        <v>USD PKR rate for 02/11/2009</v>
      </c>
      <c r="I5188" s="9"/>
    </row>
    <row r="5189" spans="1:9" ht="14.25" customHeight="1" x14ac:dyDescent="0.3">
      <c r="A5189" s="10">
        <v>44906</v>
      </c>
      <c r="B5189">
        <v>224.8566619494629</v>
      </c>
      <c r="C5189" s="8">
        <f t="shared" si="41"/>
        <v>199.72941653410814</v>
      </c>
      <c r="D5189" s="9">
        <f t="shared" si="40"/>
        <v>75.9420061305552</v>
      </c>
      <c r="E5189" s="9"/>
      <c r="F5189" s="9">
        <f ca="1">IFERROR(__xludf.DUMMYFUNCTION("""COMPUTED_VALUE"""),40118)</f>
        <v>40118</v>
      </c>
      <c r="G5189" s="9" t="str">
        <f ca="1">IFERROR(__xludf.DUMMYFUNCTION("""COMPUTED_VALUE"""),"1 USD = 83.6607 PKR")</f>
        <v>1 USD = 83.6607 PKR</v>
      </c>
      <c r="H5189" s="9" t="str">
        <f ca="1">IFERROR(__xludf.DUMMYFUNCTION("""COMPUTED_VALUE"""),"USD PKR rate for 01/11/2009")</f>
        <v>USD PKR rate for 01/11/2009</v>
      </c>
      <c r="I5189" s="9"/>
    </row>
    <row r="5190" spans="1:9" ht="14.25" customHeight="1" x14ac:dyDescent="0.3">
      <c r="A5190" s="10">
        <v>44907</v>
      </c>
      <c r="B5190">
        <v>224.73987635430177</v>
      </c>
      <c r="C5190" s="8">
        <f t="shared" si="41"/>
        <v>199.76513809398958</v>
      </c>
      <c r="D5190" s="9">
        <f t="shared" si="40"/>
        <v>75.944743963352465</v>
      </c>
      <c r="E5190" s="9"/>
      <c r="F5190" s="9">
        <f ca="1">IFERROR(__xludf.DUMMYFUNCTION("""COMPUTED_VALUE"""),40117)</f>
        <v>40117</v>
      </c>
      <c r="G5190" s="9" t="str">
        <f ca="1">IFERROR(__xludf.DUMMYFUNCTION("""COMPUTED_VALUE"""),"1 USD = 83.6309 PKR")</f>
        <v>1 USD = 83.6309 PKR</v>
      </c>
      <c r="H5190" s="9" t="str">
        <f ca="1">IFERROR(__xludf.DUMMYFUNCTION("""COMPUTED_VALUE"""),"USD PKR rate for 31/10/2009")</f>
        <v>USD PKR rate for 31/10/2009</v>
      </c>
      <c r="I5190" s="9"/>
    </row>
    <row r="5191" spans="1:9" ht="14.25" customHeight="1" x14ac:dyDescent="0.3">
      <c r="A5191" s="10">
        <v>44908</v>
      </c>
      <c r="B5191">
        <v>225.04997779099443</v>
      </c>
      <c r="C5191" s="8">
        <f t="shared" si="41"/>
        <v>199.80086604266373</v>
      </c>
      <c r="D5191" s="9">
        <f t="shared" si="40"/>
        <v>75.947481796149731</v>
      </c>
      <c r="E5191" s="9"/>
      <c r="F5191" s="9">
        <f ca="1">IFERROR(__xludf.DUMMYFUNCTION("""COMPUTED_VALUE"""),40116)</f>
        <v>40116</v>
      </c>
      <c r="G5191" s="9" t="str">
        <f ca="1">IFERROR(__xludf.DUMMYFUNCTION("""COMPUTED_VALUE"""),"1 USD = 83.451 PKR")</f>
        <v>1 USD = 83.451 PKR</v>
      </c>
      <c r="H5191" s="9" t="str">
        <f ca="1">IFERROR(__xludf.DUMMYFUNCTION("""COMPUTED_VALUE"""),"USD PKR rate for 30/10/2009")</f>
        <v>USD PKR rate for 30/10/2009</v>
      </c>
      <c r="I5191" s="9"/>
    </row>
    <row r="5192" spans="1:9" ht="14.25" customHeight="1" x14ac:dyDescent="0.3">
      <c r="A5192" s="10">
        <v>44909</v>
      </c>
      <c r="B5192">
        <v>224.75024961737824</v>
      </c>
      <c r="C5192" s="8">
        <f t="shared" si="41"/>
        <v>199.8366003812732</v>
      </c>
      <c r="D5192" s="9">
        <f t="shared" si="40"/>
        <v>75.950219628946996</v>
      </c>
      <c r="E5192" s="9"/>
      <c r="F5192" s="9">
        <f ca="1">IFERROR(__xludf.DUMMYFUNCTION("""COMPUTED_VALUE"""),40115)</f>
        <v>40115</v>
      </c>
      <c r="G5192" s="9" t="str">
        <f ca="1">IFERROR(__xludf.DUMMYFUNCTION("""COMPUTED_VALUE"""),"1 USD = 83.4522 PKR")</f>
        <v>1 USD = 83.4522 PKR</v>
      </c>
      <c r="H5192" s="9" t="str">
        <f ca="1">IFERROR(__xludf.DUMMYFUNCTION("""COMPUTED_VALUE"""),"USD PKR rate for 29/10/2009")</f>
        <v>USD PKR rate for 29/10/2009</v>
      </c>
      <c r="I5192" s="9"/>
    </row>
    <row r="5193" spans="1:9" ht="14.25" customHeight="1" x14ac:dyDescent="0.3">
      <c r="A5193" s="10">
        <v>44910</v>
      </c>
      <c r="B5193">
        <v>225.04993298154122</v>
      </c>
      <c r="C5193" s="8">
        <f t="shared" si="41"/>
        <v>199.87234111096089</v>
      </c>
      <c r="D5193" s="9">
        <f t="shared" si="40"/>
        <v>75.952957461744262</v>
      </c>
      <c r="E5193" s="9"/>
      <c r="F5193" s="9">
        <f ca="1">IFERROR(__xludf.DUMMYFUNCTION("""COMPUTED_VALUE"""),40114)</f>
        <v>40114</v>
      </c>
      <c r="G5193" s="9" t="str">
        <f ca="1">IFERROR(__xludf.DUMMYFUNCTION("""COMPUTED_VALUE"""),"1 USD = 83.3501 PKR")</f>
        <v>1 USD = 83.3501 PKR</v>
      </c>
      <c r="H5193" s="9" t="str">
        <f ca="1">IFERROR(__xludf.DUMMYFUNCTION("""COMPUTED_VALUE"""),"USD PKR rate for 28/10/2009")</f>
        <v>USD PKR rate for 28/10/2009</v>
      </c>
      <c r="I5193" s="9"/>
    </row>
    <row r="5194" spans="1:9" ht="14.25" customHeight="1" x14ac:dyDescent="0.3">
      <c r="A5194" s="10">
        <v>44911</v>
      </c>
      <c r="B5194">
        <v>225.05047399581395</v>
      </c>
      <c r="C5194" s="8">
        <f t="shared" si="41"/>
        <v>199.90808823286963</v>
      </c>
      <c r="D5194" s="9">
        <f t="shared" si="40"/>
        <v>75.955695294541528</v>
      </c>
      <c r="E5194" s="9"/>
      <c r="F5194" s="9">
        <f ca="1">IFERROR(__xludf.DUMMYFUNCTION("""COMPUTED_VALUE"""),40113)</f>
        <v>40113</v>
      </c>
      <c r="G5194" s="9" t="str">
        <f ca="1">IFERROR(__xludf.DUMMYFUNCTION("""COMPUTED_VALUE"""),"1 USD = 83.2833 PKR")</f>
        <v>1 USD = 83.2833 PKR</v>
      </c>
      <c r="H5194" s="9" t="str">
        <f ca="1">IFERROR(__xludf.DUMMYFUNCTION("""COMPUTED_VALUE"""),"USD PKR rate for 27/10/2009")</f>
        <v>USD PKR rate for 27/10/2009</v>
      </c>
      <c r="I5194" s="9"/>
    </row>
    <row r="5195" spans="1:9" ht="14.25" customHeight="1" x14ac:dyDescent="0.3">
      <c r="A5195" s="10">
        <v>44912</v>
      </c>
      <c r="B5195">
        <v>225.63453557233009</v>
      </c>
      <c r="C5195" s="8">
        <f t="shared" si="41"/>
        <v>199.94384174814297</v>
      </c>
      <c r="D5195" s="9">
        <f t="shared" si="40"/>
        <v>75.958433127338793</v>
      </c>
      <c r="E5195" s="9"/>
      <c r="F5195" s="9">
        <f ca="1">IFERROR(__xludf.DUMMYFUNCTION("""COMPUTED_VALUE"""),40112)</f>
        <v>40112</v>
      </c>
      <c r="G5195" s="9" t="str">
        <f ca="1">IFERROR(__xludf.DUMMYFUNCTION("""COMPUTED_VALUE"""),"1 USD = 83.3234 PKR")</f>
        <v>1 USD = 83.3234 PKR</v>
      </c>
      <c r="H5195" s="9" t="str">
        <f ca="1">IFERROR(__xludf.DUMMYFUNCTION("""COMPUTED_VALUE"""),"USD PKR rate for 26/10/2009")</f>
        <v>USD PKR rate for 26/10/2009</v>
      </c>
      <c r="I5195" s="9"/>
    </row>
    <row r="5196" spans="1:9" ht="14.25" customHeight="1" x14ac:dyDescent="0.3">
      <c r="A5196" s="10">
        <v>44913</v>
      </c>
      <c r="B5196">
        <v>225.63450216977841</v>
      </c>
      <c r="C5196" s="8">
        <f t="shared" si="41"/>
        <v>199.97960165792429</v>
      </c>
      <c r="D5196" s="9">
        <f t="shared" si="40"/>
        <v>75.961170960136059</v>
      </c>
      <c r="E5196" s="9"/>
      <c r="F5196" s="9">
        <f ca="1">IFERROR(__xludf.DUMMYFUNCTION("""COMPUTED_VALUE"""),40111)</f>
        <v>40111</v>
      </c>
      <c r="G5196" s="9" t="str">
        <f ca="1">IFERROR(__xludf.DUMMYFUNCTION("""COMPUTED_VALUE"""),"1 USD = 83.2481 PKR")</f>
        <v>1 USD = 83.2481 PKR</v>
      </c>
      <c r="H5196" s="9" t="str">
        <f ca="1">IFERROR(__xludf.DUMMYFUNCTION("""COMPUTED_VALUE"""),"USD PKR rate for 25/10/2009")</f>
        <v>USD PKR rate for 25/10/2009</v>
      </c>
      <c r="I5196" s="9"/>
    </row>
    <row r="5197" spans="1:9" ht="14.25" customHeight="1" x14ac:dyDescent="0.3">
      <c r="A5197" s="10">
        <v>44914</v>
      </c>
      <c r="B5197">
        <v>225.02504645036313</v>
      </c>
      <c r="C5197" s="8">
        <f t="shared" si="41"/>
        <v>200.01536796335719</v>
      </c>
      <c r="D5197" s="9">
        <f t="shared" si="40"/>
        <v>75.963908792933324</v>
      </c>
      <c r="E5197" s="9"/>
      <c r="F5197" s="9">
        <f ca="1">IFERROR(__xludf.DUMMYFUNCTION("""COMPUTED_VALUE"""),40110)</f>
        <v>40110</v>
      </c>
      <c r="G5197" s="9" t="str">
        <f ca="1">IFERROR(__xludf.DUMMYFUNCTION("""COMPUTED_VALUE"""),"1 USD = 83.3018 PKR")</f>
        <v>1 USD = 83.3018 PKR</v>
      </c>
      <c r="H5197" s="9" t="str">
        <f ca="1">IFERROR(__xludf.DUMMYFUNCTION("""COMPUTED_VALUE"""),"USD PKR rate for 24/10/2009")</f>
        <v>USD PKR rate for 24/10/2009</v>
      </c>
      <c r="I5197" s="9"/>
    </row>
    <row r="5198" spans="1:9" ht="14.25" customHeight="1" x14ac:dyDescent="0.3">
      <c r="A5198" s="10">
        <v>44915</v>
      </c>
      <c r="B5198">
        <v>225.1749004733984</v>
      </c>
      <c r="C5198" s="8">
        <f t="shared" si="41"/>
        <v>200.05114066558551</v>
      </c>
      <c r="D5198" s="9">
        <f t="shared" si="40"/>
        <v>75.96664662573059</v>
      </c>
      <c r="E5198" s="9"/>
      <c r="F5198" s="9">
        <f ca="1">IFERROR(__xludf.DUMMYFUNCTION("""COMPUTED_VALUE"""),40109)</f>
        <v>40109</v>
      </c>
      <c r="G5198" s="9" t="str">
        <f ca="1">IFERROR(__xludf.DUMMYFUNCTION("""COMPUTED_VALUE"""),"1 USD = 83.2778 PKR")</f>
        <v>1 USD = 83.2778 PKR</v>
      </c>
      <c r="H5198" s="9" t="str">
        <f ca="1">IFERROR(__xludf.DUMMYFUNCTION("""COMPUTED_VALUE"""),"USD PKR rate for 23/10/2009")</f>
        <v>USD PKR rate for 23/10/2009</v>
      </c>
      <c r="I5198" s="9"/>
    </row>
    <row r="5199" spans="1:9" ht="14.25" customHeight="1" x14ac:dyDescent="0.3">
      <c r="A5199" s="10">
        <v>44916</v>
      </c>
      <c r="B5199">
        <v>225.49674078724479</v>
      </c>
      <c r="C5199" s="8">
        <f t="shared" si="41"/>
        <v>200.08691976575332</v>
      </c>
      <c r="D5199" s="9">
        <f t="shared" si="40"/>
        <v>75.969384458527855</v>
      </c>
      <c r="E5199" s="9"/>
      <c r="F5199" s="9">
        <f ca="1">IFERROR(__xludf.DUMMYFUNCTION("""COMPUTED_VALUE"""),40108)</f>
        <v>40108</v>
      </c>
      <c r="G5199" s="9" t="str">
        <f ca="1">IFERROR(__xludf.DUMMYFUNCTION("""COMPUTED_VALUE"""),"1 USD = 83.2882 PKR")</f>
        <v>1 USD = 83.2882 PKR</v>
      </c>
      <c r="H5199" s="9" t="str">
        <f ca="1">IFERROR(__xludf.DUMMYFUNCTION("""COMPUTED_VALUE"""),"USD PKR rate for 22/10/2009")</f>
        <v>USD PKR rate for 22/10/2009</v>
      </c>
      <c r="I5199" s="9"/>
    </row>
    <row r="5200" spans="1:9" ht="14.25" customHeight="1" x14ac:dyDescent="0.3">
      <c r="A5200" s="10">
        <v>44917</v>
      </c>
      <c r="B5200">
        <v>225.60021034461619</v>
      </c>
      <c r="C5200" s="8">
        <f t="shared" si="41"/>
        <v>200.12270526500492</v>
      </c>
      <c r="D5200" s="9">
        <f t="shared" si="40"/>
        <v>75.972122291325121</v>
      </c>
      <c r="E5200" s="9"/>
      <c r="F5200" s="9">
        <f ca="1">IFERROR(__xludf.DUMMYFUNCTION("""COMPUTED_VALUE"""),40107)</f>
        <v>40107</v>
      </c>
      <c r="G5200" s="9" t="str">
        <f ca="1">IFERROR(__xludf.DUMMYFUNCTION("""COMPUTED_VALUE"""),"1 USD = 83.278 PKR")</f>
        <v>1 USD = 83.278 PKR</v>
      </c>
      <c r="H5200" s="9" t="str">
        <f ca="1">IFERROR(__xludf.DUMMYFUNCTION("""COMPUTED_VALUE"""),"USD PKR rate for 21/10/2009")</f>
        <v>USD PKR rate for 21/10/2009</v>
      </c>
      <c r="I5200" s="9"/>
    </row>
    <row r="5201" spans="1:9" ht="14.25" customHeight="1" x14ac:dyDescent="0.3">
      <c r="A5201" s="10">
        <v>44918</v>
      </c>
      <c r="B5201">
        <v>225.5037522924425</v>
      </c>
      <c r="C5201" s="8">
        <f t="shared" si="41"/>
        <v>200.15849716448477</v>
      </c>
      <c r="D5201" s="9">
        <f t="shared" si="40"/>
        <v>75.974860124122387</v>
      </c>
      <c r="E5201" s="9"/>
      <c r="F5201" s="9">
        <f ca="1">IFERROR(__xludf.DUMMYFUNCTION("""COMPUTED_VALUE"""),40106)</f>
        <v>40106</v>
      </c>
      <c r="G5201" s="9" t="str">
        <f ca="1">IFERROR(__xludf.DUMMYFUNCTION("""COMPUTED_VALUE"""),"1 USD = 83.3408 PKR")</f>
        <v>1 USD = 83.3408 PKR</v>
      </c>
      <c r="H5201" s="9" t="str">
        <f ca="1">IFERROR(__xludf.DUMMYFUNCTION("""COMPUTED_VALUE"""),"USD PKR rate for 20/10/2009")</f>
        <v>USD PKR rate for 20/10/2009</v>
      </c>
      <c r="I5201" s="9"/>
    </row>
    <row r="5202" spans="1:9" ht="14.25" customHeight="1" x14ac:dyDescent="0.3">
      <c r="A5202" s="10">
        <v>44919</v>
      </c>
      <c r="B5202">
        <v>225.50365775008063</v>
      </c>
      <c r="C5202" s="8">
        <f t="shared" si="41"/>
        <v>200.19429546533758</v>
      </c>
      <c r="D5202" s="9">
        <f t="shared" si="40"/>
        <v>75.977597956919652</v>
      </c>
      <c r="E5202" s="9"/>
      <c r="F5202" s="9">
        <f ca="1">IFERROR(__xludf.DUMMYFUNCTION("""COMPUTED_VALUE"""),40105)</f>
        <v>40105</v>
      </c>
      <c r="G5202" s="9" t="str">
        <f ca="1">IFERROR(__xludf.DUMMYFUNCTION("""COMPUTED_VALUE"""),"1 USD = 83.2418 PKR")</f>
        <v>1 USD = 83.2418 PKR</v>
      </c>
      <c r="H5202" s="9" t="str">
        <f ca="1">IFERROR(__xludf.DUMMYFUNCTION("""COMPUTED_VALUE"""),"USD PKR rate for 19/10/2009")</f>
        <v>USD PKR rate for 19/10/2009</v>
      </c>
      <c r="I5202" s="9"/>
    </row>
    <row r="5203" spans="1:9" ht="14.25" customHeight="1" x14ac:dyDescent="0.3">
      <c r="A5203" s="10">
        <v>44920</v>
      </c>
      <c r="B5203">
        <v>225.50040589361276</v>
      </c>
      <c r="C5203" s="8">
        <f t="shared" si="41"/>
        <v>200.23010016870799</v>
      </c>
      <c r="D5203" s="9">
        <f t="shared" si="40"/>
        <v>75.980335789716918</v>
      </c>
      <c r="E5203" s="9"/>
      <c r="F5203" s="9">
        <f ca="1">IFERROR(__xludf.DUMMYFUNCTION("""COMPUTED_VALUE"""),40104)</f>
        <v>40104</v>
      </c>
      <c r="G5203" s="9" t="str">
        <f ca="1">IFERROR(__xludf.DUMMYFUNCTION("""COMPUTED_VALUE"""),"1 USD = 83.1878 PKR")</f>
        <v>1 USD = 83.1878 PKR</v>
      </c>
      <c r="H5203" s="9" t="str">
        <f ca="1">IFERROR(__xludf.DUMMYFUNCTION("""COMPUTED_VALUE"""),"USD PKR rate for 18/10/2009")</f>
        <v>USD PKR rate for 18/10/2009</v>
      </c>
      <c r="I5203" s="9"/>
    </row>
    <row r="5204" spans="1:9" ht="14.25" customHeight="1" x14ac:dyDescent="0.3">
      <c r="A5204" s="10">
        <v>44921</v>
      </c>
      <c r="B5204">
        <v>225.92505648559947</v>
      </c>
      <c r="C5204" s="8">
        <f t="shared" si="41"/>
        <v>200.2659112757415</v>
      </c>
      <c r="D5204" s="9">
        <f t="shared" si="40"/>
        <v>75.983073622514183</v>
      </c>
      <c r="E5204" s="9"/>
      <c r="F5204" s="9">
        <f ca="1">IFERROR(__xludf.DUMMYFUNCTION("""COMPUTED_VALUE"""),40103)</f>
        <v>40103</v>
      </c>
      <c r="G5204" s="9" t="str">
        <f ca="1">IFERROR(__xludf.DUMMYFUNCTION("""COMPUTED_VALUE"""),"1 USD = 83.1769 PKR")</f>
        <v>1 USD = 83.1769 PKR</v>
      </c>
      <c r="H5204" s="9" t="str">
        <f ca="1">IFERROR(__xludf.DUMMYFUNCTION("""COMPUTED_VALUE"""),"USD PKR rate for 17/10/2009")</f>
        <v>USD PKR rate for 17/10/2009</v>
      </c>
      <c r="I5204" s="9"/>
    </row>
    <row r="5205" spans="1:9" ht="14.25" customHeight="1" x14ac:dyDescent="0.3">
      <c r="A5205" s="10">
        <v>44922</v>
      </c>
      <c r="B5205">
        <v>226.12491127525777</v>
      </c>
      <c r="C5205" s="8">
        <f t="shared" si="41"/>
        <v>200.30172878758322</v>
      </c>
      <c r="D5205" s="9">
        <f t="shared" si="40"/>
        <v>75.985811455311449</v>
      </c>
      <c r="E5205" s="9"/>
      <c r="F5205" s="9">
        <f ca="1">IFERROR(__xludf.DUMMYFUNCTION("""COMPUTED_VALUE"""),40102)</f>
        <v>40102</v>
      </c>
      <c r="G5205" s="9" t="str">
        <f ca="1">IFERROR(__xludf.DUMMYFUNCTION("""COMPUTED_VALUE"""),"1 USD = 83.1646 PKR")</f>
        <v>1 USD = 83.1646 PKR</v>
      </c>
      <c r="H5205" s="9" t="str">
        <f ca="1">IFERROR(__xludf.DUMMYFUNCTION("""COMPUTED_VALUE"""),"USD PKR rate for 16/10/2009")</f>
        <v>USD PKR rate for 16/10/2009</v>
      </c>
      <c r="I5205" s="9"/>
    </row>
    <row r="5206" spans="1:9" ht="14.25" customHeight="1" x14ac:dyDescent="0.3">
      <c r="A5206" s="10">
        <v>44923</v>
      </c>
      <c r="B5206">
        <v>226.37497377381408</v>
      </c>
      <c r="C5206" s="8">
        <f t="shared" si="41"/>
        <v>200.33755270537858</v>
      </c>
      <c r="D5206" s="9">
        <f t="shared" si="40"/>
        <v>75.988549288108715</v>
      </c>
      <c r="E5206" s="9"/>
      <c r="F5206" s="9">
        <f ca="1">IFERROR(__xludf.DUMMYFUNCTION("""COMPUTED_VALUE"""),40101)</f>
        <v>40101</v>
      </c>
      <c r="G5206" s="9" t="str">
        <f ca="1">IFERROR(__xludf.DUMMYFUNCTION("""COMPUTED_VALUE"""),"1 USD = 83.1957 PKR")</f>
        <v>1 USD = 83.1957 PKR</v>
      </c>
      <c r="H5206" s="9" t="str">
        <f ca="1">IFERROR(__xludf.DUMMYFUNCTION("""COMPUTED_VALUE"""),"USD PKR rate for 15/10/2009")</f>
        <v>USD PKR rate for 15/10/2009</v>
      </c>
      <c r="I5206" s="9"/>
    </row>
    <row r="5207" spans="1:9" ht="14.25" customHeight="1" x14ac:dyDescent="0.3">
      <c r="A5207" s="10">
        <v>44924</v>
      </c>
      <c r="B5207">
        <v>226.45018219677252</v>
      </c>
      <c r="C5207" s="8">
        <f t="shared" si="41"/>
        <v>200.37338303027343</v>
      </c>
      <c r="D5207" s="9">
        <f t="shared" si="40"/>
        <v>75.99128712090598</v>
      </c>
      <c r="E5207" s="9"/>
      <c r="F5207" s="9">
        <f ca="1">IFERROR(__xludf.DUMMYFUNCTION("""COMPUTED_VALUE"""),40100)</f>
        <v>40100</v>
      </c>
      <c r="G5207" s="9" t="str">
        <f ca="1">IFERROR(__xludf.DUMMYFUNCTION("""COMPUTED_VALUE"""),"1 USD = 83.2808 PKR")</f>
        <v>1 USD = 83.2808 PKR</v>
      </c>
      <c r="H5207" s="9" t="str">
        <f ca="1">IFERROR(__xludf.DUMMYFUNCTION("""COMPUTED_VALUE"""),"USD PKR rate for 14/10/2009")</f>
        <v>USD PKR rate for 14/10/2009</v>
      </c>
      <c r="I5207" s="9"/>
    </row>
    <row r="5208" spans="1:9" ht="14.25" customHeight="1" x14ac:dyDescent="0.3">
      <c r="A5208" s="10">
        <v>44925</v>
      </c>
      <c r="B5208">
        <v>226.5504081859057</v>
      </c>
      <c r="C5208" s="8">
        <f t="shared" si="41"/>
        <v>200.40921976341355</v>
      </c>
      <c r="D5208" s="9">
        <f t="shared" si="40"/>
        <v>75.994024953703246</v>
      </c>
      <c r="E5208" s="9"/>
      <c r="F5208" s="9">
        <f ca="1">IFERROR(__xludf.DUMMYFUNCTION("""COMPUTED_VALUE"""),40099)</f>
        <v>40099</v>
      </c>
      <c r="G5208" s="9" t="str">
        <f ca="1">IFERROR(__xludf.DUMMYFUNCTION("""COMPUTED_VALUE"""),"1 USD = 83.3196 PKR")</f>
        <v>1 USD = 83.3196 PKR</v>
      </c>
      <c r="H5208" s="9" t="str">
        <f ca="1">IFERROR(__xludf.DUMMYFUNCTION("""COMPUTED_VALUE"""),"USD PKR rate for 13/10/2009")</f>
        <v>USD PKR rate for 13/10/2009</v>
      </c>
      <c r="I5208" s="9"/>
    </row>
    <row r="5209" spans="1:9" ht="14.25" customHeight="1" x14ac:dyDescent="0.3">
      <c r="A5209" s="10">
        <v>44926</v>
      </c>
      <c r="B5209">
        <v>226.5504081859057</v>
      </c>
      <c r="C5209" s="8">
        <f t="shared" si="41"/>
        <v>200.44506290594506</v>
      </c>
      <c r="D5209" s="9">
        <f t="shared" si="40"/>
        <v>75.996762786500511</v>
      </c>
      <c r="E5209" s="9"/>
      <c r="F5209" s="9">
        <f ca="1">IFERROR(__xludf.DUMMYFUNCTION("""COMPUTED_VALUE"""),40098)</f>
        <v>40098</v>
      </c>
      <c r="G5209" s="9" t="str">
        <f ca="1">IFERROR(__xludf.DUMMYFUNCTION("""COMPUTED_VALUE"""),"1 USD = 83.2905 PKR")</f>
        <v>1 USD = 83.2905 PKR</v>
      </c>
      <c r="H5209" s="9" t="str">
        <f ca="1">IFERROR(__xludf.DUMMYFUNCTION("""COMPUTED_VALUE"""),"USD PKR rate for 12/10/2009")</f>
        <v>USD PKR rate for 12/10/2009</v>
      </c>
      <c r="I5209" s="9"/>
    </row>
    <row r="5210" spans="1:9" ht="14.25" customHeight="1" x14ac:dyDescent="0.3">
      <c r="A5210" s="10">
        <v>44927</v>
      </c>
      <c r="B5210">
        <v>226.54997234812959</v>
      </c>
      <c r="C5210" s="8">
        <f t="shared" si="41"/>
        <v>200.48091245901432</v>
      </c>
      <c r="D5210" s="9">
        <f t="shared" si="40"/>
        <v>75.999500619297777</v>
      </c>
      <c r="E5210" s="9"/>
      <c r="F5210" s="9">
        <f ca="1">IFERROR(__xludf.DUMMYFUNCTION("""COMPUTED_VALUE"""),40097)</f>
        <v>40097</v>
      </c>
      <c r="G5210" s="9" t="str">
        <f ca="1">IFERROR(__xludf.DUMMYFUNCTION("""COMPUTED_VALUE"""),"1 USD = 83.2971 PKR")</f>
        <v>1 USD = 83.2971 PKR</v>
      </c>
      <c r="H5210" s="9" t="str">
        <f ca="1">IFERROR(__xludf.DUMMYFUNCTION("""COMPUTED_VALUE"""),"USD PKR rate for 11/10/2009")</f>
        <v>USD PKR rate for 11/10/2009</v>
      </c>
      <c r="I5210" s="9"/>
    </row>
    <row r="5211" spans="1:9" ht="14.25" customHeight="1" x14ac:dyDescent="0.3">
      <c r="A5211" s="10">
        <v>44928</v>
      </c>
      <c r="B5211">
        <v>226.72228086129826</v>
      </c>
      <c r="C5211" s="8">
        <f t="shared" si="41"/>
        <v>200.51676842376784</v>
      </c>
      <c r="D5211" s="9">
        <f t="shared" si="40"/>
        <v>76.002238452095042</v>
      </c>
      <c r="E5211" s="9"/>
      <c r="F5211" s="9">
        <f ca="1">IFERROR(__xludf.DUMMYFUNCTION("""COMPUTED_VALUE"""),40096)</f>
        <v>40096</v>
      </c>
      <c r="G5211" s="9" t="str">
        <f ca="1">IFERROR(__xludf.DUMMYFUNCTION("""COMPUTED_VALUE"""),"1 USD = 83.3027 PKR")</f>
        <v>1 USD = 83.3027 PKR</v>
      </c>
      <c r="H5211" s="9" t="str">
        <f ca="1">IFERROR(__xludf.DUMMYFUNCTION("""COMPUTED_VALUE"""),"USD PKR rate for 10/10/2009")</f>
        <v>USD PKR rate for 10/10/2009</v>
      </c>
      <c r="I5211" s="9"/>
    </row>
    <row r="5212" spans="1:9" ht="14.25" customHeight="1" x14ac:dyDescent="0.3">
      <c r="A5212" s="10">
        <v>44929</v>
      </c>
      <c r="B5212">
        <v>226.97496899451195</v>
      </c>
      <c r="C5212" s="8">
        <f t="shared" si="41"/>
        <v>200.55263080135219</v>
      </c>
      <c r="D5212" s="9">
        <f t="shared" si="40"/>
        <v>76.004976284892308</v>
      </c>
      <c r="E5212" s="9"/>
      <c r="F5212" s="9">
        <f ca="1">IFERROR(__xludf.DUMMYFUNCTION("""COMPUTED_VALUE"""),40095)</f>
        <v>40095</v>
      </c>
      <c r="G5212" s="9" t="str">
        <f ca="1">IFERROR(__xludf.DUMMYFUNCTION("""COMPUTED_VALUE"""),"1 USD = 83.307 PKR")</f>
        <v>1 USD = 83.307 PKR</v>
      </c>
      <c r="H5212" s="9" t="str">
        <f ca="1">IFERROR(__xludf.DUMMYFUNCTION("""COMPUTED_VALUE"""),"USD PKR rate for 09/10/2009")</f>
        <v>USD PKR rate for 09/10/2009</v>
      </c>
      <c r="I5212" s="9"/>
    </row>
    <row r="5213" spans="1:9" ht="14.25" customHeight="1" x14ac:dyDescent="0.3">
      <c r="A5213" s="10">
        <v>44930</v>
      </c>
      <c r="B5213">
        <v>226.97493493357615</v>
      </c>
      <c r="C5213" s="8">
        <f t="shared" si="41"/>
        <v>200.58849959291462</v>
      </c>
      <c r="D5213" s="9">
        <f t="shared" si="40"/>
        <v>76.007714117689574</v>
      </c>
      <c r="E5213" s="9"/>
      <c r="F5213" s="9">
        <f ca="1">IFERROR(__xludf.DUMMYFUNCTION("""COMPUTED_VALUE"""),40094)</f>
        <v>40094</v>
      </c>
      <c r="G5213" s="9" t="str">
        <f ca="1">IFERROR(__xludf.DUMMYFUNCTION("""COMPUTED_VALUE"""),"1 USD = 83.2387 PKR")</f>
        <v>1 USD = 83.2387 PKR</v>
      </c>
      <c r="H5213" s="9" t="str">
        <f ca="1">IFERROR(__xludf.DUMMYFUNCTION("""COMPUTED_VALUE"""),"USD PKR rate for 08/10/2009")</f>
        <v>USD PKR rate for 08/10/2009</v>
      </c>
      <c r="I5213" s="9"/>
    </row>
    <row r="5214" spans="1:9" ht="14.25" customHeight="1" x14ac:dyDescent="0.3">
      <c r="A5214" s="10">
        <v>44931</v>
      </c>
      <c r="B5214">
        <v>227.12499429761868</v>
      </c>
      <c r="C5214" s="8">
        <f t="shared" si="41"/>
        <v>200.62437479960215</v>
      </c>
      <c r="D5214" s="9">
        <f t="shared" si="40"/>
        <v>76.010451950486839</v>
      </c>
      <c r="E5214" s="9"/>
      <c r="F5214" s="9">
        <f ca="1">IFERROR(__xludf.DUMMYFUNCTION("""COMPUTED_VALUE"""),40093)</f>
        <v>40093</v>
      </c>
      <c r="G5214" s="9" t="str">
        <f ca="1">IFERROR(__xludf.DUMMYFUNCTION("""COMPUTED_VALUE"""),"1 USD = 83.2406 PKR")</f>
        <v>1 USD = 83.2406 PKR</v>
      </c>
      <c r="H5214" s="9" t="str">
        <f ca="1">IFERROR(__xludf.DUMMYFUNCTION("""COMPUTED_VALUE"""),"USD PKR rate for 07/10/2009")</f>
        <v>USD PKR rate for 07/10/2009</v>
      </c>
      <c r="I5214" s="9"/>
    </row>
    <row r="5215" spans="1:9" ht="14.25" customHeight="1" x14ac:dyDescent="0.3">
      <c r="A5215" s="10">
        <v>44932</v>
      </c>
      <c r="B5215">
        <v>227.25033712121925</v>
      </c>
      <c r="C5215" s="8">
        <f t="shared" si="41"/>
        <v>200.66025642256207</v>
      </c>
      <c r="D5215" s="9">
        <f t="shared" si="40"/>
        <v>76.013189783284105</v>
      </c>
      <c r="E5215" s="9"/>
      <c r="F5215" s="9">
        <f ca="1">IFERROR(__xludf.DUMMYFUNCTION("""COMPUTED_VALUE"""),40092)</f>
        <v>40092</v>
      </c>
      <c r="G5215" s="9" t="str">
        <f ca="1">IFERROR(__xludf.DUMMYFUNCTION("""COMPUTED_VALUE"""),"1 USD = 83.3019 PKR")</f>
        <v>1 USD = 83.3019 PKR</v>
      </c>
      <c r="H5215" s="9" t="str">
        <f ca="1">IFERROR(__xludf.DUMMYFUNCTION("""COMPUTED_VALUE"""),"USD PKR rate for 06/10/2009")</f>
        <v>USD PKR rate for 06/10/2009</v>
      </c>
      <c r="I5215" s="9"/>
    </row>
    <row r="5216" spans="1:9" ht="14.25" customHeight="1" x14ac:dyDescent="0.3">
      <c r="A5216" s="10">
        <v>44933</v>
      </c>
      <c r="B5216">
        <v>227.25033712121925</v>
      </c>
      <c r="C5216" s="8">
        <f t="shared" si="41"/>
        <v>200.69614446294193</v>
      </c>
      <c r="D5216" s="9">
        <f t="shared" si="40"/>
        <v>76.01592761608137</v>
      </c>
      <c r="E5216" s="9"/>
      <c r="F5216" s="9" t="str">
        <f ca="1">IFERROR(__xludf.DUMMYFUNCTION("""COMPUTED_VALUE"""),"*Minimum:* 75.5724 PKR, *Maximum:* 308.0983 PKR, *Average:* 132.3769 PKR")</f>
        <v>*Minimum:* 75.5724 PKR, *Maximum:* 308.0983 PKR, *Average:* 132.3769 PKR</v>
      </c>
      <c r="G5216" s="9"/>
      <c r="H5216" s="9"/>
      <c r="I5216" s="9"/>
    </row>
    <row r="5217" spans="1:9" ht="14.25" customHeight="1" x14ac:dyDescent="0.3">
      <c r="A5217" s="10">
        <v>44934</v>
      </c>
      <c r="B5217">
        <v>227.24982779622331</v>
      </c>
      <c r="C5217" s="8">
        <f t="shared" si="41"/>
        <v>200.73203892188951</v>
      </c>
      <c r="D5217" s="9">
        <f t="shared" si="40"/>
        <v>76.018665448878636</v>
      </c>
      <c r="E5217" s="9"/>
      <c r="F5217" s="9"/>
      <c r="G5217" s="9"/>
      <c r="H5217" s="9"/>
      <c r="I5217" s="9"/>
    </row>
    <row r="5218" spans="1:9" ht="14.25" customHeight="1" x14ac:dyDescent="0.3">
      <c r="A5218" s="10">
        <v>44935</v>
      </c>
      <c r="B5218">
        <v>227.59973077335124</v>
      </c>
      <c r="C5218" s="8">
        <f t="shared" si="41"/>
        <v>200.76793980055274</v>
      </c>
      <c r="D5218" s="9">
        <f t="shared" si="40"/>
        <v>76.021403281675902</v>
      </c>
      <c r="E5218" s="9"/>
      <c r="F5218" s="9"/>
      <c r="G5218" s="9"/>
      <c r="H5218" s="9"/>
      <c r="I5218" s="9"/>
    </row>
    <row r="5219" spans="1:9" ht="14.25" customHeight="1" x14ac:dyDescent="0.3">
      <c r="A5219" s="10">
        <v>44936</v>
      </c>
      <c r="B5219">
        <v>228.49770826737191</v>
      </c>
      <c r="C5219" s="8">
        <f t="shared" si="41"/>
        <v>200.80384710007985</v>
      </c>
      <c r="D5219" s="9">
        <f t="shared" si="40"/>
        <v>76.024141114473167</v>
      </c>
      <c r="E5219" s="9"/>
      <c r="F5219" s="9"/>
      <c r="G5219" s="9"/>
      <c r="H5219" s="9"/>
      <c r="I5219" s="9"/>
    </row>
    <row r="5220" spans="1:9" ht="14.25" customHeight="1" x14ac:dyDescent="0.3">
      <c r="A5220" s="10">
        <v>44937</v>
      </c>
      <c r="B5220">
        <v>228.50225099264782</v>
      </c>
      <c r="C5220" s="8">
        <f t="shared" si="41"/>
        <v>200.83976082161911</v>
      </c>
      <c r="D5220" s="9">
        <f t="shared" si="40"/>
        <v>76.026878947270433</v>
      </c>
      <c r="E5220" s="9"/>
      <c r="F5220" s="9"/>
      <c r="G5220" s="9"/>
      <c r="H5220" s="9"/>
      <c r="I5220" s="9"/>
    </row>
    <row r="5221" spans="1:9" ht="14.25" customHeight="1" x14ac:dyDescent="0.3">
      <c r="A5221" s="10">
        <v>44938</v>
      </c>
      <c r="B5221">
        <v>228.50021869708107</v>
      </c>
      <c r="C5221" s="8">
        <f t="shared" si="41"/>
        <v>200.87568096631898</v>
      </c>
      <c r="D5221" s="9">
        <f t="shared" si="40"/>
        <v>76.029616780067698</v>
      </c>
      <c r="E5221" s="9"/>
      <c r="F5221" s="9"/>
      <c r="G5221" s="9"/>
      <c r="H5221" s="9"/>
      <c r="I5221" s="9"/>
    </row>
    <row r="5222" spans="1:9" ht="14.25" customHeight="1" x14ac:dyDescent="0.3">
      <c r="A5222" s="10">
        <v>44939</v>
      </c>
      <c r="B5222">
        <v>229.0002756331958</v>
      </c>
      <c r="C5222" s="8">
        <f t="shared" si="41"/>
        <v>200.91160753532861</v>
      </c>
      <c r="D5222" s="9">
        <f t="shared" si="40"/>
        <v>76.032354612864964</v>
      </c>
      <c r="E5222" s="9"/>
      <c r="F5222" s="9"/>
      <c r="G5222" s="9"/>
      <c r="H5222" s="9"/>
      <c r="I5222" s="9"/>
    </row>
    <row r="5223" spans="1:9" ht="14.25" customHeight="1" x14ac:dyDescent="0.3">
      <c r="A5223" s="10">
        <v>44940</v>
      </c>
      <c r="B5223">
        <v>228.03016938996564</v>
      </c>
      <c r="C5223" s="8">
        <f t="shared" si="41"/>
        <v>200.94754052979675</v>
      </c>
      <c r="D5223" s="9">
        <f t="shared" si="40"/>
        <v>76.035092445662229</v>
      </c>
      <c r="E5223" s="9"/>
      <c r="F5223" s="9"/>
      <c r="G5223" s="9"/>
      <c r="H5223" s="9"/>
      <c r="I5223" s="9"/>
    </row>
    <row r="5224" spans="1:9" ht="14.25" customHeight="1" x14ac:dyDescent="0.3">
      <c r="A5224" s="10">
        <v>44941</v>
      </c>
      <c r="B5224">
        <v>228.03013413375683</v>
      </c>
      <c r="C5224" s="8">
        <f t="shared" si="41"/>
        <v>200.98347995087269</v>
      </c>
      <c r="D5224" s="9">
        <f t="shared" si="40"/>
        <v>76.037830278459495</v>
      </c>
      <c r="E5224" s="9"/>
      <c r="F5224" s="9"/>
      <c r="G5224" s="9"/>
      <c r="H5224" s="9"/>
      <c r="I5224" s="9"/>
    </row>
    <row r="5225" spans="1:9" ht="14.25" customHeight="1" x14ac:dyDescent="0.3">
      <c r="A5225" s="10">
        <v>44942</v>
      </c>
      <c r="B5225">
        <v>228.88341314412665</v>
      </c>
      <c r="C5225" s="8">
        <f t="shared" si="41"/>
        <v>201.01942579970572</v>
      </c>
      <c r="D5225" s="9">
        <f t="shared" si="40"/>
        <v>76.040568111256761</v>
      </c>
      <c r="E5225" s="9"/>
      <c r="F5225" s="9"/>
      <c r="G5225" s="9"/>
      <c r="H5225" s="9"/>
      <c r="I5225" s="9"/>
    </row>
    <row r="5226" spans="1:9" ht="14.25" customHeight="1" x14ac:dyDescent="0.3">
      <c r="A5226" s="10">
        <v>44943</v>
      </c>
      <c r="B5226">
        <v>228.72489216556028</v>
      </c>
      <c r="C5226" s="8">
        <f t="shared" si="41"/>
        <v>201.05537807744548</v>
      </c>
      <c r="D5226" s="9">
        <f t="shared" si="40"/>
        <v>76.043305944054026</v>
      </c>
      <c r="E5226" s="9"/>
      <c r="F5226" s="9"/>
      <c r="G5226" s="9"/>
      <c r="H5226" s="9"/>
      <c r="I5226" s="9"/>
    </row>
    <row r="5227" spans="1:9" ht="14.25" customHeight="1" x14ac:dyDescent="0.3">
      <c r="A5227" s="10">
        <v>44944</v>
      </c>
      <c r="B5227">
        <v>228.77297409437756</v>
      </c>
      <c r="C5227" s="8">
        <f t="shared" si="41"/>
        <v>201.09133678524179</v>
      </c>
      <c r="D5227" s="9">
        <f t="shared" si="40"/>
        <v>76.046043776851292</v>
      </c>
      <c r="E5227" s="9"/>
      <c r="F5227" s="9"/>
      <c r="G5227" s="9"/>
      <c r="H5227" s="9"/>
      <c r="I5227" s="9"/>
    </row>
    <row r="5228" spans="1:9" ht="14.25" customHeight="1" x14ac:dyDescent="0.3">
      <c r="A5228" s="10">
        <v>44945</v>
      </c>
      <c r="B5228">
        <v>229.19807366087497</v>
      </c>
      <c r="C5228" s="8">
        <f t="shared" si="41"/>
        <v>201.12730192424465</v>
      </c>
      <c r="D5228" s="9">
        <f t="shared" si="40"/>
        <v>76.048781609648557</v>
      </c>
      <c r="E5228" s="9"/>
      <c r="F5228" s="9"/>
      <c r="G5228" s="9"/>
      <c r="H5228" s="9"/>
      <c r="I5228" s="9"/>
    </row>
    <row r="5229" spans="1:9" ht="14.25" customHeight="1" x14ac:dyDescent="0.3">
      <c r="A5229" s="10">
        <v>44946</v>
      </c>
      <c r="B5229">
        <v>229.84741017651638</v>
      </c>
      <c r="C5229" s="8">
        <f t="shared" si="41"/>
        <v>201.16327349560433</v>
      </c>
      <c r="D5229" s="9">
        <f t="shared" si="40"/>
        <v>76.051519442445823</v>
      </c>
      <c r="E5229" s="9"/>
      <c r="F5229" s="9"/>
      <c r="G5229" s="9"/>
      <c r="H5229" s="9"/>
      <c r="I5229" s="9"/>
    </row>
    <row r="5230" spans="1:9" ht="14.25" customHeight="1" x14ac:dyDescent="0.3">
      <c r="A5230" s="10">
        <v>44947</v>
      </c>
      <c r="B5230">
        <v>229.84730791330529</v>
      </c>
      <c r="C5230" s="8">
        <f t="shared" si="41"/>
        <v>201.19925150047101</v>
      </c>
      <c r="D5230" s="9">
        <f t="shared" si="40"/>
        <v>76.054257275243089</v>
      </c>
      <c r="E5230" s="9"/>
      <c r="F5230" s="9"/>
      <c r="G5230" s="9"/>
      <c r="H5230" s="9"/>
      <c r="I5230" s="9"/>
    </row>
    <row r="5231" spans="1:9" ht="14.25" customHeight="1" x14ac:dyDescent="0.3">
      <c r="A5231" s="10">
        <v>44948</v>
      </c>
      <c r="B5231">
        <v>229.8473346028988</v>
      </c>
      <c r="C5231" s="8">
        <f t="shared" si="41"/>
        <v>201.23523593999573</v>
      </c>
      <c r="D5231" s="9">
        <f t="shared" si="40"/>
        <v>76.056995108040354</v>
      </c>
      <c r="E5231" s="9"/>
      <c r="F5231" s="9"/>
      <c r="G5231" s="9"/>
      <c r="H5231" s="9"/>
      <c r="I5231" s="9"/>
    </row>
    <row r="5232" spans="1:9" ht="14.25" customHeight="1" x14ac:dyDescent="0.3">
      <c r="A5232" s="10">
        <v>44949</v>
      </c>
      <c r="B5232">
        <v>230.25041275108831</v>
      </c>
      <c r="C5232" s="8">
        <f t="shared" si="41"/>
        <v>201.27122681532907</v>
      </c>
      <c r="D5232" s="9">
        <f t="shared" si="40"/>
        <v>76.05973294083762</v>
      </c>
      <c r="E5232" s="9"/>
      <c r="F5232" s="9"/>
      <c r="G5232" s="9"/>
      <c r="H5232" s="9"/>
      <c r="I5232" s="9"/>
    </row>
    <row r="5233" spans="1:9" ht="14.25" customHeight="1" x14ac:dyDescent="0.3">
      <c r="A5233" s="10">
        <v>44950</v>
      </c>
      <c r="B5233">
        <v>231.51074919703632</v>
      </c>
      <c r="C5233" s="8">
        <f t="shared" si="41"/>
        <v>201.30722412762216</v>
      </c>
      <c r="D5233" s="9">
        <f t="shared" si="40"/>
        <v>76.062470773634885</v>
      </c>
      <c r="E5233" s="9"/>
      <c r="F5233" s="9"/>
      <c r="G5233" s="9"/>
      <c r="H5233" s="9"/>
      <c r="I5233" s="9"/>
    </row>
    <row r="5234" spans="1:9" ht="14.25" customHeight="1" x14ac:dyDescent="0.3">
      <c r="A5234" s="10">
        <v>44951</v>
      </c>
      <c r="B5234">
        <v>230.24990042731557</v>
      </c>
      <c r="C5234" s="8">
        <f t="shared" si="41"/>
        <v>201.3432278780262</v>
      </c>
      <c r="D5234" s="9">
        <f t="shared" si="40"/>
        <v>76.065208606432151</v>
      </c>
      <c r="E5234" s="9"/>
      <c r="F5234" s="9"/>
      <c r="G5234" s="9"/>
      <c r="H5234" s="9"/>
      <c r="I5234" s="9"/>
    </row>
    <row r="5235" spans="1:9" ht="14.25" customHeight="1" x14ac:dyDescent="0.3">
      <c r="A5235" s="10">
        <v>44952</v>
      </c>
      <c r="B5235">
        <v>250.50321080033189</v>
      </c>
      <c r="C5235" s="8">
        <f t="shared" si="41"/>
        <v>201.37923806769271</v>
      </c>
      <c r="D5235" s="9">
        <f t="shared" si="40"/>
        <v>76.067946439229416</v>
      </c>
      <c r="E5235" s="9"/>
      <c r="F5235" s="9"/>
      <c r="G5235" s="9"/>
      <c r="H5235" s="9"/>
      <c r="I5235" s="9"/>
    </row>
    <row r="5236" spans="1:9" ht="14.25" customHeight="1" x14ac:dyDescent="0.3">
      <c r="A5236" s="10">
        <v>44953</v>
      </c>
      <c r="B5236">
        <v>262.85048990527486</v>
      </c>
      <c r="C5236" s="8">
        <f t="shared" si="41"/>
        <v>201.41525469777324</v>
      </c>
      <c r="D5236" s="9">
        <f t="shared" si="40"/>
        <v>76.070684272026682</v>
      </c>
      <c r="E5236" s="9"/>
      <c r="F5236" s="9"/>
      <c r="G5236" s="9"/>
      <c r="H5236" s="9"/>
      <c r="I5236" s="9"/>
    </row>
    <row r="5237" spans="1:9" ht="14.25" customHeight="1" x14ac:dyDescent="0.3">
      <c r="A5237" s="10">
        <v>44954</v>
      </c>
      <c r="B5237">
        <v>250.62336847701221</v>
      </c>
      <c r="C5237" s="8">
        <f t="shared" si="41"/>
        <v>201.45127776941973</v>
      </c>
      <c r="D5237" s="9">
        <f t="shared" si="40"/>
        <v>76.073422104823948</v>
      </c>
      <c r="E5237" s="9"/>
      <c r="F5237" s="9"/>
      <c r="G5237" s="9"/>
      <c r="H5237" s="9"/>
      <c r="I5237" s="9"/>
    </row>
    <row r="5238" spans="1:9" ht="14.25" customHeight="1" x14ac:dyDescent="0.3">
      <c r="A5238" s="10">
        <v>44955</v>
      </c>
      <c r="B5238">
        <v>250.62337113999504</v>
      </c>
      <c r="C5238" s="8">
        <f t="shared" si="41"/>
        <v>201.48730728378425</v>
      </c>
      <c r="D5238" s="9">
        <f t="shared" si="40"/>
        <v>76.076159937621213</v>
      </c>
      <c r="E5238" s="9"/>
      <c r="F5238" s="9"/>
      <c r="G5238" s="9"/>
      <c r="H5238" s="9"/>
      <c r="I5238" s="9"/>
    </row>
    <row r="5239" spans="1:9" ht="14.25" customHeight="1" x14ac:dyDescent="0.3">
      <c r="A5239" s="10">
        <v>44956</v>
      </c>
      <c r="B5239">
        <v>269.50449469788794</v>
      </c>
      <c r="C5239" s="8">
        <f t="shared" si="41"/>
        <v>201.52334324201888</v>
      </c>
      <c r="D5239" s="9">
        <f t="shared" si="40"/>
        <v>76.078897770418479</v>
      </c>
      <c r="E5239" s="9"/>
      <c r="F5239" s="9"/>
      <c r="G5239" s="9"/>
      <c r="H5239" s="9"/>
      <c r="I5239" s="9"/>
    </row>
    <row r="5240" spans="1:9" ht="14.25" customHeight="1" x14ac:dyDescent="0.3">
      <c r="A5240" s="10">
        <v>44957</v>
      </c>
      <c r="B5240">
        <v>267.95016968877809</v>
      </c>
      <c r="C5240" s="8">
        <f t="shared" si="41"/>
        <v>201.55938564527651</v>
      </c>
      <c r="D5240" s="9">
        <f t="shared" si="40"/>
        <v>76.081635603215744</v>
      </c>
      <c r="E5240" s="9"/>
      <c r="F5240" s="9"/>
      <c r="G5240" s="9"/>
      <c r="H5240" s="9"/>
      <c r="I5240" s="9"/>
    </row>
    <row r="5241" spans="1:9" ht="14.25" customHeight="1" x14ac:dyDescent="0.3">
      <c r="A5241" s="10">
        <v>44958</v>
      </c>
      <c r="B5241">
        <v>267.19781920148773</v>
      </c>
      <c r="C5241" s="8">
        <f t="shared" si="41"/>
        <v>201.59543449470959</v>
      </c>
      <c r="D5241" s="9">
        <f t="shared" si="40"/>
        <v>76.08437343601301</v>
      </c>
      <c r="E5241" s="9"/>
      <c r="F5241" s="9"/>
      <c r="G5241" s="9"/>
      <c r="H5241" s="9"/>
      <c r="I5241" s="9"/>
    </row>
    <row r="5242" spans="1:9" ht="14.25" customHeight="1" x14ac:dyDescent="0.3">
      <c r="A5242" s="10">
        <v>44959</v>
      </c>
      <c r="B5242">
        <v>270.65008340386828</v>
      </c>
      <c r="C5242" s="8">
        <f t="shared" si="41"/>
        <v>201.63148979147101</v>
      </c>
      <c r="D5242" s="9">
        <f t="shared" si="40"/>
        <v>76.087111268810276</v>
      </c>
      <c r="E5242" s="9"/>
      <c r="F5242" s="9"/>
      <c r="G5242" s="9"/>
      <c r="H5242" s="9"/>
      <c r="I5242" s="9"/>
    </row>
    <row r="5243" spans="1:9" ht="14.25" customHeight="1" x14ac:dyDescent="0.3">
      <c r="A5243" s="10">
        <v>44960</v>
      </c>
      <c r="B5243">
        <v>275.50368311879259</v>
      </c>
      <c r="C5243" s="8">
        <f t="shared" si="41"/>
        <v>201.66755153671392</v>
      </c>
      <c r="D5243" s="9">
        <f t="shared" si="40"/>
        <v>76.089849101607541</v>
      </c>
      <c r="E5243" s="9"/>
      <c r="F5243" s="9"/>
      <c r="G5243" s="9"/>
      <c r="H5243" s="9"/>
      <c r="I5243" s="9"/>
    </row>
    <row r="5244" spans="1:9" ht="14.25" customHeight="1" x14ac:dyDescent="0.3">
      <c r="A5244" s="10">
        <v>44961</v>
      </c>
      <c r="B5244">
        <v>277.80964796107787</v>
      </c>
      <c r="C5244" s="8">
        <f t="shared" si="41"/>
        <v>201.70361973159163</v>
      </c>
      <c r="D5244" s="9">
        <f t="shared" si="40"/>
        <v>76.092586934404807</v>
      </c>
      <c r="E5244" s="9"/>
      <c r="F5244" s="9"/>
      <c r="G5244" s="9"/>
      <c r="H5244" s="9"/>
      <c r="I5244" s="9"/>
    </row>
    <row r="5245" spans="1:9" ht="14.25" customHeight="1" x14ac:dyDescent="0.3">
      <c r="A5245" s="10">
        <v>44962</v>
      </c>
      <c r="B5245">
        <v>277.80972447085452</v>
      </c>
      <c r="C5245" s="8">
        <f t="shared" si="41"/>
        <v>201.73969437725762</v>
      </c>
      <c r="D5245" s="9">
        <f t="shared" si="40"/>
        <v>76.095324767202072</v>
      </c>
      <c r="E5245" s="9"/>
      <c r="F5245" s="9"/>
      <c r="G5245" s="9"/>
      <c r="H5245" s="9"/>
      <c r="I5245" s="9"/>
    </row>
    <row r="5246" spans="1:9" ht="14.25" customHeight="1" x14ac:dyDescent="0.3">
      <c r="A5246" s="10">
        <v>44963</v>
      </c>
      <c r="B5246">
        <v>275.17506931920389</v>
      </c>
      <c r="C5246" s="8">
        <f t="shared" si="41"/>
        <v>201.77577547486567</v>
      </c>
      <c r="D5246" s="9">
        <f t="shared" si="40"/>
        <v>76.098062599999338</v>
      </c>
      <c r="E5246" s="9"/>
      <c r="F5246" s="9"/>
      <c r="G5246" s="9"/>
      <c r="H5246" s="9"/>
      <c r="I5246" s="9"/>
    </row>
    <row r="5247" spans="1:9" ht="14.25" customHeight="1" x14ac:dyDescent="0.3">
      <c r="A5247" s="10">
        <v>44964</v>
      </c>
      <c r="B5247">
        <v>276.49865602672287</v>
      </c>
      <c r="C5247" s="8">
        <f t="shared" si="41"/>
        <v>201.81186302556964</v>
      </c>
      <c r="D5247" s="9">
        <f t="shared" si="40"/>
        <v>76.100800432796603</v>
      </c>
      <c r="E5247" s="9"/>
      <c r="F5247" s="9"/>
      <c r="G5247" s="9"/>
      <c r="H5247" s="9"/>
      <c r="I5247" s="9"/>
    </row>
    <row r="5248" spans="1:9" ht="14.25" customHeight="1" x14ac:dyDescent="0.3">
      <c r="A5248" s="10">
        <v>44965</v>
      </c>
      <c r="B5248">
        <v>274.50277938746166</v>
      </c>
      <c r="C5248" s="8">
        <f t="shared" si="41"/>
        <v>201.8479570305235</v>
      </c>
      <c r="D5248" s="9">
        <f t="shared" si="40"/>
        <v>76.103538265593869</v>
      </c>
      <c r="E5248" s="9"/>
      <c r="F5248" s="9"/>
      <c r="G5248" s="9"/>
      <c r="H5248" s="9"/>
      <c r="I5248" s="9"/>
    </row>
    <row r="5249" spans="1:9" ht="14.25" customHeight="1" x14ac:dyDescent="0.3">
      <c r="A5249" s="10">
        <v>44966</v>
      </c>
      <c r="B5249">
        <v>269.55003184191514</v>
      </c>
      <c r="C5249" s="8">
        <f t="shared" si="41"/>
        <v>201.88405749088199</v>
      </c>
      <c r="D5249" s="9">
        <f t="shared" si="40"/>
        <v>76.106276098391135</v>
      </c>
      <c r="E5249" s="9"/>
      <c r="F5249" s="9"/>
      <c r="G5249" s="9"/>
      <c r="H5249" s="9"/>
      <c r="I5249" s="9"/>
    </row>
    <row r="5250" spans="1:9" ht="14.25" customHeight="1" x14ac:dyDescent="0.3">
      <c r="A5250" s="10">
        <v>44967</v>
      </c>
      <c r="B5250">
        <v>271.50363812587682</v>
      </c>
      <c r="C5250" s="8">
        <f t="shared" si="41"/>
        <v>201.92016440779946</v>
      </c>
      <c r="D5250" s="9">
        <f t="shared" si="40"/>
        <v>76.1090139311884</v>
      </c>
      <c r="E5250" s="9"/>
      <c r="F5250" s="9"/>
      <c r="G5250" s="9"/>
      <c r="H5250" s="9"/>
      <c r="I5250" s="9"/>
    </row>
    <row r="5251" spans="1:9" ht="14.25" customHeight="1" x14ac:dyDescent="0.3">
      <c r="A5251" s="10">
        <v>44968</v>
      </c>
      <c r="B5251">
        <v>269.27430878719576</v>
      </c>
      <c r="C5251" s="8">
        <f t="shared" si="41"/>
        <v>201.95627778243062</v>
      </c>
      <c r="D5251" s="9">
        <f t="shared" si="40"/>
        <v>76.111751763985666</v>
      </c>
      <c r="E5251" s="9"/>
      <c r="F5251" s="9"/>
      <c r="G5251" s="9"/>
      <c r="H5251" s="9"/>
      <c r="I5251" s="9"/>
    </row>
    <row r="5252" spans="1:9" ht="14.25" customHeight="1" x14ac:dyDescent="0.3">
      <c r="A5252" s="10">
        <v>44969</v>
      </c>
      <c r="B5252">
        <v>269.2744171846935</v>
      </c>
      <c r="C5252" s="8">
        <f t="shared" si="41"/>
        <v>201.99239761593051</v>
      </c>
      <c r="D5252" s="9">
        <f t="shared" si="40"/>
        <v>76.114489596782931</v>
      </c>
      <c r="E5252" s="9"/>
      <c r="F5252" s="9"/>
      <c r="G5252" s="9"/>
      <c r="H5252" s="9"/>
      <c r="I5252" s="9"/>
    </row>
    <row r="5253" spans="1:9" ht="14.25" customHeight="1" x14ac:dyDescent="0.3">
      <c r="A5253" s="10">
        <v>44970</v>
      </c>
      <c r="B5253">
        <v>267.02372955280856</v>
      </c>
      <c r="C5253" s="8">
        <f t="shared" si="41"/>
        <v>202.02852390945421</v>
      </c>
      <c r="D5253" s="9">
        <f t="shared" si="40"/>
        <v>76.117227429580197</v>
      </c>
      <c r="E5253" s="9"/>
      <c r="F5253" s="9"/>
      <c r="G5253" s="9"/>
      <c r="H5253" s="9"/>
      <c r="I5253" s="9"/>
    </row>
    <row r="5254" spans="1:9" ht="14.25" customHeight="1" x14ac:dyDescent="0.3">
      <c r="A5254" s="10">
        <v>44971</v>
      </c>
      <c r="B5254">
        <v>267.50321890111155</v>
      </c>
      <c r="C5254" s="8">
        <f t="shared" si="41"/>
        <v>202.06465666415716</v>
      </c>
      <c r="D5254" s="9">
        <f t="shared" si="40"/>
        <v>76.119965262377463</v>
      </c>
      <c r="E5254" s="9"/>
      <c r="F5254" s="9"/>
      <c r="G5254" s="9"/>
      <c r="H5254" s="9"/>
      <c r="I5254" s="9"/>
    </row>
    <row r="5255" spans="1:9" ht="14.25" customHeight="1" x14ac:dyDescent="0.3">
      <c r="A5255" s="10">
        <v>44972</v>
      </c>
      <c r="B5255">
        <v>265.85944885792901</v>
      </c>
      <c r="C5255" s="8">
        <f t="shared" si="41"/>
        <v>202.10079588119493</v>
      </c>
      <c r="D5255" s="9">
        <f t="shared" si="40"/>
        <v>76.122703095174728</v>
      </c>
      <c r="E5255" s="9"/>
      <c r="F5255" s="9"/>
      <c r="G5255" s="9"/>
      <c r="H5255" s="9"/>
      <c r="I5255" s="9"/>
    </row>
    <row r="5256" spans="1:9" ht="14.25" customHeight="1" x14ac:dyDescent="0.3">
      <c r="A5256" s="10">
        <v>44973</v>
      </c>
      <c r="B5256">
        <v>264.24005606836965</v>
      </c>
      <c r="C5256" s="8">
        <f t="shared" si="41"/>
        <v>202.13694156172326</v>
      </c>
      <c r="D5256" s="9">
        <f t="shared" si="40"/>
        <v>76.125440927971994</v>
      </c>
      <c r="E5256" s="9"/>
      <c r="F5256" s="9"/>
      <c r="G5256" s="9"/>
      <c r="H5256" s="9"/>
      <c r="I5256" s="9"/>
    </row>
    <row r="5257" spans="1:9" ht="14.25" customHeight="1" x14ac:dyDescent="0.3">
      <c r="A5257" s="10">
        <v>44974</v>
      </c>
      <c r="B5257">
        <v>262.95043018406079</v>
      </c>
      <c r="C5257" s="8">
        <f t="shared" si="41"/>
        <v>202.17309370689804</v>
      </c>
      <c r="D5257" s="9">
        <f t="shared" si="40"/>
        <v>76.128178760769259</v>
      </c>
      <c r="E5257" s="9"/>
      <c r="F5257" s="9"/>
      <c r="G5257" s="9"/>
      <c r="H5257" s="9"/>
      <c r="I5257" s="9"/>
    </row>
    <row r="5258" spans="1:9" ht="14.25" customHeight="1" x14ac:dyDescent="0.3">
      <c r="A5258" s="10">
        <v>44975</v>
      </c>
      <c r="B5258">
        <v>260.40238480797285</v>
      </c>
      <c r="C5258" s="8">
        <f t="shared" si="41"/>
        <v>202.20925231787578</v>
      </c>
      <c r="D5258" s="9">
        <f t="shared" si="40"/>
        <v>76.130916593566525</v>
      </c>
      <c r="E5258" s="9"/>
      <c r="F5258" s="9"/>
      <c r="G5258" s="9"/>
      <c r="H5258" s="9"/>
      <c r="I5258" s="9"/>
    </row>
    <row r="5259" spans="1:9" ht="14.25" customHeight="1" x14ac:dyDescent="0.3">
      <c r="A5259" s="10">
        <v>44976</v>
      </c>
      <c r="B5259">
        <v>261.26865245598469</v>
      </c>
      <c r="C5259" s="8">
        <f t="shared" si="41"/>
        <v>202.24541739581272</v>
      </c>
      <c r="D5259" s="9">
        <f t="shared" si="40"/>
        <v>76.13365442636379</v>
      </c>
      <c r="E5259" s="9"/>
      <c r="F5259" s="9"/>
      <c r="G5259" s="9"/>
      <c r="H5259" s="9"/>
      <c r="I5259" s="9"/>
    </row>
    <row r="5260" spans="1:9" ht="14.25" customHeight="1" x14ac:dyDescent="0.3">
      <c r="A5260" s="10">
        <v>44977</v>
      </c>
      <c r="B5260">
        <v>261.6788552857339</v>
      </c>
      <c r="C5260" s="8">
        <f t="shared" si="41"/>
        <v>202.28158894186544</v>
      </c>
      <c r="D5260" s="9">
        <f t="shared" si="40"/>
        <v>76.136392259161056</v>
      </c>
      <c r="E5260" s="9"/>
      <c r="F5260" s="9"/>
      <c r="G5260" s="9"/>
      <c r="H5260" s="9"/>
      <c r="I5260" s="9"/>
    </row>
    <row r="5261" spans="1:9" ht="14.25" customHeight="1" x14ac:dyDescent="0.3">
      <c r="A5261" s="10">
        <v>44978</v>
      </c>
      <c r="B5261">
        <v>262.45307731088178</v>
      </c>
      <c r="C5261" s="8">
        <f t="shared" si="41"/>
        <v>202.31776695719083</v>
      </c>
      <c r="D5261" s="9">
        <f t="shared" si="40"/>
        <v>76.139130091958322</v>
      </c>
      <c r="E5261" s="9"/>
      <c r="F5261" s="9"/>
      <c r="G5261" s="9"/>
      <c r="H5261" s="9"/>
      <c r="I5261" s="9"/>
    </row>
    <row r="5262" spans="1:9" ht="14.25" customHeight="1" x14ac:dyDescent="0.3">
      <c r="A5262" s="10">
        <v>44979</v>
      </c>
      <c r="B5262">
        <v>261.69346644590195</v>
      </c>
      <c r="C5262" s="8">
        <f t="shared" si="41"/>
        <v>202.35395144294586</v>
      </c>
      <c r="D5262" s="9">
        <f t="shared" si="40"/>
        <v>76.141867924755587</v>
      </c>
      <c r="E5262" s="9"/>
      <c r="F5262" s="9"/>
      <c r="G5262" s="9"/>
      <c r="H5262" s="9"/>
      <c r="I5262" s="9"/>
    </row>
    <row r="5263" spans="1:9" ht="14.25" customHeight="1" x14ac:dyDescent="0.3">
      <c r="A5263" s="10">
        <v>44980</v>
      </c>
      <c r="B5263">
        <v>260.94949840917582</v>
      </c>
      <c r="C5263" s="8">
        <f t="shared" si="41"/>
        <v>202.39014240028777</v>
      </c>
      <c r="D5263" s="9">
        <f t="shared" si="40"/>
        <v>76.144605757552853</v>
      </c>
      <c r="E5263" s="9"/>
      <c r="F5263" s="9"/>
      <c r="G5263" s="9"/>
      <c r="H5263" s="9"/>
      <c r="I5263" s="9"/>
    </row>
    <row r="5264" spans="1:9" ht="14.25" customHeight="1" x14ac:dyDescent="0.3">
      <c r="A5264" s="10">
        <v>44981</v>
      </c>
      <c r="B5264">
        <v>260.1749431496645</v>
      </c>
      <c r="C5264" s="8">
        <f t="shared" si="41"/>
        <v>202.42633983037408</v>
      </c>
      <c r="D5264" s="9">
        <f t="shared" si="40"/>
        <v>76.147343590350118</v>
      </c>
      <c r="E5264" s="9"/>
      <c r="F5264" s="9"/>
      <c r="G5264" s="9"/>
      <c r="H5264" s="9"/>
      <c r="I5264" s="9"/>
    </row>
    <row r="5265" spans="1:9" ht="14.25" customHeight="1" x14ac:dyDescent="0.3">
      <c r="A5265" s="10">
        <v>44982</v>
      </c>
      <c r="B5265">
        <v>257.80154003136749</v>
      </c>
      <c r="C5265" s="8">
        <f t="shared" si="41"/>
        <v>202.46254373436233</v>
      </c>
      <c r="D5265" s="9">
        <f t="shared" si="40"/>
        <v>76.150081423147384</v>
      </c>
      <c r="E5265" s="9"/>
      <c r="F5265" s="9"/>
      <c r="G5265" s="9"/>
      <c r="H5265" s="9"/>
      <c r="I5265" s="9"/>
    </row>
    <row r="5266" spans="1:9" ht="14.25" customHeight="1" x14ac:dyDescent="0.3">
      <c r="A5266" s="10">
        <v>44983</v>
      </c>
      <c r="B5266">
        <v>257.8014346745548</v>
      </c>
      <c r="C5266" s="8">
        <f t="shared" si="41"/>
        <v>202.49875411341026</v>
      </c>
      <c r="D5266" s="9">
        <f t="shared" si="40"/>
        <v>76.15281925594465</v>
      </c>
      <c r="E5266" s="9"/>
      <c r="F5266" s="9"/>
      <c r="G5266" s="9"/>
      <c r="H5266" s="9"/>
      <c r="I5266" s="9"/>
    </row>
    <row r="5267" spans="1:9" ht="14.25" customHeight="1" x14ac:dyDescent="0.3">
      <c r="A5267" s="10">
        <v>44984</v>
      </c>
      <c r="B5267">
        <v>260.00025731631337</v>
      </c>
      <c r="C5267" s="8">
        <f t="shared" si="41"/>
        <v>202.53497096867625</v>
      </c>
      <c r="D5267" s="9">
        <f t="shared" si="40"/>
        <v>76.155557088741915</v>
      </c>
      <c r="E5267" s="9"/>
      <c r="F5267" s="9"/>
      <c r="G5267" s="9"/>
      <c r="H5267" s="9"/>
      <c r="I5267" s="9"/>
    </row>
    <row r="5268" spans="1:9" ht="14.25" customHeight="1" x14ac:dyDescent="0.3">
      <c r="A5268" s="10">
        <v>44985</v>
      </c>
      <c r="B5268">
        <v>261.57511397522518</v>
      </c>
      <c r="C5268" s="8">
        <f t="shared" si="41"/>
        <v>202.57119430131846</v>
      </c>
      <c r="D5268" s="9">
        <f t="shared" si="40"/>
        <v>76.158294921539181</v>
      </c>
      <c r="E5268" s="9"/>
      <c r="F5268" s="9"/>
      <c r="G5268" s="9"/>
      <c r="H5268" s="9"/>
      <c r="I5268" s="9"/>
    </row>
    <row r="5269" spans="1:9" ht="14.25" customHeight="1" x14ac:dyDescent="0.3">
      <c r="A5269" s="10">
        <v>44986</v>
      </c>
      <c r="B5269">
        <v>266.22999308280208</v>
      </c>
      <c r="C5269" s="8">
        <f t="shared" si="41"/>
        <v>202.60742411249527</v>
      </c>
      <c r="D5269" s="9">
        <f t="shared" si="40"/>
        <v>76.161032754336446</v>
      </c>
      <c r="E5269" s="9"/>
      <c r="F5269" s="9"/>
      <c r="G5269" s="9"/>
      <c r="H5269" s="9"/>
      <c r="I5269" s="9"/>
    </row>
    <row r="5270" spans="1:9" ht="14.25" customHeight="1" x14ac:dyDescent="0.3">
      <c r="A5270" s="10">
        <v>44987</v>
      </c>
      <c r="B5270">
        <v>281.84978489348447</v>
      </c>
      <c r="C5270" s="8">
        <f t="shared" si="41"/>
        <v>202.64366040336543</v>
      </c>
      <c r="D5270" s="9">
        <f t="shared" si="40"/>
        <v>76.163770587133712</v>
      </c>
      <c r="E5270" s="9"/>
      <c r="F5270" s="9"/>
      <c r="G5270" s="9"/>
      <c r="H5270" s="9"/>
      <c r="I5270" s="9"/>
    </row>
    <row r="5271" spans="1:9" ht="14.25" customHeight="1" x14ac:dyDescent="0.3">
      <c r="A5271" s="10">
        <v>44988</v>
      </c>
      <c r="B5271">
        <v>278.90372395219538</v>
      </c>
      <c r="C5271" s="8">
        <f t="shared" si="41"/>
        <v>202.67990317508782</v>
      </c>
      <c r="D5271" s="9">
        <f t="shared" si="40"/>
        <v>76.166508419930977</v>
      </c>
      <c r="E5271" s="9"/>
      <c r="F5271" s="9"/>
      <c r="G5271" s="9"/>
      <c r="H5271" s="9"/>
      <c r="I5271" s="9"/>
    </row>
    <row r="5272" spans="1:9" ht="14.25" customHeight="1" x14ac:dyDescent="0.3">
      <c r="A5272" s="10">
        <v>44989</v>
      </c>
      <c r="B5272">
        <v>278.90369373691925</v>
      </c>
      <c r="C5272" s="8">
        <f t="shared" si="41"/>
        <v>202.71615242882154</v>
      </c>
      <c r="D5272" s="9">
        <f t="shared" si="40"/>
        <v>76.169246252728243</v>
      </c>
      <c r="E5272" s="9"/>
      <c r="F5272" s="9"/>
      <c r="G5272" s="9"/>
      <c r="H5272" s="9"/>
      <c r="I5272" s="9"/>
    </row>
    <row r="5273" spans="1:9" ht="14.25" customHeight="1" x14ac:dyDescent="0.3">
      <c r="A5273" s="10">
        <v>44990</v>
      </c>
      <c r="B5273">
        <v>278.8962960802009</v>
      </c>
      <c r="C5273" s="8">
        <f t="shared" si="41"/>
        <v>202.75240816572588</v>
      </c>
      <c r="D5273" s="9">
        <f t="shared" si="40"/>
        <v>76.171984085525509</v>
      </c>
      <c r="E5273" s="9"/>
      <c r="F5273" s="9"/>
      <c r="G5273" s="9"/>
      <c r="H5273" s="9"/>
      <c r="I5273" s="9"/>
    </row>
    <row r="5274" spans="1:9" ht="14.25" customHeight="1" x14ac:dyDescent="0.3">
      <c r="A5274" s="10">
        <v>44991</v>
      </c>
      <c r="B5274">
        <v>275.69792759350253</v>
      </c>
      <c r="C5274" s="8">
        <f t="shared" si="41"/>
        <v>202.7886703869604</v>
      </c>
      <c r="D5274" s="9">
        <f t="shared" si="40"/>
        <v>76.174721918322774</v>
      </c>
      <c r="E5274" s="9"/>
      <c r="F5274" s="9"/>
      <c r="G5274" s="9"/>
      <c r="H5274" s="9"/>
      <c r="I5274" s="9"/>
    </row>
    <row r="5275" spans="1:9" ht="14.25" customHeight="1" x14ac:dyDescent="0.3">
      <c r="A5275" s="10">
        <v>44992</v>
      </c>
      <c r="B5275">
        <v>276.29857146919704</v>
      </c>
      <c r="C5275" s="8">
        <f t="shared" si="41"/>
        <v>202.82493909368461</v>
      </c>
      <c r="D5275" s="9">
        <f t="shared" si="40"/>
        <v>76.17745975112004</v>
      </c>
      <c r="E5275" s="9"/>
      <c r="F5275" s="9"/>
      <c r="G5275" s="9"/>
      <c r="H5275" s="9"/>
      <c r="I5275" s="9"/>
    </row>
    <row r="5276" spans="1:9" ht="14.25" customHeight="1" x14ac:dyDescent="0.3">
      <c r="A5276" s="10">
        <v>44993</v>
      </c>
      <c r="B5276">
        <v>278.25012038462415</v>
      </c>
      <c r="C5276" s="8">
        <f t="shared" si="41"/>
        <v>202.86121428705877</v>
      </c>
      <c r="D5276" s="9">
        <f t="shared" si="40"/>
        <v>76.180197583917305</v>
      </c>
      <c r="E5276" s="9"/>
      <c r="F5276" s="9"/>
      <c r="G5276" s="9"/>
      <c r="H5276" s="9"/>
      <c r="I5276" s="9"/>
    </row>
    <row r="5277" spans="1:9" ht="14.25" customHeight="1" x14ac:dyDescent="0.3">
      <c r="A5277" s="10">
        <v>44994</v>
      </c>
      <c r="B5277">
        <v>283.15012716876601</v>
      </c>
      <c r="C5277" s="8">
        <f t="shared" si="41"/>
        <v>202.89749596824288</v>
      </c>
      <c r="D5277" s="9">
        <f t="shared" si="40"/>
        <v>76.182935416714571</v>
      </c>
      <c r="E5277" s="9"/>
      <c r="F5277" s="9"/>
      <c r="G5277" s="9"/>
      <c r="H5277" s="9"/>
      <c r="I5277" s="9"/>
    </row>
    <row r="5278" spans="1:9" ht="14.25" customHeight="1" x14ac:dyDescent="0.3">
      <c r="A5278" s="10">
        <v>44995</v>
      </c>
      <c r="B5278">
        <v>279.2201382496695</v>
      </c>
      <c r="C5278" s="8">
        <f t="shared" si="41"/>
        <v>202.93378413839724</v>
      </c>
      <c r="D5278" s="9">
        <f t="shared" si="40"/>
        <v>76.185673249511837</v>
      </c>
      <c r="E5278" s="9"/>
      <c r="F5278" s="9"/>
      <c r="G5278" s="9"/>
      <c r="H5278" s="9"/>
      <c r="I5278" s="9"/>
    </row>
    <row r="5279" spans="1:9" ht="14.25" customHeight="1" x14ac:dyDescent="0.3">
      <c r="A5279" s="10">
        <v>44996</v>
      </c>
      <c r="B5279">
        <v>279.29885536329715</v>
      </c>
      <c r="C5279" s="8">
        <f t="shared" si="41"/>
        <v>202.97007879868241</v>
      </c>
      <c r="D5279" s="9">
        <f t="shared" si="40"/>
        <v>76.188411082309102</v>
      </c>
      <c r="E5279" s="9"/>
      <c r="F5279" s="9"/>
      <c r="G5279" s="9"/>
      <c r="H5279" s="9"/>
      <c r="I5279" s="9"/>
    </row>
    <row r="5280" spans="1:9" ht="14.25" customHeight="1" x14ac:dyDescent="0.3">
      <c r="A5280" s="10">
        <v>44997</v>
      </c>
      <c r="B5280">
        <v>279.29892514585833</v>
      </c>
      <c r="C5280" s="8">
        <f t="shared" si="41"/>
        <v>203.00637995025923</v>
      </c>
      <c r="D5280" s="9">
        <f t="shared" si="40"/>
        <v>76.191148915106368</v>
      </c>
      <c r="E5280" s="9"/>
      <c r="F5280" s="9"/>
      <c r="G5280" s="9"/>
      <c r="H5280" s="9"/>
      <c r="I5280" s="9"/>
    </row>
    <row r="5281" spans="1:9" ht="14.25" customHeight="1" x14ac:dyDescent="0.3">
      <c r="A5281" s="10">
        <v>44998</v>
      </c>
      <c r="B5281">
        <v>281.95022796175425</v>
      </c>
      <c r="C5281" s="8">
        <f t="shared" si="41"/>
        <v>203.04268759428854</v>
      </c>
      <c r="D5281" s="9">
        <f t="shared" si="40"/>
        <v>76.193886747903633</v>
      </c>
      <c r="E5281" s="9"/>
      <c r="F5281" s="9"/>
      <c r="G5281" s="9"/>
      <c r="H5281" s="9"/>
      <c r="I5281" s="9"/>
    </row>
    <row r="5282" spans="1:9" ht="14.25" customHeight="1" x14ac:dyDescent="0.3">
      <c r="A5282" s="10">
        <v>44999</v>
      </c>
      <c r="B5282">
        <v>281.6498053096355</v>
      </c>
      <c r="C5282" s="8">
        <f t="shared" si="41"/>
        <v>203.07900173193161</v>
      </c>
      <c r="D5282" s="9">
        <f t="shared" si="40"/>
        <v>76.196624580700899</v>
      </c>
      <c r="E5282" s="9"/>
      <c r="F5282" s="9"/>
      <c r="G5282" s="9"/>
      <c r="H5282" s="9"/>
      <c r="I5282" s="9"/>
    </row>
    <row r="5283" spans="1:9" ht="14.25" customHeight="1" x14ac:dyDescent="0.3">
      <c r="A5283" s="10">
        <v>45000</v>
      </c>
      <c r="B5283">
        <v>283.37513335053075</v>
      </c>
      <c r="C5283" s="8">
        <f t="shared" si="41"/>
        <v>203.11532236434977</v>
      </c>
      <c r="D5283" s="9">
        <f t="shared" si="40"/>
        <v>76.199362413498164</v>
      </c>
      <c r="E5283" s="9"/>
      <c r="F5283" s="9"/>
      <c r="G5283" s="9"/>
      <c r="H5283" s="9"/>
      <c r="I5283" s="9"/>
    </row>
    <row r="5284" spans="1:9" ht="14.25" customHeight="1" x14ac:dyDescent="0.3">
      <c r="A5284" s="10">
        <v>45001</v>
      </c>
      <c r="B5284">
        <v>283.37513084393038</v>
      </c>
      <c r="C5284" s="8">
        <f t="shared" si="41"/>
        <v>203.15164949270448</v>
      </c>
      <c r="D5284" s="9">
        <f t="shared" si="40"/>
        <v>76.20210024629543</v>
      </c>
      <c r="E5284" s="9"/>
      <c r="F5284" s="9"/>
      <c r="G5284" s="9"/>
      <c r="H5284" s="9"/>
      <c r="I5284" s="9"/>
    </row>
    <row r="5285" spans="1:9" ht="14.25" customHeight="1" x14ac:dyDescent="0.3">
      <c r="A5285" s="10">
        <v>45002</v>
      </c>
      <c r="B5285">
        <v>281.85025078798492</v>
      </c>
      <c r="C5285" s="8">
        <f t="shared" si="41"/>
        <v>203.18798311815783</v>
      </c>
      <c r="D5285" s="9">
        <f t="shared" si="40"/>
        <v>76.204838079092696</v>
      </c>
      <c r="E5285" s="9"/>
      <c r="F5285" s="9"/>
      <c r="G5285" s="9"/>
      <c r="H5285" s="9"/>
      <c r="I5285" s="9"/>
    </row>
    <row r="5286" spans="1:9" ht="14.25" customHeight="1" x14ac:dyDescent="0.3">
      <c r="A5286" s="10">
        <v>45003</v>
      </c>
      <c r="B5286">
        <v>277.80999822360451</v>
      </c>
      <c r="C5286" s="8">
        <f t="shared" si="41"/>
        <v>203.22432324187167</v>
      </c>
      <c r="D5286" s="9">
        <f t="shared" si="40"/>
        <v>76.207575911889961</v>
      </c>
      <c r="E5286" s="9"/>
      <c r="F5286" s="9"/>
      <c r="G5286" s="9"/>
      <c r="H5286" s="9"/>
      <c r="I5286" s="9"/>
    </row>
    <row r="5287" spans="1:9" ht="14.25" customHeight="1" x14ac:dyDescent="0.3">
      <c r="A5287" s="10">
        <v>45004</v>
      </c>
      <c r="B5287">
        <v>277.8102251369354</v>
      </c>
      <c r="C5287" s="8">
        <f t="shared" si="41"/>
        <v>203.26066986500823</v>
      </c>
      <c r="D5287" s="9">
        <f t="shared" si="40"/>
        <v>76.210313744687227</v>
      </c>
      <c r="E5287" s="9"/>
      <c r="F5287" s="9"/>
      <c r="G5287" s="9"/>
      <c r="H5287" s="9"/>
      <c r="I5287" s="9"/>
    </row>
    <row r="5288" spans="1:9" ht="14.25" customHeight="1" x14ac:dyDescent="0.3">
      <c r="A5288" s="10">
        <v>45005</v>
      </c>
      <c r="B5288">
        <v>281.88492088666646</v>
      </c>
      <c r="C5288" s="8">
        <f t="shared" si="41"/>
        <v>203.29702298872991</v>
      </c>
      <c r="D5288" s="9">
        <f t="shared" si="40"/>
        <v>76.213051577484492</v>
      </c>
      <c r="E5288" s="9"/>
      <c r="F5288" s="9"/>
      <c r="G5288" s="9"/>
      <c r="H5288" s="9"/>
      <c r="I5288" s="9"/>
    </row>
    <row r="5289" spans="1:9" ht="14.25" customHeight="1" x14ac:dyDescent="0.3">
      <c r="A5289" s="10">
        <v>45006</v>
      </c>
      <c r="B5289">
        <v>281.61591495736457</v>
      </c>
      <c r="C5289" s="8">
        <f t="shared" si="41"/>
        <v>203.33338261419934</v>
      </c>
      <c r="D5289" s="9">
        <f t="shared" si="40"/>
        <v>76.215789410281758</v>
      </c>
      <c r="E5289" s="9"/>
      <c r="F5289" s="9"/>
      <c r="G5289" s="9"/>
      <c r="H5289" s="9"/>
      <c r="I5289" s="9"/>
    </row>
    <row r="5290" spans="1:9" ht="14.25" customHeight="1" x14ac:dyDescent="0.3">
      <c r="A5290" s="10">
        <v>45007</v>
      </c>
      <c r="B5290">
        <v>283.01973681789582</v>
      </c>
      <c r="C5290" s="8">
        <f t="shared" si="41"/>
        <v>203.36974874257939</v>
      </c>
      <c r="D5290" s="9">
        <f t="shared" si="40"/>
        <v>76.218527243079023</v>
      </c>
      <c r="E5290" s="9"/>
      <c r="F5290" s="9"/>
      <c r="G5290" s="9"/>
      <c r="H5290" s="9"/>
      <c r="I5290" s="9"/>
    </row>
    <row r="5291" spans="1:9" ht="14.25" customHeight="1" x14ac:dyDescent="0.3">
      <c r="A5291" s="10">
        <v>45008</v>
      </c>
      <c r="B5291">
        <v>282.5477431364713</v>
      </c>
      <c r="C5291" s="8">
        <f t="shared" si="41"/>
        <v>203.40612137503305</v>
      </c>
      <c r="D5291" s="9">
        <f t="shared" si="40"/>
        <v>76.221265075876289</v>
      </c>
      <c r="E5291" s="9"/>
      <c r="F5291" s="9"/>
      <c r="G5291" s="9"/>
      <c r="H5291" s="9"/>
      <c r="I5291" s="9"/>
    </row>
    <row r="5292" spans="1:9" ht="14.25" customHeight="1" x14ac:dyDescent="0.3">
      <c r="A5292" s="10">
        <v>45009</v>
      </c>
      <c r="B5292">
        <v>283.11632063937901</v>
      </c>
      <c r="C5292" s="8">
        <f t="shared" si="41"/>
        <v>203.4425005127236</v>
      </c>
      <c r="D5292" s="9">
        <f t="shared" si="40"/>
        <v>76.224002908673555</v>
      </c>
      <c r="E5292" s="9"/>
      <c r="F5292" s="9"/>
      <c r="G5292" s="9"/>
      <c r="H5292" s="9"/>
      <c r="I5292" s="9"/>
    </row>
    <row r="5293" spans="1:9" ht="14.25" customHeight="1" x14ac:dyDescent="0.3">
      <c r="A5293" s="10">
        <v>45010</v>
      </c>
      <c r="B5293">
        <v>283.1163813972297</v>
      </c>
      <c r="C5293" s="8">
        <f t="shared" si="41"/>
        <v>203.47888615681435</v>
      </c>
      <c r="D5293" s="9">
        <f t="shared" si="40"/>
        <v>76.22674074147082</v>
      </c>
      <c r="E5293" s="9"/>
      <c r="F5293" s="9"/>
      <c r="G5293" s="9"/>
      <c r="H5293" s="9"/>
      <c r="I5293" s="9"/>
    </row>
    <row r="5294" spans="1:9" ht="14.25" customHeight="1" x14ac:dyDescent="0.3">
      <c r="A5294" s="10">
        <v>45011</v>
      </c>
      <c r="B5294">
        <v>283.11631141836403</v>
      </c>
      <c r="C5294" s="8">
        <f t="shared" si="41"/>
        <v>203.51527830846928</v>
      </c>
      <c r="D5294" s="9">
        <f t="shared" si="40"/>
        <v>76.229478574268086</v>
      </c>
      <c r="E5294" s="9"/>
      <c r="F5294" s="9"/>
      <c r="G5294" s="9"/>
      <c r="H5294" s="9"/>
      <c r="I5294" s="9"/>
    </row>
    <row r="5295" spans="1:9" ht="14.25" customHeight="1" x14ac:dyDescent="0.3">
      <c r="A5295" s="10">
        <v>45012</v>
      </c>
      <c r="B5295">
        <v>283.64962079150746</v>
      </c>
      <c r="C5295" s="8">
        <f t="shared" si="41"/>
        <v>203.55167696885209</v>
      </c>
      <c r="D5295" s="9">
        <f t="shared" si="40"/>
        <v>76.232216407065351</v>
      </c>
      <c r="E5295" s="9"/>
      <c r="F5295" s="9"/>
      <c r="G5295" s="9"/>
      <c r="H5295" s="9"/>
      <c r="I5295" s="9"/>
    </row>
    <row r="5296" spans="1:9" ht="14.25" customHeight="1" x14ac:dyDescent="0.3">
      <c r="A5296" s="10">
        <v>45013</v>
      </c>
      <c r="B5296">
        <v>283.15889771669362</v>
      </c>
      <c r="C5296" s="8">
        <f t="shared" si="41"/>
        <v>203.5880821391269</v>
      </c>
      <c r="D5296" s="9">
        <f t="shared" si="40"/>
        <v>76.234954239862617</v>
      </c>
      <c r="E5296" s="9"/>
      <c r="F5296" s="9"/>
      <c r="G5296" s="9"/>
      <c r="H5296" s="9"/>
      <c r="I5296" s="9"/>
    </row>
    <row r="5297" spans="1:9" ht="14.25" customHeight="1" x14ac:dyDescent="0.3">
      <c r="A5297" s="10">
        <v>45014</v>
      </c>
      <c r="B5297">
        <v>283.41986926465057</v>
      </c>
      <c r="C5297" s="8">
        <f t="shared" si="41"/>
        <v>203.62449382045793</v>
      </c>
      <c r="D5297" s="9">
        <f t="shared" si="40"/>
        <v>76.237692072659883</v>
      </c>
      <c r="E5297" s="9"/>
      <c r="F5297" s="9"/>
      <c r="G5297" s="9"/>
      <c r="H5297" s="9"/>
      <c r="I5297" s="9"/>
    </row>
    <row r="5298" spans="1:9" ht="14.25" customHeight="1" x14ac:dyDescent="0.3">
      <c r="A5298" s="10">
        <v>45015</v>
      </c>
      <c r="B5298">
        <v>283.74977646658556</v>
      </c>
      <c r="C5298" s="8">
        <f t="shared" si="41"/>
        <v>203.6609120140098</v>
      </c>
      <c r="D5298" s="9">
        <f t="shared" si="40"/>
        <v>76.240429905457148</v>
      </c>
      <c r="E5298" s="9"/>
      <c r="F5298" s="9"/>
      <c r="G5298" s="9"/>
      <c r="H5298" s="9"/>
      <c r="I5298" s="9"/>
    </row>
    <row r="5299" spans="1:9" ht="14.25" customHeight="1" x14ac:dyDescent="0.3">
      <c r="A5299" s="10">
        <v>45016</v>
      </c>
      <c r="B5299">
        <v>283.80365937796097</v>
      </c>
      <c r="C5299" s="8">
        <f t="shared" si="41"/>
        <v>203.69733672094708</v>
      </c>
      <c r="D5299" s="9">
        <f t="shared" si="40"/>
        <v>76.243167738254414</v>
      </c>
      <c r="E5299" s="9"/>
      <c r="F5299" s="9"/>
      <c r="G5299" s="9"/>
      <c r="H5299" s="9"/>
      <c r="I5299" s="9"/>
    </row>
    <row r="5300" spans="1:9" ht="14.25" customHeight="1" x14ac:dyDescent="0.3">
      <c r="A5300" s="10">
        <v>45017</v>
      </c>
      <c r="B5300">
        <v>283.80365937796097</v>
      </c>
      <c r="C5300" s="8">
        <f t="shared" si="41"/>
        <v>203.73376794243484</v>
      </c>
      <c r="D5300" s="9">
        <f t="shared" si="40"/>
        <v>76.245905571051679</v>
      </c>
      <c r="E5300" s="9"/>
      <c r="F5300" s="9"/>
      <c r="G5300" s="9"/>
      <c r="H5300" s="9"/>
      <c r="I5300" s="9"/>
    </row>
    <row r="5301" spans="1:9" ht="14.25" customHeight="1" x14ac:dyDescent="0.3">
      <c r="A5301" s="10">
        <v>45018</v>
      </c>
      <c r="B5301">
        <v>283.80227602730787</v>
      </c>
      <c r="C5301" s="8">
        <f t="shared" si="41"/>
        <v>203.77020567963808</v>
      </c>
      <c r="D5301" s="9">
        <f t="shared" si="40"/>
        <v>76.248643403848945</v>
      </c>
      <c r="E5301" s="9"/>
      <c r="F5301" s="9"/>
      <c r="G5301" s="9"/>
      <c r="H5301" s="9"/>
      <c r="I5301" s="9"/>
    </row>
    <row r="5302" spans="1:9" ht="14.25" customHeight="1" x14ac:dyDescent="0.3">
      <c r="A5302" s="10">
        <v>45019</v>
      </c>
      <c r="B5302">
        <v>284.95010576986533</v>
      </c>
      <c r="C5302" s="8">
        <f t="shared" si="41"/>
        <v>203.80664993372199</v>
      </c>
      <c r="D5302" s="9">
        <f t="shared" si="40"/>
        <v>76.25138123664621</v>
      </c>
      <c r="E5302" s="9"/>
      <c r="F5302" s="9"/>
      <c r="G5302" s="9"/>
      <c r="H5302" s="9"/>
      <c r="I5302" s="9"/>
    </row>
    <row r="5303" spans="1:9" ht="14.25" customHeight="1" x14ac:dyDescent="0.3">
      <c r="A5303" s="10">
        <v>45020</v>
      </c>
      <c r="B5303">
        <v>287.00011954408984</v>
      </c>
      <c r="C5303" s="8">
        <f t="shared" si="41"/>
        <v>203.84310070585249</v>
      </c>
      <c r="D5303" s="9">
        <f t="shared" si="40"/>
        <v>76.254119069443476</v>
      </c>
      <c r="E5303" s="9"/>
      <c r="F5303" s="9"/>
      <c r="G5303" s="9"/>
      <c r="H5303" s="9"/>
      <c r="I5303" s="9"/>
    </row>
    <row r="5304" spans="1:9" ht="14.25" customHeight="1" x14ac:dyDescent="0.3">
      <c r="A5304" s="10">
        <v>45021</v>
      </c>
      <c r="B5304">
        <v>288.25044066155175</v>
      </c>
      <c r="C5304" s="8">
        <f t="shared" si="41"/>
        <v>203.87955799719515</v>
      </c>
      <c r="D5304" s="9">
        <f t="shared" si="40"/>
        <v>76.256856902240742</v>
      </c>
      <c r="E5304" s="9"/>
      <c r="F5304" s="9"/>
      <c r="G5304" s="9"/>
      <c r="H5304" s="9"/>
      <c r="I5304" s="9"/>
    </row>
    <row r="5305" spans="1:9" ht="14.25" customHeight="1" x14ac:dyDescent="0.3">
      <c r="A5305" s="10">
        <v>45022</v>
      </c>
      <c r="B5305">
        <v>287.87288376952995</v>
      </c>
      <c r="C5305" s="8">
        <f t="shared" si="41"/>
        <v>203.91602180891593</v>
      </c>
      <c r="D5305" s="9">
        <f t="shared" si="40"/>
        <v>76.259594735038007</v>
      </c>
      <c r="E5305" s="9"/>
      <c r="F5305" s="9"/>
      <c r="G5305" s="9"/>
      <c r="H5305" s="9"/>
      <c r="I5305" s="9"/>
    </row>
    <row r="5306" spans="1:9" ht="14.25" customHeight="1" x14ac:dyDescent="0.3">
      <c r="A5306" s="10">
        <v>45023</v>
      </c>
      <c r="B5306">
        <v>284.00038376858936</v>
      </c>
      <c r="C5306" s="8">
        <f t="shared" si="41"/>
        <v>203.95249214218094</v>
      </c>
      <c r="D5306" s="9">
        <f t="shared" si="40"/>
        <v>76.262332567835273</v>
      </c>
      <c r="E5306" s="9"/>
      <c r="F5306" s="9"/>
      <c r="G5306" s="9"/>
      <c r="H5306" s="9"/>
      <c r="I5306" s="9"/>
    </row>
    <row r="5307" spans="1:9" ht="14.25" customHeight="1" x14ac:dyDescent="0.3">
      <c r="A5307" s="10">
        <v>45024</v>
      </c>
      <c r="B5307">
        <v>279.05828189894515</v>
      </c>
      <c r="C5307" s="8">
        <f t="shared" si="41"/>
        <v>203.98896899815665</v>
      </c>
      <c r="D5307" s="9">
        <f t="shared" si="40"/>
        <v>76.265070400632538</v>
      </c>
      <c r="E5307" s="9"/>
      <c r="F5307" s="9"/>
      <c r="G5307" s="9"/>
      <c r="H5307" s="9"/>
      <c r="I5307" s="9"/>
    </row>
    <row r="5308" spans="1:9" ht="14.25" customHeight="1" x14ac:dyDescent="0.3">
      <c r="A5308" s="10">
        <v>45025</v>
      </c>
      <c r="B5308">
        <v>279.05815316351413</v>
      </c>
      <c r="C5308" s="8">
        <f t="shared" si="41"/>
        <v>204.02545237800962</v>
      </c>
      <c r="D5308" s="9">
        <f t="shared" si="40"/>
        <v>76.267808233429804</v>
      </c>
      <c r="E5308" s="9"/>
      <c r="F5308" s="9"/>
      <c r="G5308" s="9"/>
      <c r="H5308" s="9"/>
      <c r="I5308" s="9"/>
    </row>
    <row r="5309" spans="1:9" ht="14.25" customHeight="1" x14ac:dyDescent="0.3">
      <c r="A5309" s="10">
        <v>45026</v>
      </c>
      <c r="B5309">
        <v>286.5019132447693</v>
      </c>
      <c r="C5309" s="8">
        <f t="shared" si="41"/>
        <v>204.06194228290659</v>
      </c>
      <c r="D5309" s="9">
        <f t="shared" si="40"/>
        <v>76.27054606622707</v>
      </c>
      <c r="E5309" s="9"/>
      <c r="F5309" s="9"/>
      <c r="G5309" s="9"/>
      <c r="H5309" s="9"/>
      <c r="I5309" s="9"/>
    </row>
    <row r="5310" spans="1:9" ht="14.25" customHeight="1" x14ac:dyDescent="0.3">
      <c r="A5310" s="10">
        <v>45027</v>
      </c>
      <c r="B5310">
        <v>288.1248914552869</v>
      </c>
      <c r="C5310" s="8">
        <f t="shared" si="41"/>
        <v>204.09843871401461</v>
      </c>
      <c r="D5310" s="9">
        <f t="shared" si="40"/>
        <v>76.273283899024335</v>
      </c>
      <c r="E5310" s="9"/>
      <c r="F5310" s="9"/>
      <c r="G5310" s="9"/>
      <c r="H5310" s="9"/>
      <c r="I5310" s="9"/>
    </row>
    <row r="5311" spans="1:9" ht="14.25" customHeight="1" x14ac:dyDescent="0.3">
      <c r="A5311" s="10">
        <v>45028</v>
      </c>
      <c r="B5311">
        <v>287.87486848674047</v>
      </c>
      <c r="C5311" s="8">
        <f t="shared" si="41"/>
        <v>204.13494167250087</v>
      </c>
      <c r="D5311" s="9">
        <f t="shared" si="40"/>
        <v>76.276021731821601</v>
      </c>
      <c r="E5311" s="9"/>
      <c r="F5311" s="9"/>
      <c r="G5311" s="9"/>
      <c r="H5311" s="9"/>
      <c r="I5311" s="9"/>
    </row>
    <row r="5312" spans="1:9" ht="14.25" customHeight="1" x14ac:dyDescent="0.3">
      <c r="A5312" s="10">
        <v>45029</v>
      </c>
      <c r="B5312">
        <v>284.79644947069625</v>
      </c>
      <c r="C5312" s="8">
        <f t="shared" si="41"/>
        <v>204.17145115953264</v>
      </c>
      <c r="D5312" s="9">
        <f t="shared" si="40"/>
        <v>76.278759564618866</v>
      </c>
      <c r="E5312" s="9"/>
      <c r="F5312" s="9"/>
      <c r="G5312" s="9"/>
      <c r="H5312" s="9"/>
      <c r="I5312" s="9"/>
    </row>
    <row r="5313" spans="1:9" ht="14.25" customHeight="1" x14ac:dyDescent="0.3">
      <c r="A5313" s="10">
        <v>45030</v>
      </c>
      <c r="B5313">
        <v>284.45032358699746</v>
      </c>
      <c r="C5313" s="8">
        <f t="shared" si="41"/>
        <v>204.20796717627786</v>
      </c>
      <c r="D5313" s="9">
        <f t="shared" si="40"/>
        <v>76.281497397416132</v>
      </c>
      <c r="E5313" s="9"/>
      <c r="F5313" s="9"/>
      <c r="G5313" s="9"/>
      <c r="H5313" s="9"/>
      <c r="I5313" s="9"/>
    </row>
    <row r="5314" spans="1:9" ht="14.25" customHeight="1" x14ac:dyDescent="0.3">
      <c r="A5314" s="10">
        <v>45031</v>
      </c>
      <c r="B5314">
        <v>279.71646195938996</v>
      </c>
      <c r="C5314" s="8">
        <f t="shared" si="41"/>
        <v>204.24448972390422</v>
      </c>
      <c r="D5314" s="9">
        <f t="shared" si="40"/>
        <v>76.284235230213397</v>
      </c>
      <c r="E5314" s="9"/>
      <c r="F5314" s="9"/>
      <c r="G5314" s="9"/>
      <c r="H5314" s="9"/>
      <c r="I5314" s="9"/>
    </row>
    <row r="5315" spans="1:9" ht="14.25" customHeight="1" x14ac:dyDescent="0.3">
      <c r="A5315" s="10">
        <v>45032</v>
      </c>
      <c r="B5315">
        <v>279.71660970907016</v>
      </c>
      <c r="C5315" s="8">
        <f t="shared" si="41"/>
        <v>204.28101880357977</v>
      </c>
      <c r="D5315" s="9">
        <f t="shared" si="40"/>
        <v>76.286973063010663</v>
      </c>
      <c r="E5315" s="9"/>
      <c r="F5315" s="9"/>
      <c r="G5315" s="9"/>
      <c r="H5315" s="9"/>
      <c r="I5315" s="9"/>
    </row>
    <row r="5316" spans="1:9" ht="14.25" customHeight="1" x14ac:dyDescent="0.3">
      <c r="A5316" s="10">
        <v>45033</v>
      </c>
      <c r="B5316">
        <v>284.49667826695054</v>
      </c>
      <c r="C5316" s="8">
        <f t="shared" si="41"/>
        <v>204.3175544164728</v>
      </c>
      <c r="D5316" s="9">
        <f t="shared" si="40"/>
        <v>76.289710895807929</v>
      </c>
      <c r="E5316" s="9"/>
      <c r="F5316" s="9"/>
      <c r="G5316" s="9"/>
      <c r="H5316" s="9"/>
      <c r="I5316" s="9"/>
    </row>
    <row r="5317" spans="1:9" ht="14.25" customHeight="1" x14ac:dyDescent="0.3">
      <c r="A5317" s="10">
        <v>45034</v>
      </c>
      <c r="B5317">
        <v>283.85017078746279</v>
      </c>
      <c r="C5317" s="8">
        <f t="shared" si="41"/>
        <v>204.35409656375168</v>
      </c>
      <c r="D5317" s="9">
        <f t="shared" si="40"/>
        <v>76.292448728605194</v>
      </c>
      <c r="E5317" s="9"/>
      <c r="F5317" s="9"/>
      <c r="G5317" s="9"/>
      <c r="H5317" s="9"/>
      <c r="I5317" s="9"/>
    </row>
    <row r="5318" spans="1:9" ht="14.25" customHeight="1" x14ac:dyDescent="0.3">
      <c r="A5318" s="10">
        <v>45035</v>
      </c>
      <c r="B5318">
        <v>280.5823041284462</v>
      </c>
      <c r="C5318" s="8">
        <f t="shared" si="41"/>
        <v>204.39064524658514</v>
      </c>
      <c r="D5318" s="9">
        <f t="shared" si="40"/>
        <v>76.29518656140246</v>
      </c>
      <c r="E5318" s="9"/>
      <c r="F5318" s="9"/>
      <c r="G5318" s="9"/>
      <c r="H5318" s="9"/>
      <c r="I5318" s="9"/>
    </row>
    <row r="5319" spans="1:9" ht="14.25" customHeight="1" x14ac:dyDescent="0.3">
      <c r="A5319" s="10">
        <v>45036</v>
      </c>
      <c r="B5319">
        <v>283.50068105482359</v>
      </c>
      <c r="C5319" s="8">
        <f t="shared" si="41"/>
        <v>204.4272004661421</v>
      </c>
      <c r="D5319" s="9">
        <f t="shared" si="40"/>
        <v>76.297924394199725</v>
      </c>
      <c r="E5319" s="9"/>
      <c r="F5319" s="9"/>
      <c r="G5319" s="9"/>
      <c r="H5319" s="9"/>
      <c r="I5319" s="9"/>
    </row>
    <row r="5320" spans="1:9" ht="14.25" customHeight="1" x14ac:dyDescent="0.3">
      <c r="A5320" s="10">
        <v>45037</v>
      </c>
      <c r="B5320">
        <v>283.50362423969364</v>
      </c>
      <c r="C5320" s="8">
        <f t="shared" si="41"/>
        <v>204.46376222359154</v>
      </c>
      <c r="D5320" s="9">
        <f t="shared" si="40"/>
        <v>76.300662226996991</v>
      </c>
      <c r="E5320" s="9"/>
      <c r="F5320" s="9"/>
      <c r="G5320" s="9"/>
      <c r="H5320" s="9"/>
      <c r="I5320" s="9"/>
    </row>
    <row r="5321" spans="1:9" ht="14.25" customHeight="1" x14ac:dyDescent="0.3">
      <c r="A5321" s="10">
        <v>45038</v>
      </c>
      <c r="B5321">
        <v>283.50362423969364</v>
      </c>
      <c r="C5321" s="8">
        <f t="shared" si="41"/>
        <v>204.50033052010269</v>
      </c>
      <c r="D5321" s="9">
        <f t="shared" si="40"/>
        <v>76.303400059794257</v>
      </c>
      <c r="E5321" s="9"/>
      <c r="F5321" s="9"/>
      <c r="G5321" s="9"/>
      <c r="H5321" s="9"/>
      <c r="I5321" s="9"/>
    </row>
    <row r="5322" spans="1:9" ht="14.25" customHeight="1" x14ac:dyDescent="0.3">
      <c r="A5322" s="10">
        <v>45039</v>
      </c>
      <c r="B5322">
        <v>283.5027379227086</v>
      </c>
      <c r="C5322" s="8">
        <f t="shared" si="41"/>
        <v>204.53690535684538</v>
      </c>
      <c r="D5322" s="9">
        <f t="shared" si="40"/>
        <v>76.306137892591522</v>
      </c>
      <c r="E5322" s="9"/>
      <c r="F5322" s="9"/>
      <c r="G5322" s="9"/>
      <c r="H5322" s="9"/>
      <c r="I5322" s="9"/>
    </row>
    <row r="5323" spans="1:9" ht="14.25" customHeight="1" x14ac:dyDescent="0.3">
      <c r="A5323" s="10">
        <v>45040</v>
      </c>
      <c r="B5323">
        <v>279.06882733885169</v>
      </c>
      <c r="C5323" s="8">
        <f t="shared" si="41"/>
        <v>204.57348673498933</v>
      </c>
      <c r="D5323" s="9">
        <f t="shared" si="40"/>
        <v>76.308875725388802</v>
      </c>
      <c r="E5323" s="9"/>
      <c r="F5323" s="9"/>
      <c r="G5323" s="9"/>
      <c r="H5323" s="9"/>
      <c r="I5323" s="9"/>
    </row>
    <row r="5324" spans="1:9" ht="14.25" customHeight="1" x14ac:dyDescent="0.3">
      <c r="A5324" s="10">
        <v>45041</v>
      </c>
      <c r="B5324">
        <v>283.48023473135044</v>
      </c>
      <c r="C5324" s="8">
        <f t="shared" si="41"/>
        <v>204.61007465570415</v>
      </c>
      <c r="D5324" s="9">
        <f t="shared" si="40"/>
        <v>76.311613558186068</v>
      </c>
      <c r="E5324" s="9"/>
      <c r="F5324" s="9"/>
      <c r="G5324" s="9"/>
      <c r="H5324" s="9"/>
      <c r="I5324" s="9"/>
    </row>
    <row r="5325" spans="1:9" ht="14.25" customHeight="1" x14ac:dyDescent="0.3">
      <c r="A5325" s="10">
        <v>45042</v>
      </c>
      <c r="B5325">
        <v>283.79657146789128</v>
      </c>
      <c r="C5325" s="8">
        <f t="shared" si="41"/>
        <v>204.64666912016003</v>
      </c>
      <c r="D5325" s="9">
        <f t="shared" si="40"/>
        <v>76.314351390983333</v>
      </c>
      <c r="E5325" s="9"/>
      <c r="F5325" s="9"/>
      <c r="G5325" s="9"/>
      <c r="H5325" s="9"/>
      <c r="I5325" s="9"/>
    </row>
    <row r="5326" spans="1:9" ht="14.25" customHeight="1" x14ac:dyDescent="0.3">
      <c r="A5326" s="10">
        <v>45043</v>
      </c>
      <c r="B5326">
        <v>283.72491549131075</v>
      </c>
      <c r="C5326" s="8">
        <f t="shared" si="41"/>
        <v>204.68327012952747</v>
      </c>
      <c r="D5326" s="9">
        <f t="shared" si="40"/>
        <v>76.317089223780599</v>
      </c>
      <c r="E5326" s="9"/>
      <c r="F5326" s="9"/>
      <c r="G5326" s="9"/>
      <c r="H5326" s="9"/>
      <c r="I5326" s="9"/>
    </row>
    <row r="5327" spans="1:9" ht="14.25" customHeight="1" x14ac:dyDescent="0.3">
      <c r="A5327" s="10">
        <v>45044</v>
      </c>
      <c r="B5327">
        <v>283.703777164462</v>
      </c>
      <c r="C5327" s="8">
        <f t="shared" si="41"/>
        <v>204.71987768497692</v>
      </c>
      <c r="D5327" s="9">
        <f t="shared" si="40"/>
        <v>76.319827056577864</v>
      </c>
      <c r="E5327" s="9"/>
      <c r="F5327" s="9"/>
      <c r="G5327" s="9"/>
      <c r="H5327" s="9"/>
      <c r="I5327" s="9"/>
    </row>
    <row r="5328" spans="1:9" ht="14.25" customHeight="1" x14ac:dyDescent="0.3">
      <c r="A5328" s="10">
        <v>45045</v>
      </c>
      <c r="B5328">
        <v>279.96602178639057</v>
      </c>
      <c r="C5328" s="8">
        <f t="shared" si="41"/>
        <v>204.75649178767918</v>
      </c>
      <c r="D5328" s="9">
        <f t="shared" si="40"/>
        <v>76.32256488937513</v>
      </c>
      <c r="E5328" s="9"/>
      <c r="F5328" s="9"/>
      <c r="G5328" s="9"/>
      <c r="H5328" s="9"/>
      <c r="I5328" s="9"/>
    </row>
    <row r="5329" spans="1:9" ht="14.25" customHeight="1" x14ac:dyDescent="0.3">
      <c r="A5329" s="10">
        <v>45046</v>
      </c>
      <c r="B5329">
        <v>279.96584275989846</v>
      </c>
      <c r="C5329" s="8">
        <f t="shared" si="41"/>
        <v>204.79311243880525</v>
      </c>
      <c r="D5329" s="9">
        <f t="shared" si="40"/>
        <v>76.325302722172395</v>
      </c>
      <c r="E5329" s="9"/>
      <c r="F5329" s="9"/>
      <c r="G5329" s="9"/>
      <c r="H5329" s="9"/>
      <c r="I5329" s="9"/>
    </row>
    <row r="5330" spans="1:9" ht="14.25" customHeight="1" x14ac:dyDescent="0.3">
      <c r="A5330" s="10">
        <v>45047</v>
      </c>
      <c r="B5330">
        <v>283.72490976440741</v>
      </c>
      <c r="C5330" s="8">
        <f t="shared" si="41"/>
        <v>204.82973963952611</v>
      </c>
      <c r="D5330" s="9">
        <f t="shared" si="40"/>
        <v>76.328040554969661</v>
      </c>
      <c r="E5330" s="9"/>
      <c r="F5330" s="9"/>
      <c r="G5330" s="9"/>
      <c r="H5330" s="9"/>
      <c r="I5330" s="9"/>
    </row>
    <row r="5331" spans="1:9" ht="14.25" customHeight="1" x14ac:dyDescent="0.3">
      <c r="A5331" s="10">
        <v>45048</v>
      </c>
      <c r="B5331">
        <v>283.79826530009859</v>
      </c>
      <c r="C5331" s="8">
        <f t="shared" si="41"/>
        <v>204.86637339101347</v>
      </c>
      <c r="D5331" s="9">
        <f t="shared" si="40"/>
        <v>76.330778387766927</v>
      </c>
      <c r="E5331" s="9"/>
      <c r="F5331" s="9"/>
      <c r="G5331" s="9"/>
      <c r="H5331" s="9"/>
      <c r="I5331" s="9"/>
    </row>
    <row r="5332" spans="1:9" ht="14.25" customHeight="1" x14ac:dyDescent="0.3">
      <c r="A5332" s="10">
        <v>45049</v>
      </c>
      <c r="B5332">
        <v>283.80358872337501</v>
      </c>
      <c r="C5332" s="8">
        <f t="shared" si="41"/>
        <v>204.90301369443884</v>
      </c>
      <c r="D5332" s="9">
        <f t="shared" si="40"/>
        <v>76.333516220564192</v>
      </c>
      <c r="E5332" s="9"/>
      <c r="F5332" s="9"/>
      <c r="G5332" s="9"/>
      <c r="H5332" s="9"/>
      <c r="I5332" s="9"/>
    </row>
    <row r="5333" spans="1:9" ht="14.25" customHeight="1" x14ac:dyDescent="0.3">
      <c r="A5333" s="10">
        <v>45050</v>
      </c>
      <c r="B5333">
        <v>283.84985248435936</v>
      </c>
      <c r="C5333" s="8">
        <f t="shared" si="41"/>
        <v>204.939660550974</v>
      </c>
      <c r="D5333" s="9">
        <f t="shared" si="40"/>
        <v>76.336254053361458</v>
      </c>
      <c r="E5333" s="9"/>
      <c r="F5333" s="9"/>
      <c r="G5333" s="9"/>
      <c r="H5333" s="9"/>
      <c r="I5333" s="9"/>
    </row>
    <row r="5334" spans="1:9" ht="14.25" customHeight="1" x14ac:dyDescent="0.3">
      <c r="A5334" s="10">
        <v>45051</v>
      </c>
      <c r="B5334">
        <v>283.50361365392058</v>
      </c>
      <c r="C5334" s="8">
        <f t="shared" si="41"/>
        <v>204.97631396179094</v>
      </c>
      <c r="D5334" s="9">
        <f t="shared" si="40"/>
        <v>76.338991886158723</v>
      </c>
      <c r="E5334" s="9"/>
      <c r="F5334" s="9"/>
      <c r="G5334" s="9"/>
      <c r="H5334" s="9"/>
      <c r="I5334" s="9"/>
    </row>
    <row r="5335" spans="1:9" ht="14.25" customHeight="1" x14ac:dyDescent="0.3">
      <c r="A5335" s="10">
        <v>45052</v>
      </c>
      <c r="B5335">
        <v>283.50361365392058</v>
      </c>
      <c r="C5335" s="8">
        <f t="shared" si="41"/>
        <v>205.01297392806191</v>
      </c>
      <c r="D5335" s="9">
        <f t="shared" si="40"/>
        <v>76.341729718955989</v>
      </c>
      <c r="E5335" s="9"/>
      <c r="F5335" s="9"/>
      <c r="G5335" s="9"/>
      <c r="H5335" s="9"/>
      <c r="I5335" s="9"/>
    </row>
    <row r="5336" spans="1:9" ht="14.25" customHeight="1" x14ac:dyDescent="0.3">
      <c r="A5336" s="10">
        <v>45053</v>
      </c>
      <c r="B5336">
        <v>283.49978989518354</v>
      </c>
      <c r="C5336" s="8">
        <f t="shared" si="41"/>
        <v>205.0496404509594</v>
      </c>
      <c r="D5336" s="9">
        <f t="shared" si="40"/>
        <v>76.344467551753254</v>
      </c>
      <c r="E5336" s="9"/>
      <c r="F5336" s="9"/>
      <c r="G5336" s="9"/>
      <c r="H5336" s="9"/>
      <c r="I5336" s="9"/>
    </row>
    <row r="5337" spans="1:9" ht="14.25" customHeight="1" x14ac:dyDescent="0.3">
      <c r="A5337" s="10">
        <v>45054</v>
      </c>
      <c r="B5337">
        <v>283.72977542293501</v>
      </c>
      <c r="C5337" s="8">
        <f t="shared" si="41"/>
        <v>205.08631353165595</v>
      </c>
      <c r="D5337" s="9">
        <f t="shared" si="40"/>
        <v>76.34720538455052</v>
      </c>
      <c r="E5337" s="9"/>
      <c r="F5337" s="9"/>
      <c r="G5337" s="9"/>
      <c r="H5337" s="9"/>
      <c r="I5337" s="9"/>
    </row>
    <row r="5338" spans="1:9" ht="14.25" customHeight="1" x14ac:dyDescent="0.3">
      <c r="A5338" s="10">
        <v>45055</v>
      </c>
      <c r="B5338">
        <v>284.49234653161028</v>
      </c>
      <c r="C5338" s="8">
        <f t="shared" si="41"/>
        <v>205.12299317132451</v>
      </c>
      <c r="D5338" s="9">
        <f t="shared" si="40"/>
        <v>76.349943217347786</v>
      </c>
      <c r="E5338" s="9"/>
      <c r="F5338" s="9"/>
      <c r="G5338" s="9"/>
      <c r="H5338" s="9"/>
      <c r="I5338" s="9"/>
    </row>
    <row r="5339" spans="1:9" ht="14.25" customHeight="1" x14ac:dyDescent="0.3">
      <c r="A5339" s="10">
        <v>45056</v>
      </c>
      <c r="B5339">
        <v>284.50615457450584</v>
      </c>
      <c r="C5339" s="8">
        <f t="shared" si="41"/>
        <v>205.15967937113797</v>
      </c>
      <c r="D5339" s="9">
        <f t="shared" si="40"/>
        <v>76.352681050145051</v>
      </c>
      <c r="E5339" s="9"/>
      <c r="F5339" s="9"/>
      <c r="G5339" s="9"/>
      <c r="H5339" s="9"/>
      <c r="I5339" s="9"/>
    </row>
    <row r="5340" spans="1:9" ht="14.25" customHeight="1" x14ac:dyDescent="0.3">
      <c r="A5340" s="10">
        <v>45057</v>
      </c>
      <c r="B5340">
        <v>295.65027827698299</v>
      </c>
      <c r="C5340" s="8">
        <f t="shared" si="41"/>
        <v>205.19637213226994</v>
      </c>
      <c r="D5340" s="9">
        <f t="shared" si="40"/>
        <v>76.355418882942317</v>
      </c>
      <c r="E5340" s="9"/>
      <c r="F5340" s="9"/>
      <c r="G5340" s="9"/>
      <c r="H5340" s="9"/>
      <c r="I5340" s="9"/>
    </row>
    <row r="5341" spans="1:9" ht="14.25" customHeight="1" x14ac:dyDescent="0.3">
      <c r="A5341" s="10">
        <v>45058</v>
      </c>
      <c r="B5341">
        <v>295.65045563531629</v>
      </c>
      <c r="C5341" s="8">
        <f t="shared" si="41"/>
        <v>205.23307145589374</v>
      </c>
      <c r="D5341" s="9">
        <f t="shared" si="40"/>
        <v>76.358156715739582</v>
      </c>
      <c r="E5341" s="9"/>
      <c r="F5341" s="9"/>
      <c r="G5341" s="9"/>
      <c r="H5341" s="9"/>
      <c r="I5341" s="9"/>
    </row>
    <row r="5342" spans="1:9" ht="14.25" customHeight="1" x14ac:dyDescent="0.3">
      <c r="A5342" s="10">
        <v>45059</v>
      </c>
      <c r="B5342">
        <v>284.36353107543465</v>
      </c>
      <c r="C5342" s="8">
        <f t="shared" si="41"/>
        <v>205.26977734318305</v>
      </c>
      <c r="D5342" s="9">
        <f t="shared" si="40"/>
        <v>76.360894548536848</v>
      </c>
      <c r="E5342" s="9"/>
      <c r="F5342" s="9"/>
      <c r="G5342" s="9"/>
      <c r="H5342" s="9"/>
      <c r="I5342" s="9"/>
    </row>
    <row r="5343" spans="1:9" ht="14.25" customHeight="1" x14ac:dyDescent="0.3">
      <c r="A5343" s="10">
        <v>45060</v>
      </c>
      <c r="B5343">
        <v>284.36353634331397</v>
      </c>
      <c r="C5343" s="8">
        <f t="shared" si="41"/>
        <v>205.30648979531182</v>
      </c>
      <c r="D5343" s="9">
        <f t="shared" si="40"/>
        <v>76.363632381334114</v>
      </c>
      <c r="E5343" s="9"/>
      <c r="F5343" s="9"/>
      <c r="G5343" s="9"/>
      <c r="H5343" s="9"/>
      <c r="I5343" s="9"/>
    </row>
    <row r="5344" spans="1:9" ht="14.25" customHeight="1" x14ac:dyDescent="0.3">
      <c r="A5344" s="10">
        <v>45061</v>
      </c>
      <c r="B5344">
        <v>284.99971030087323</v>
      </c>
      <c r="C5344" s="8">
        <f t="shared" si="41"/>
        <v>205.34320881345414</v>
      </c>
      <c r="D5344" s="9">
        <f t="shared" si="40"/>
        <v>76.366370214131379</v>
      </c>
      <c r="E5344" s="9"/>
      <c r="F5344" s="9"/>
      <c r="G5344" s="9"/>
      <c r="H5344" s="9"/>
      <c r="I5344" s="9"/>
    </row>
    <row r="5345" spans="1:9" ht="14.25" customHeight="1" x14ac:dyDescent="0.3">
      <c r="A5345" s="10">
        <v>45062</v>
      </c>
      <c r="B5345">
        <v>285.40489741673508</v>
      </c>
      <c r="C5345" s="8">
        <f t="shared" si="41"/>
        <v>205.37993439878434</v>
      </c>
      <c r="D5345" s="9">
        <f t="shared" si="40"/>
        <v>76.369108046928645</v>
      </c>
      <c r="E5345" s="9"/>
      <c r="F5345" s="9"/>
      <c r="G5345" s="9"/>
      <c r="H5345" s="9"/>
      <c r="I5345" s="9"/>
    </row>
    <row r="5346" spans="1:9" ht="14.25" customHeight="1" x14ac:dyDescent="0.3">
      <c r="A5346" s="10">
        <v>45063</v>
      </c>
      <c r="B5346">
        <v>284.99979331961003</v>
      </c>
      <c r="C5346" s="8">
        <f t="shared" si="41"/>
        <v>205.41666655247698</v>
      </c>
      <c r="D5346" s="9">
        <f t="shared" si="40"/>
        <v>76.37184587972591</v>
      </c>
      <c r="E5346" s="9"/>
      <c r="F5346" s="9"/>
      <c r="G5346" s="9"/>
      <c r="H5346" s="9"/>
      <c r="I5346" s="9"/>
    </row>
    <row r="5347" spans="1:9" ht="14.25" customHeight="1" x14ac:dyDescent="0.3">
      <c r="A5347" s="10">
        <v>45064</v>
      </c>
      <c r="B5347">
        <v>285.749992807458</v>
      </c>
      <c r="C5347" s="8">
        <f t="shared" si="41"/>
        <v>205.45340527570684</v>
      </c>
      <c r="D5347" s="9">
        <f t="shared" si="40"/>
        <v>76.374583712523176</v>
      </c>
      <c r="E5347" s="9"/>
      <c r="F5347" s="9"/>
      <c r="G5347" s="9"/>
      <c r="H5347" s="9"/>
      <c r="I5347" s="9"/>
    </row>
    <row r="5348" spans="1:9" ht="14.25" customHeight="1" x14ac:dyDescent="0.3">
      <c r="A5348" s="10">
        <v>45065</v>
      </c>
      <c r="B5348">
        <v>285.50381249174262</v>
      </c>
      <c r="C5348" s="8">
        <f t="shared" si="41"/>
        <v>205.49015056964862</v>
      </c>
      <c r="D5348" s="9">
        <f t="shared" si="40"/>
        <v>76.377321545320441</v>
      </c>
      <c r="E5348" s="9"/>
      <c r="F5348" s="9"/>
      <c r="G5348" s="9"/>
      <c r="H5348" s="9"/>
      <c r="I5348" s="9"/>
    </row>
    <row r="5349" spans="1:9" ht="14.25" customHeight="1" x14ac:dyDescent="0.3">
      <c r="A5349" s="10">
        <v>45066</v>
      </c>
      <c r="B5349">
        <v>284.9845403067178</v>
      </c>
      <c r="C5349" s="8">
        <f t="shared" si="41"/>
        <v>205.52690243547784</v>
      </c>
      <c r="D5349" s="9">
        <f t="shared" si="40"/>
        <v>76.380059378117707</v>
      </c>
      <c r="E5349" s="9"/>
      <c r="F5349" s="9"/>
      <c r="G5349" s="9"/>
      <c r="H5349" s="9"/>
      <c r="I5349" s="9"/>
    </row>
    <row r="5350" spans="1:9" ht="14.25" customHeight="1" x14ac:dyDescent="0.3">
      <c r="A5350" s="10">
        <v>45067</v>
      </c>
      <c r="B5350">
        <v>284.98448771482089</v>
      </c>
      <c r="C5350" s="8">
        <f t="shared" si="41"/>
        <v>205.56366087436984</v>
      </c>
      <c r="D5350" s="9">
        <f t="shared" si="40"/>
        <v>76.382797210914973</v>
      </c>
      <c r="E5350" s="9"/>
      <c r="F5350" s="9"/>
      <c r="G5350" s="9"/>
      <c r="H5350" s="9"/>
      <c r="I5350" s="9"/>
    </row>
    <row r="5351" spans="1:9" ht="14.25" customHeight="1" x14ac:dyDescent="0.3">
      <c r="A5351" s="10">
        <v>45068</v>
      </c>
      <c r="B5351">
        <v>286.62489108013358</v>
      </c>
      <c r="C5351" s="8">
        <f t="shared" si="41"/>
        <v>205.60042588750008</v>
      </c>
      <c r="D5351" s="9">
        <f t="shared" si="40"/>
        <v>76.385535043712238</v>
      </c>
      <c r="E5351" s="9"/>
      <c r="F5351" s="9"/>
      <c r="G5351" s="9"/>
      <c r="H5351" s="9"/>
      <c r="I5351" s="9"/>
    </row>
    <row r="5352" spans="1:9" ht="14.25" customHeight="1" x14ac:dyDescent="0.3">
      <c r="A5352" s="10">
        <v>45069</v>
      </c>
      <c r="B5352">
        <v>286.95033966735258</v>
      </c>
      <c r="C5352" s="8">
        <f t="shared" si="41"/>
        <v>205.63719747604438</v>
      </c>
      <c r="D5352" s="9">
        <f t="shared" si="40"/>
        <v>76.388272876509504</v>
      </c>
      <c r="E5352" s="9"/>
      <c r="F5352" s="9"/>
      <c r="G5352" s="9"/>
      <c r="H5352" s="9"/>
      <c r="I5352" s="9"/>
    </row>
    <row r="5353" spans="1:9" ht="14.25" customHeight="1" x14ac:dyDescent="0.3">
      <c r="A5353" s="10">
        <v>45070</v>
      </c>
      <c r="B5353">
        <v>287.44998875002557</v>
      </c>
      <c r="C5353" s="8">
        <f t="shared" si="41"/>
        <v>205.6739756411788</v>
      </c>
      <c r="D5353" s="9">
        <f t="shared" si="40"/>
        <v>76.391010709306769</v>
      </c>
      <c r="E5353" s="9"/>
      <c r="F5353" s="9"/>
      <c r="G5353" s="9"/>
      <c r="H5353" s="9"/>
      <c r="I5353" s="9"/>
    </row>
    <row r="5354" spans="1:9" ht="14.25" customHeight="1" x14ac:dyDescent="0.3">
      <c r="A5354" s="10">
        <v>45071</v>
      </c>
      <c r="B5354">
        <v>285.99966430749436</v>
      </c>
      <c r="C5354" s="8">
        <f t="shared" si="41"/>
        <v>205.71076038407952</v>
      </c>
      <c r="D5354" s="9">
        <f t="shared" si="40"/>
        <v>76.393748542104035</v>
      </c>
      <c r="E5354" s="9"/>
      <c r="F5354" s="9"/>
      <c r="G5354" s="9"/>
      <c r="H5354" s="9"/>
      <c r="I5354" s="9"/>
    </row>
    <row r="5355" spans="1:9" ht="14.25" customHeight="1" x14ac:dyDescent="0.3">
      <c r="A5355" s="10">
        <v>45072</v>
      </c>
      <c r="B5355">
        <v>285.00023762176949</v>
      </c>
      <c r="C5355" s="8">
        <f t="shared" si="41"/>
        <v>205.747551705923</v>
      </c>
      <c r="D5355" s="9">
        <f t="shared" si="40"/>
        <v>76.396486374901301</v>
      </c>
      <c r="E5355" s="9"/>
      <c r="F5355" s="9"/>
      <c r="G5355" s="9"/>
      <c r="H5355" s="9"/>
      <c r="I5355" s="9"/>
    </row>
    <row r="5356" spans="1:9" ht="14.25" customHeight="1" x14ac:dyDescent="0.3">
      <c r="A5356" s="10">
        <v>45073</v>
      </c>
      <c r="B5356">
        <v>285.00023762176949</v>
      </c>
      <c r="C5356" s="8">
        <f t="shared" si="41"/>
        <v>205.7843496078859</v>
      </c>
      <c r="D5356" s="9">
        <f t="shared" si="40"/>
        <v>76.399224207698566</v>
      </c>
      <c r="E5356" s="9"/>
      <c r="F5356" s="9"/>
      <c r="G5356" s="9"/>
      <c r="H5356" s="9"/>
      <c r="I5356" s="9"/>
    </row>
    <row r="5357" spans="1:9" ht="14.25" customHeight="1" x14ac:dyDescent="0.3">
      <c r="A5357" s="10">
        <v>45074</v>
      </c>
      <c r="B5357">
        <v>285.64751349476063</v>
      </c>
      <c r="C5357" s="8">
        <f t="shared" si="41"/>
        <v>205.82115409114482</v>
      </c>
      <c r="D5357" s="9">
        <f t="shared" si="40"/>
        <v>76.401962040495832</v>
      </c>
      <c r="E5357" s="9"/>
      <c r="F5357" s="9"/>
      <c r="G5357" s="9"/>
      <c r="H5357" s="9"/>
      <c r="I5357" s="9"/>
    </row>
    <row r="5358" spans="1:9" ht="14.25" customHeight="1" x14ac:dyDescent="0.3">
      <c r="A5358" s="10">
        <v>45075</v>
      </c>
      <c r="B5358">
        <v>285.26360726717115</v>
      </c>
      <c r="C5358" s="8">
        <f t="shared" si="41"/>
        <v>205.85796515687721</v>
      </c>
      <c r="D5358" s="9">
        <f t="shared" ref="D5358:D5612" si="42">(A5358-$A$3)/365.2524</f>
        <v>76.404699873293097</v>
      </c>
      <c r="E5358" s="9"/>
      <c r="F5358" s="9"/>
      <c r="G5358" s="9"/>
      <c r="H5358" s="9"/>
      <c r="I5358" s="9"/>
    </row>
    <row r="5359" spans="1:9" ht="14.25" customHeight="1" x14ac:dyDescent="0.3">
      <c r="A5359" s="10">
        <v>45076</v>
      </c>
      <c r="B5359">
        <v>285.82492959872673</v>
      </c>
      <c r="C5359" s="8">
        <f t="shared" ref="C5359:C5613" si="43">(1+$C$1)^D5359*$C$3</f>
        <v>205.8947828062602</v>
      </c>
      <c r="D5359" s="9">
        <f t="shared" si="42"/>
        <v>76.407437706090363</v>
      </c>
      <c r="E5359" s="9"/>
      <c r="F5359" s="9"/>
      <c r="G5359" s="9"/>
      <c r="H5359" s="9"/>
      <c r="I5359" s="9"/>
    </row>
    <row r="5360" spans="1:9" ht="14.25" customHeight="1" x14ac:dyDescent="0.3">
      <c r="A5360" s="10">
        <v>45077</v>
      </c>
      <c r="B5360">
        <v>285.49670312817074</v>
      </c>
      <c r="C5360" s="8">
        <f t="shared" si="43"/>
        <v>205.93160704047125</v>
      </c>
      <c r="D5360" s="9">
        <f t="shared" si="42"/>
        <v>76.410175538887628</v>
      </c>
      <c r="E5360" s="9"/>
      <c r="F5360" s="9"/>
      <c r="G5360" s="9"/>
      <c r="H5360" s="9"/>
      <c r="I5360" s="9"/>
    </row>
    <row r="5361" spans="1:9" ht="14.25" customHeight="1" x14ac:dyDescent="0.3">
      <c r="A5361" s="10">
        <v>45078</v>
      </c>
      <c r="B5361">
        <v>285.18543758433668</v>
      </c>
      <c r="C5361" s="8">
        <f t="shared" si="43"/>
        <v>205.96843786068806</v>
      </c>
      <c r="D5361" s="9">
        <f t="shared" si="42"/>
        <v>76.412913371684894</v>
      </c>
      <c r="E5361" s="9"/>
      <c r="F5361" s="9"/>
      <c r="G5361" s="9"/>
      <c r="H5361" s="9"/>
      <c r="I5361" s="9"/>
    </row>
    <row r="5362" spans="1:9" ht="14.25" customHeight="1" x14ac:dyDescent="0.3">
      <c r="A5362" s="10">
        <v>45079</v>
      </c>
      <c r="B5362">
        <v>285.6250673623245</v>
      </c>
      <c r="C5362" s="8">
        <f t="shared" si="43"/>
        <v>206.00527526808855</v>
      </c>
      <c r="D5362" s="9">
        <f t="shared" si="42"/>
        <v>76.41565120448216</v>
      </c>
      <c r="E5362" s="9"/>
      <c r="F5362" s="9"/>
      <c r="G5362" s="9"/>
      <c r="H5362" s="9"/>
      <c r="I5362" s="9"/>
    </row>
    <row r="5363" spans="1:9" ht="14.25" customHeight="1" x14ac:dyDescent="0.3">
      <c r="A5363" s="10">
        <v>45080</v>
      </c>
      <c r="B5363">
        <v>286.68506132069319</v>
      </c>
      <c r="C5363" s="8">
        <f t="shared" si="43"/>
        <v>206.04211926385082</v>
      </c>
      <c r="D5363" s="9">
        <f t="shared" si="42"/>
        <v>76.418389037279425</v>
      </c>
      <c r="E5363" s="9"/>
      <c r="F5363" s="9"/>
      <c r="G5363" s="9"/>
      <c r="H5363" s="9"/>
      <c r="I5363" s="9"/>
    </row>
    <row r="5364" spans="1:9" ht="14.25" customHeight="1" x14ac:dyDescent="0.3">
      <c r="A5364" s="10">
        <v>45081</v>
      </c>
      <c r="B5364">
        <v>286.68516141697324</v>
      </c>
      <c r="C5364" s="8">
        <f t="shared" si="43"/>
        <v>206.0789698491532</v>
      </c>
      <c r="D5364" s="9">
        <f t="shared" si="42"/>
        <v>76.421126870076691</v>
      </c>
      <c r="E5364" s="9"/>
      <c r="F5364" s="9"/>
      <c r="G5364" s="9"/>
      <c r="H5364" s="9"/>
      <c r="I5364" s="9"/>
    </row>
    <row r="5365" spans="1:9" ht="14.25" customHeight="1" x14ac:dyDescent="0.3">
      <c r="A5365" s="10">
        <v>45082</v>
      </c>
      <c r="B5365">
        <v>286.24998202857688</v>
      </c>
      <c r="C5365" s="8">
        <f t="shared" si="43"/>
        <v>206.11582702517421</v>
      </c>
      <c r="D5365" s="9">
        <f t="shared" si="42"/>
        <v>76.423864702873956</v>
      </c>
      <c r="E5365" s="9"/>
      <c r="F5365" s="9"/>
      <c r="G5365" s="9"/>
      <c r="H5365" s="9"/>
      <c r="I5365" s="9"/>
    </row>
    <row r="5366" spans="1:9" ht="14.25" customHeight="1" x14ac:dyDescent="0.3">
      <c r="A5366" s="10">
        <v>45083</v>
      </c>
      <c r="B5366">
        <v>286.259977378315</v>
      </c>
      <c r="C5366" s="8">
        <f t="shared" si="43"/>
        <v>206.15269079309243</v>
      </c>
      <c r="D5366" s="9">
        <f t="shared" si="42"/>
        <v>76.426602535671222</v>
      </c>
      <c r="E5366" s="9"/>
      <c r="F5366" s="9"/>
      <c r="G5366" s="9"/>
      <c r="H5366" s="9"/>
      <c r="I5366" s="9"/>
    </row>
    <row r="5367" spans="1:9" ht="14.25" customHeight="1" x14ac:dyDescent="0.3">
      <c r="A5367" s="10">
        <v>45084</v>
      </c>
      <c r="B5367">
        <v>286.72509057082743</v>
      </c>
      <c r="C5367" s="8">
        <f t="shared" si="43"/>
        <v>206.18956115408719</v>
      </c>
      <c r="D5367" s="9">
        <f t="shared" si="42"/>
        <v>76.429340368468488</v>
      </c>
      <c r="E5367" s="9"/>
      <c r="F5367" s="9"/>
      <c r="G5367" s="9"/>
      <c r="H5367" s="9"/>
      <c r="I5367" s="9"/>
    </row>
    <row r="5368" spans="1:9" ht="14.25" customHeight="1" x14ac:dyDescent="0.3">
      <c r="A5368" s="10">
        <v>45085</v>
      </c>
      <c r="B5368">
        <v>287.15020538156273</v>
      </c>
      <c r="C5368" s="8">
        <f t="shared" si="43"/>
        <v>206.22643810933749</v>
      </c>
      <c r="D5368" s="9">
        <f t="shared" si="42"/>
        <v>76.432078201265753</v>
      </c>
      <c r="E5368" s="9"/>
      <c r="F5368" s="9"/>
      <c r="G5368" s="9"/>
      <c r="H5368" s="9"/>
      <c r="I5368" s="9"/>
    </row>
    <row r="5369" spans="1:9" ht="14.25" customHeight="1" x14ac:dyDescent="0.3">
      <c r="A5369" s="10">
        <v>45086</v>
      </c>
      <c r="B5369">
        <v>286.95047824645133</v>
      </c>
      <c r="C5369" s="8">
        <f t="shared" si="43"/>
        <v>206.26332166002265</v>
      </c>
      <c r="D5369" s="9">
        <f t="shared" si="42"/>
        <v>76.434816034063019</v>
      </c>
      <c r="E5369" s="9"/>
      <c r="F5369" s="9"/>
      <c r="G5369" s="9"/>
      <c r="H5369" s="9"/>
      <c r="I5369" s="9"/>
    </row>
    <row r="5370" spans="1:9" ht="14.25" customHeight="1" x14ac:dyDescent="0.3">
      <c r="A5370" s="10">
        <v>45087</v>
      </c>
      <c r="B5370">
        <v>286.8868250696446</v>
      </c>
      <c r="C5370" s="8">
        <f t="shared" si="43"/>
        <v>206.30021180732234</v>
      </c>
      <c r="D5370" s="9">
        <f t="shared" si="42"/>
        <v>76.437553866860284</v>
      </c>
      <c r="E5370" s="9"/>
      <c r="F5370" s="9"/>
      <c r="G5370" s="9"/>
      <c r="H5370" s="9"/>
      <c r="I5370" s="9"/>
    </row>
    <row r="5371" spans="1:9" ht="14.25" customHeight="1" x14ac:dyDescent="0.3">
      <c r="A5371" s="10">
        <v>45088</v>
      </c>
      <c r="B5371">
        <v>286.88670317312227</v>
      </c>
      <c r="C5371" s="8">
        <f t="shared" si="43"/>
        <v>206.33710855241631</v>
      </c>
      <c r="D5371" s="9">
        <f t="shared" si="42"/>
        <v>76.44029169965755</v>
      </c>
      <c r="E5371" s="9"/>
      <c r="F5371" s="9"/>
      <c r="G5371" s="9"/>
      <c r="H5371" s="9"/>
      <c r="I5371" s="9"/>
    </row>
    <row r="5372" spans="1:9" ht="14.25" customHeight="1" x14ac:dyDescent="0.3">
      <c r="A5372" s="10">
        <v>45089</v>
      </c>
      <c r="B5372">
        <v>287.51397426653682</v>
      </c>
      <c r="C5372" s="8">
        <f t="shared" si="43"/>
        <v>206.37401189648463</v>
      </c>
      <c r="D5372" s="9">
        <f t="shared" si="42"/>
        <v>76.443029532454815</v>
      </c>
      <c r="E5372" s="9"/>
      <c r="F5372" s="9"/>
      <c r="G5372" s="9"/>
      <c r="H5372" s="9"/>
      <c r="I5372" s="9"/>
    </row>
    <row r="5373" spans="1:9" ht="14.25" customHeight="1" x14ac:dyDescent="0.3">
      <c r="A5373" s="10">
        <v>45090</v>
      </c>
      <c r="B5373">
        <v>287.49689591250348</v>
      </c>
      <c r="C5373" s="8">
        <f t="shared" si="43"/>
        <v>206.41092184070746</v>
      </c>
      <c r="D5373" s="9">
        <f t="shared" si="42"/>
        <v>76.445767365252081</v>
      </c>
      <c r="E5373" s="9"/>
      <c r="F5373" s="9"/>
      <c r="G5373" s="9"/>
      <c r="H5373" s="9"/>
      <c r="I5373" s="9"/>
    </row>
    <row r="5374" spans="1:9" ht="14.25" customHeight="1" x14ac:dyDescent="0.3">
      <c r="A5374" s="10">
        <v>45091</v>
      </c>
      <c r="B5374">
        <v>287.22483514253832</v>
      </c>
      <c r="C5374" s="8">
        <f t="shared" si="43"/>
        <v>206.44783838626529</v>
      </c>
      <c r="D5374" s="9">
        <f t="shared" si="42"/>
        <v>76.448505198049347</v>
      </c>
      <c r="E5374" s="9"/>
      <c r="F5374" s="9"/>
      <c r="G5374" s="9"/>
      <c r="H5374" s="9"/>
      <c r="I5374" s="9"/>
    </row>
    <row r="5375" spans="1:9" ht="14.25" customHeight="1" x14ac:dyDescent="0.3">
      <c r="A5375" s="10">
        <v>45092</v>
      </c>
      <c r="B5375">
        <v>287.45009177212006</v>
      </c>
      <c r="C5375" s="8">
        <f t="shared" si="43"/>
        <v>206.4847615343385</v>
      </c>
      <c r="D5375" s="9">
        <f t="shared" si="42"/>
        <v>76.451243030846612</v>
      </c>
      <c r="E5375" s="9"/>
      <c r="F5375" s="9"/>
      <c r="G5375" s="9"/>
      <c r="H5375" s="9"/>
      <c r="I5375" s="9"/>
    </row>
    <row r="5376" spans="1:9" ht="14.25" customHeight="1" x14ac:dyDescent="0.3">
      <c r="A5376" s="10">
        <v>45093</v>
      </c>
      <c r="B5376">
        <v>287.42506044321982</v>
      </c>
      <c r="C5376" s="8">
        <f t="shared" si="43"/>
        <v>206.52169128610839</v>
      </c>
      <c r="D5376" s="9">
        <f t="shared" si="42"/>
        <v>76.453980863643878</v>
      </c>
      <c r="E5376" s="9"/>
      <c r="F5376" s="9"/>
      <c r="G5376" s="9"/>
      <c r="H5376" s="9"/>
      <c r="I5376" s="9"/>
    </row>
    <row r="5377" spans="1:9" ht="14.25" customHeight="1" x14ac:dyDescent="0.3">
      <c r="A5377" s="10">
        <v>45094</v>
      </c>
      <c r="B5377">
        <v>287.42506044321982</v>
      </c>
      <c r="C5377" s="8">
        <f t="shared" si="43"/>
        <v>206.55862764275588</v>
      </c>
      <c r="D5377" s="9">
        <f t="shared" si="42"/>
        <v>76.456718696441143</v>
      </c>
      <c r="E5377" s="9"/>
      <c r="F5377" s="9"/>
      <c r="G5377" s="9"/>
      <c r="H5377" s="9"/>
      <c r="I5377" s="9"/>
    </row>
    <row r="5378" spans="1:9" ht="14.25" customHeight="1" x14ac:dyDescent="0.3">
      <c r="A5378" s="10">
        <v>45095</v>
      </c>
      <c r="B5378">
        <v>286.57511663278592</v>
      </c>
      <c r="C5378" s="8">
        <f t="shared" si="43"/>
        <v>206.59557060546217</v>
      </c>
      <c r="D5378" s="9">
        <f t="shared" si="42"/>
        <v>76.459456529238409</v>
      </c>
      <c r="E5378" s="9"/>
      <c r="F5378" s="9"/>
      <c r="G5378" s="9"/>
      <c r="H5378" s="9"/>
      <c r="I5378" s="9"/>
    </row>
    <row r="5379" spans="1:9" ht="14.25" customHeight="1" x14ac:dyDescent="0.3">
      <c r="A5379" s="10">
        <v>45096</v>
      </c>
      <c r="B5379">
        <v>287.50308542239759</v>
      </c>
      <c r="C5379" s="8">
        <f t="shared" si="43"/>
        <v>206.63252017540876</v>
      </c>
      <c r="D5379" s="9">
        <f t="shared" si="42"/>
        <v>76.462194362035675</v>
      </c>
      <c r="E5379" s="9"/>
      <c r="F5379" s="9"/>
      <c r="G5379" s="9"/>
      <c r="H5379" s="9"/>
      <c r="I5379" s="9"/>
    </row>
    <row r="5380" spans="1:9" ht="14.25" customHeight="1" x14ac:dyDescent="0.3">
      <c r="A5380" s="10">
        <v>45097</v>
      </c>
      <c r="B5380">
        <v>287.45019789341046</v>
      </c>
      <c r="C5380" s="8">
        <f t="shared" si="43"/>
        <v>206.66947635377741</v>
      </c>
      <c r="D5380" s="9">
        <f t="shared" si="42"/>
        <v>76.46493219483294</v>
      </c>
      <c r="E5380" s="9"/>
      <c r="F5380" s="9"/>
      <c r="G5380" s="9"/>
      <c r="H5380" s="9"/>
      <c r="I5380" s="9"/>
    </row>
    <row r="5381" spans="1:9" ht="14.25" customHeight="1" x14ac:dyDescent="0.3">
      <c r="A5381" s="10">
        <v>45098</v>
      </c>
      <c r="B5381">
        <v>286.94931578262617</v>
      </c>
      <c r="C5381" s="8">
        <f t="shared" si="43"/>
        <v>206.70643914175</v>
      </c>
      <c r="D5381" s="9">
        <f t="shared" si="42"/>
        <v>76.467670027630206</v>
      </c>
      <c r="E5381" s="9"/>
      <c r="F5381" s="9"/>
      <c r="G5381" s="9"/>
      <c r="H5381" s="9"/>
      <c r="I5381" s="9"/>
    </row>
    <row r="5382" spans="1:9" ht="14.25" customHeight="1" x14ac:dyDescent="0.3">
      <c r="A5382" s="10">
        <v>45099</v>
      </c>
      <c r="B5382">
        <v>286.72485872922005</v>
      </c>
      <c r="C5382" s="8">
        <f t="shared" si="43"/>
        <v>206.74340854050865</v>
      </c>
      <c r="D5382" s="9">
        <f t="shared" si="42"/>
        <v>76.470407860427471</v>
      </c>
      <c r="E5382" s="9"/>
      <c r="F5382" s="9"/>
      <c r="G5382" s="9"/>
      <c r="H5382" s="9"/>
      <c r="I5382" s="9"/>
    </row>
    <row r="5383" spans="1:9" ht="14.25" customHeight="1" x14ac:dyDescent="0.3">
      <c r="A5383" s="10">
        <v>45100</v>
      </c>
      <c r="B5383">
        <v>286.50375710116822</v>
      </c>
      <c r="C5383" s="8">
        <f t="shared" si="43"/>
        <v>206.7803845512357</v>
      </c>
      <c r="D5383" s="9">
        <f t="shared" si="42"/>
        <v>76.473145693224737</v>
      </c>
      <c r="E5383" s="9"/>
      <c r="F5383" s="9"/>
      <c r="G5383" s="9"/>
      <c r="H5383" s="9"/>
      <c r="I5383" s="9"/>
    </row>
    <row r="5384" spans="1:9" ht="14.25" customHeight="1" x14ac:dyDescent="0.3">
      <c r="A5384" s="10">
        <v>45101</v>
      </c>
      <c r="B5384">
        <v>284.73161563583471</v>
      </c>
      <c r="C5384" s="8">
        <f t="shared" si="43"/>
        <v>206.8173671751135</v>
      </c>
      <c r="D5384" s="9">
        <f t="shared" si="42"/>
        <v>76.475883526022002</v>
      </c>
      <c r="E5384" s="9"/>
      <c r="F5384" s="9"/>
      <c r="G5384" s="9"/>
      <c r="H5384" s="9"/>
      <c r="I5384" s="9"/>
    </row>
    <row r="5385" spans="1:9" ht="14.25" customHeight="1" x14ac:dyDescent="0.3">
      <c r="A5385" s="10">
        <v>45102</v>
      </c>
      <c r="B5385">
        <v>284.73162692056252</v>
      </c>
      <c r="C5385" s="8">
        <f t="shared" si="43"/>
        <v>206.85435641332523</v>
      </c>
      <c r="D5385" s="9">
        <f t="shared" si="42"/>
        <v>76.478621358819268</v>
      </c>
      <c r="E5385" s="9"/>
      <c r="F5385" s="9"/>
      <c r="G5385" s="9"/>
      <c r="H5385" s="9"/>
      <c r="I5385" s="9"/>
    </row>
    <row r="5386" spans="1:9" ht="14.25" customHeight="1" x14ac:dyDescent="0.3">
      <c r="A5386" s="10">
        <v>45103</v>
      </c>
      <c r="B5386">
        <v>286.54992612363566</v>
      </c>
      <c r="C5386" s="8">
        <f t="shared" si="43"/>
        <v>206.89135226705363</v>
      </c>
      <c r="D5386" s="9">
        <f t="shared" si="42"/>
        <v>76.481359191616534</v>
      </c>
      <c r="E5386" s="9"/>
      <c r="F5386" s="9"/>
      <c r="G5386" s="9"/>
      <c r="H5386" s="9"/>
      <c r="I5386" s="9"/>
    </row>
    <row r="5387" spans="1:9" ht="14.25" customHeight="1" x14ac:dyDescent="0.3">
      <c r="A5387" s="10">
        <v>45104</v>
      </c>
      <c r="B5387">
        <v>286.5501302380427</v>
      </c>
      <c r="C5387" s="8">
        <f t="shared" si="43"/>
        <v>206.92835473748192</v>
      </c>
      <c r="D5387" s="9">
        <f t="shared" si="42"/>
        <v>76.484097024413799</v>
      </c>
      <c r="E5387" s="9"/>
      <c r="F5387" s="9"/>
      <c r="G5387" s="9"/>
      <c r="H5387" s="9"/>
      <c r="I5387" s="9"/>
    </row>
    <row r="5388" spans="1:9" ht="14.25" customHeight="1" x14ac:dyDescent="0.3">
      <c r="A5388" s="10">
        <v>45105</v>
      </c>
      <c r="B5388">
        <v>286.49752186802596</v>
      </c>
      <c r="C5388" s="8">
        <f t="shared" si="43"/>
        <v>206.96536382579342</v>
      </c>
      <c r="D5388" s="9">
        <f t="shared" si="42"/>
        <v>76.486834857211065</v>
      </c>
      <c r="E5388" s="9"/>
      <c r="F5388" s="9"/>
      <c r="G5388" s="9"/>
      <c r="H5388" s="9"/>
      <c r="I5388" s="9"/>
    </row>
    <row r="5389" spans="1:9" ht="14.25" customHeight="1" x14ac:dyDescent="0.3">
      <c r="A5389" s="10">
        <v>45106</v>
      </c>
      <c r="B5389">
        <v>286.50223460962656</v>
      </c>
      <c r="C5389" s="8">
        <f t="shared" si="43"/>
        <v>207.00237953317185</v>
      </c>
      <c r="D5389" s="9">
        <f t="shared" si="42"/>
        <v>76.48957269000833</v>
      </c>
      <c r="E5389" s="9"/>
      <c r="F5389" s="9"/>
      <c r="G5389" s="9"/>
      <c r="H5389" s="9"/>
      <c r="I5389" s="9"/>
    </row>
    <row r="5390" spans="1:9" ht="14.25" customHeight="1" x14ac:dyDescent="0.3">
      <c r="A5390" s="10">
        <v>45107</v>
      </c>
      <c r="B5390">
        <v>286.50369580531367</v>
      </c>
      <c r="C5390" s="8">
        <f t="shared" si="43"/>
        <v>207.03940186080095</v>
      </c>
      <c r="D5390" s="9">
        <f t="shared" si="42"/>
        <v>76.492310522805596</v>
      </c>
      <c r="E5390" s="9"/>
      <c r="F5390" s="9"/>
      <c r="G5390" s="9"/>
      <c r="H5390" s="9"/>
      <c r="I5390" s="9"/>
    </row>
    <row r="5391" spans="1:9" ht="14.25" customHeight="1" x14ac:dyDescent="0.3">
      <c r="A5391" s="10">
        <v>45108</v>
      </c>
      <c r="B5391">
        <v>286.50369580531367</v>
      </c>
      <c r="C5391" s="8">
        <f t="shared" si="43"/>
        <v>207.07643080986477</v>
      </c>
      <c r="D5391" s="9">
        <f t="shared" si="42"/>
        <v>76.495048355602862</v>
      </c>
      <c r="E5391" s="9"/>
      <c r="F5391" s="9"/>
      <c r="G5391" s="9"/>
      <c r="H5391" s="9"/>
      <c r="I5391" s="9"/>
    </row>
    <row r="5392" spans="1:9" ht="14.25" customHeight="1" x14ac:dyDescent="0.3">
      <c r="A5392" s="10">
        <v>45109</v>
      </c>
      <c r="B5392">
        <v>284.71377455816599</v>
      </c>
      <c r="C5392" s="8">
        <f t="shared" si="43"/>
        <v>207.11346638154754</v>
      </c>
      <c r="D5392" s="9">
        <f t="shared" si="42"/>
        <v>76.497786188400127</v>
      </c>
      <c r="E5392" s="9"/>
      <c r="F5392" s="9"/>
      <c r="G5392" s="9"/>
      <c r="H5392" s="9"/>
      <c r="I5392" s="9"/>
    </row>
    <row r="5393" spans="1:9" ht="14.25" customHeight="1" x14ac:dyDescent="0.3">
      <c r="A5393" s="10">
        <v>45110</v>
      </c>
      <c r="B5393">
        <v>286.37189999999998</v>
      </c>
      <c r="C5393" s="8">
        <f t="shared" si="43"/>
        <v>207.15050857703375</v>
      </c>
      <c r="D5393" s="9">
        <f t="shared" si="42"/>
        <v>76.500524021197393</v>
      </c>
      <c r="E5393" s="9"/>
      <c r="F5393" s="9"/>
      <c r="G5393" s="9"/>
      <c r="H5393" s="9"/>
      <c r="I5393" s="9"/>
    </row>
    <row r="5394" spans="1:9" ht="14.25" customHeight="1" x14ac:dyDescent="0.3">
      <c r="A5394" s="10">
        <v>45111</v>
      </c>
      <c r="B5394">
        <v>286.03519999999997</v>
      </c>
      <c r="C5394" s="8">
        <f t="shared" si="43"/>
        <v>207.18755739750785</v>
      </c>
      <c r="D5394" s="9">
        <f t="shared" si="42"/>
        <v>76.503261853994658</v>
      </c>
      <c r="E5394" s="9"/>
      <c r="F5394" s="9"/>
      <c r="G5394" s="9"/>
      <c r="H5394" s="9"/>
      <c r="I5394" s="9"/>
    </row>
    <row r="5395" spans="1:9" ht="14.25" customHeight="1" x14ac:dyDescent="0.3">
      <c r="A5395" s="10">
        <v>45112</v>
      </c>
      <c r="B5395">
        <v>277.08629999999999</v>
      </c>
      <c r="C5395" s="8">
        <f t="shared" si="43"/>
        <v>207.2246128441551</v>
      </c>
      <c r="D5395" s="9">
        <f t="shared" si="42"/>
        <v>76.505999686791924</v>
      </c>
      <c r="E5395" s="9"/>
      <c r="F5395" s="9"/>
      <c r="G5395" s="9"/>
      <c r="H5395" s="9"/>
      <c r="I5395" s="9"/>
    </row>
    <row r="5396" spans="1:9" ht="14.25" customHeight="1" x14ac:dyDescent="0.3">
      <c r="A5396" s="10">
        <v>45113</v>
      </c>
      <c r="B5396">
        <v>277.03230000000002</v>
      </c>
      <c r="C5396" s="8">
        <f t="shared" si="43"/>
        <v>207.2616749181604</v>
      </c>
      <c r="D5396" s="9">
        <f t="shared" si="42"/>
        <v>76.508737519589189</v>
      </c>
      <c r="E5396" s="9"/>
      <c r="F5396" s="9"/>
      <c r="G5396" s="9"/>
      <c r="H5396" s="9"/>
      <c r="I5396" s="9"/>
    </row>
    <row r="5397" spans="1:9" ht="14.25" customHeight="1" x14ac:dyDescent="0.3">
      <c r="A5397" s="10">
        <v>45114</v>
      </c>
      <c r="B5397">
        <v>277.9443</v>
      </c>
      <c r="C5397" s="8">
        <f t="shared" si="43"/>
        <v>207.29874362070902</v>
      </c>
      <c r="D5397" s="9">
        <f t="shared" si="42"/>
        <v>76.511475352386455</v>
      </c>
      <c r="E5397" s="9"/>
      <c r="F5397" s="9"/>
      <c r="G5397" s="9"/>
      <c r="H5397" s="9"/>
      <c r="I5397" s="9"/>
    </row>
    <row r="5398" spans="1:9" ht="14.25" customHeight="1" x14ac:dyDescent="0.3">
      <c r="A5398" s="10">
        <v>45115</v>
      </c>
      <c r="B5398">
        <v>272.36399999999998</v>
      </c>
      <c r="C5398" s="8">
        <f t="shared" si="43"/>
        <v>207.3358189529865</v>
      </c>
      <c r="D5398" s="9">
        <f t="shared" si="42"/>
        <v>76.514213185183721</v>
      </c>
      <c r="E5398" s="9"/>
      <c r="F5398" s="9"/>
      <c r="G5398" s="9"/>
      <c r="H5398" s="9"/>
      <c r="I5398" s="9"/>
    </row>
    <row r="5399" spans="1:9" ht="14.25" customHeight="1" x14ac:dyDescent="0.3">
      <c r="A5399" s="10">
        <v>45116</v>
      </c>
      <c r="B5399">
        <v>273.51499999999999</v>
      </c>
      <c r="C5399" s="8">
        <f t="shared" si="43"/>
        <v>207.37290091617862</v>
      </c>
      <c r="D5399" s="9">
        <f t="shared" si="42"/>
        <v>76.516951017980986</v>
      </c>
      <c r="E5399" s="9"/>
      <c r="F5399" s="9"/>
      <c r="G5399" s="9"/>
      <c r="H5399" s="9"/>
      <c r="I5399" s="9"/>
    </row>
    <row r="5400" spans="1:9" ht="14.25" customHeight="1" x14ac:dyDescent="0.3">
      <c r="A5400" s="10">
        <v>45117</v>
      </c>
      <c r="B5400">
        <v>277.59129999999999</v>
      </c>
      <c r="C5400" s="8">
        <f t="shared" si="43"/>
        <v>207.40998951147122</v>
      </c>
      <c r="D5400" s="9">
        <f t="shared" si="42"/>
        <v>76.519688850778252</v>
      </c>
      <c r="E5400" s="9"/>
      <c r="F5400" s="9"/>
      <c r="G5400" s="9"/>
      <c r="H5400" s="9"/>
      <c r="I5400" s="9"/>
    </row>
    <row r="5401" spans="1:9" ht="14.25" customHeight="1" x14ac:dyDescent="0.3">
      <c r="A5401" s="10">
        <v>45118</v>
      </c>
      <c r="B5401">
        <v>276.71030000000002</v>
      </c>
      <c r="C5401" s="8">
        <f t="shared" si="43"/>
        <v>207.44708474005051</v>
      </c>
      <c r="D5401" s="9">
        <f t="shared" si="42"/>
        <v>76.522426683575517</v>
      </c>
      <c r="E5401" s="9"/>
      <c r="F5401" s="9"/>
      <c r="G5401" s="9"/>
      <c r="H5401" s="9"/>
      <c r="I5401" s="9"/>
    </row>
    <row r="5402" spans="1:9" ht="14.25" customHeight="1" x14ac:dyDescent="0.3">
      <c r="A5402" s="10">
        <v>45119</v>
      </c>
      <c r="B5402">
        <v>277.7133</v>
      </c>
      <c r="C5402" s="8">
        <f t="shared" si="43"/>
        <v>207.48418660310287</v>
      </c>
      <c r="D5402" s="9">
        <f t="shared" si="42"/>
        <v>76.525164516372783</v>
      </c>
      <c r="E5402" s="9"/>
      <c r="F5402" s="9"/>
      <c r="G5402" s="9"/>
      <c r="H5402" s="9"/>
      <c r="I5402" s="9"/>
    </row>
    <row r="5403" spans="1:9" ht="14.25" customHeight="1" x14ac:dyDescent="0.3">
      <c r="A5403" s="10">
        <v>45120</v>
      </c>
      <c r="B5403">
        <v>273.58800000000002</v>
      </c>
      <c r="C5403" s="8">
        <f t="shared" si="43"/>
        <v>207.52129510181464</v>
      </c>
      <c r="D5403" s="9">
        <f t="shared" si="42"/>
        <v>76.527902349170049</v>
      </c>
      <c r="E5403" s="9"/>
      <c r="F5403" s="9"/>
      <c r="G5403" s="9"/>
      <c r="H5403" s="9"/>
      <c r="I5403" s="9"/>
    </row>
    <row r="5404" spans="1:9" ht="14.25" customHeight="1" x14ac:dyDescent="0.3">
      <c r="A5404" s="10">
        <v>45121</v>
      </c>
      <c r="B5404">
        <v>277.49990000000003</v>
      </c>
      <c r="C5404" s="8">
        <f t="shared" si="43"/>
        <v>207.55841023737298</v>
      </c>
      <c r="D5404" s="9">
        <f t="shared" si="42"/>
        <v>76.530640181967314</v>
      </c>
      <c r="E5404" s="9"/>
      <c r="F5404" s="9"/>
      <c r="G5404" s="9"/>
      <c r="H5404" s="9"/>
      <c r="I5404" s="9"/>
    </row>
    <row r="5405" spans="1:9" ht="14.25" customHeight="1" x14ac:dyDescent="0.3">
      <c r="A5405" s="10">
        <v>45122</v>
      </c>
      <c r="B5405">
        <v>273.31790000000001</v>
      </c>
      <c r="C5405" s="8">
        <f t="shared" si="43"/>
        <v>207.59553201096475</v>
      </c>
      <c r="D5405" s="9">
        <f t="shared" si="42"/>
        <v>76.53337801476458</v>
      </c>
      <c r="E5405" s="9"/>
      <c r="F5405" s="9"/>
      <c r="G5405" s="9"/>
      <c r="H5405" s="9"/>
      <c r="I5405" s="9"/>
    </row>
    <row r="5406" spans="1:9" ht="14.25" customHeight="1" x14ac:dyDescent="0.3">
      <c r="A5406" s="10">
        <v>45123</v>
      </c>
      <c r="B5406">
        <v>274.11200000000002</v>
      </c>
      <c r="C5406" s="8">
        <f t="shared" si="43"/>
        <v>207.63266042377711</v>
      </c>
      <c r="D5406" s="9">
        <f t="shared" si="42"/>
        <v>76.536115847561845</v>
      </c>
      <c r="E5406" s="9"/>
      <c r="F5406" s="9"/>
      <c r="G5406" s="9"/>
      <c r="H5406" s="9"/>
      <c r="I5406" s="9"/>
    </row>
    <row r="5407" spans="1:9" ht="14.25" customHeight="1" x14ac:dyDescent="0.3">
      <c r="A5407" s="10">
        <v>45124</v>
      </c>
      <c r="B5407">
        <v>275.90120000000002</v>
      </c>
      <c r="C5407" s="8">
        <f t="shared" si="43"/>
        <v>207.66979547699745</v>
      </c>
      <c r="D5407" s="9">
        <f t="shared" si="42"/>
        <v>76.538853680359111</v>
      </c>
      <c r="E5407" s="9"/>
      <c r="F5407" s="9"/>
      <c r="G5407" s="9"/>
      <c r="H5407" s="9"/>
      <c r="I5407" s="9"/>
    </row>
    <row r="5408" spans="1:9" ht="14.25" customHeight="1" x14ac:dyDescent="0.3">
      <c r="A5408" s="10">
        <v>45125</v>
      </c>
      <c r="B5408">
        <v>282.10129999999998</v>
      </c>
      <c r="C5408" s="8">
        <f t="shared" si="43"/>
        <v>207.70693717181351</v>
      </c>
      <c r="D5408" s="9">
        <f t="shared" si="42"/>
        <v>76.541591513156376</v>
      </c>
      <c r="E5408" s="9"/>
      <c r="F5408" s="9"/>
      <c r="G5408" s="9"/>
      <c r="H5408" s="9"/>
      <c r="I5408" s="9"/>
    </row>
    <row r="5409" spans="1:9" ht="14.25" customHeight="1" x14ac:dyDescent="0.3">
      <c r="A5409" s="10">
        <v>45126</v>
      </c>
      <c r="B5409">
        <v>283.9153</v>
      </c>
      <c r="C5409" s="8">
        <f t="shared" si="43"/>
        <v>207.74408550941308</v>
      </c>
      <c r="D5409" s="9">
        <f t="shared" si="42"/>
        <v>76.544329345953642</v>
      </c>
      <c r="E5409" s="9"/>
      <c r="F5409" s="9"/>
      <c r="G5409" s="9"/>
      <c r="H5409" s="9"/>
      <c r="I5409" s="9"/>
    </row>
    <row r="5410" spans="1:9" ht="14.25" customHeight="1" x14ac:dyDescent="0.3">
      <c r="A5410" s="10">
        <v>45127</v>
      </c>
      <c r="B5410">
        <v>284.72559999999999</v>
      </c>
      <c r="C5410" s="8">
        <f t="shared" si="43"/>
        <v>207.78124049098423</v>
      </c>
      <c r="D5410" s="9">
        <f t="shared" si="42"/>
        <v>76.547067178750908</v>
      </c>
      <c r="E5410" s="9"/>
      <c r="F5410" s="9"/>
      <c r="G5410" s="9"/>
      <c r="H5410" s="9"/>
      <c r="I5410" s="9"/>
    </row>
    <row r="5411" spans="1:9" ht="14.25" customHeight="1" x14ac:dyDescent="0.3">
      <c r="A5411" s="10">
        <v>45128</v>
      </c>
      <c r="B5411">
        <v>286.04989999999998</v>
      </c>
      <c r="C5411" s="8">
        <f t="shared" si="43"/>
        <v>207.81840211771521</v>
      </c>
      <c r="D5411" s="9">
        <f t="shared" si="42"/>
        <v>76.549805011548173</v>
      </c>
      <c r="E5411" s="9"/>
      <c r="F5411" s="9"/>
      <c r="G5411" s="9"/>
      <c r="H5411" s="9"/>
      <c r="I5411" s="9"/>
    </row>
    <row r="5412" spans="1:9" ht="14.25" customHeight="1" x14ac:dyDescent="0.3">
      <c r="A5412" s="10">
        <v>45129</v>
      </c>
      <c r="B5412">
        <v>286.56970000000001</v>
      </c>
      <c r="C5412" s="8">
        <f t="shared" si="43"/>
        <v>207.85557039079436</v>
      </c>
      <c r="D5412" s="9">
        <f t="shared" si="42"/>
        <v>76.552542844345439</v>
      </c>
      <c r="E5412" s="9"/>
      <c r="F5412" s="9"/>
      <c r="G5412" s="9"/>
      <c r="H5412" s="9"/>
      <c r="I5412" s="9"/>
    </row>
    <row r="5413" spans="1:9" ht="14.25" customHeight="1" x14ac:dyDescent="0.3">
      <c r="A5413" s="10">
        <v>45130</v>
      </c>
      <c r="B5413">
        <v>286.5736</v>
      </c>
      <c r="C5413" s="8">
        <f t="shared" si="43"/>
        <v>207.89274531141072</v>
      </c>
      <c r="D5413" s="9">
        <f t="shared" si="42"/>
        <v>76.555280677142704</v>
      </c>
      <c r="E5413" s="9"/>
      <c r="F5413" s="9"/>
      <c r="G5413" s="9"/>
      <c r="H5413" s="9"/>
      <c r="I5413" s="9"/>
    </row>
    <row r="5414" spans="1:9" ht="14.25" customHeight="1" x14ac:dyDescent="0.3">
      <c r="A5414" s="10">
        <v>45131</v>
      </c>
      <c r="B5414">
        <v>287.70260000000002</v>
      </c>
      <c r="C5414" s="8">
        <f t="shared" si="43"/>
        <v>207.92992688075299</v>
      </c>
      <c r="D5414" s="9">
        <f t="shared" si="42"/>
        <v>76.55801850993997</v>
      </c>
      <c r="E5414" s="9"/>
      <c r="F5414" s="9"/>
      <c r="G5414" s="9"/>
      <c r="H5414" s="9"/>
      <c r="I5414" s="9"/>
    </row>
    <row r="5415" spans="1:9" ht="14.25" customHeight="1" x14ac:dyDescent="0.3">
      <c r="A5415" s="10">
        <v>45132</v>
      </c>
      <c r="B5415">
        <v>286.35419999999999</v>
      </c>
      <c r="C5415" s="8">
        <f t="shared" si="43"/>
        <v>207.96711510001035</v>
      </c>
      <c r="D5415" s="9">
        <f t="shared" si="42"/>
        <v>76.560756342737236</v>
      </c>
      <c r="E5415" s="9"/>
      <c r="F5415" s="9"/>
      <c r="G5415" s="9"/>
      <c r="H5415" s="9"/>
      <c r="I5415" s="9"/>
    </row>
    <row r="5416" spans="1:9" ht="14.25" customHeight="1" x14ac:dyDescent="0.3">
      <c r="A5416" s="10">
        <v>45133</v>
      </c>
      <c r="B5416">
        <v>287.08359999999999</v>
      </c>
      <c r="C5416" s="8">
        <f t="shared" si="43"/>
        <v>208.00430997037213</v>
      </c>
      <c r="D5416" s="9">
        <f t="shared" si="42"/>
        <v>76.563494175534501</v>
      </c>
      <c r="E5416" s="9"/>
      <c r="F5416" s="9"/>
      <c r="G5416" s="9"/>
      <c r="H5416" s="9"/>
      <c r="I5416" s="9"/>
    </row>
    <row r="5417" spans="1:9" ht="14.25" customHeight="1" x14ac:dyDescent="0.3">
      <c r="A5417" s="10">
        <v>45134</v>
      </c>
      <c r="B5417">
        <v>286.84859999999998</v>
      </c>
      <c r="C5417" s="8">
        <f t="shared" si="43"/>
        <v>208.0415114930278</v>
      </c>
      <c r="D5417" s="9">
        <f t="shared" si="42"/>
        <v>76.566232008331767</v>
      </c>
      <c r="E5417" s="9"/>
      <c r="F5417" s="9"/>
      <c r="G5417" s="9"/>
      <c r="H5417" s="9"/>
      <c r="I5417" s="9"/>
    </row>
    <row r="5418" spans="1:9" ht="14.25" customHeight="1" x14ac:dyDescent="0.3">
      <c r="A5418" s="10">
        <v>45135</v>
      </c>
      <c r="B5418">
        <v>286.40390000000002</v>
      </c>
      <c r="C5418" s="8">
        <f t="shared" si="43"/>
        <v>208.07871966916721</v>
      </c>
      <c r="D5418" s="9">
        <f t="shared" si="42"/>
        <v>76.568969841129032</v>
      </c>
      <c r="E5418" s="9"/>
      <c r="F5418" s="9"/>
      <c r="G5418" s="9"/>
      <c r="H5418" s="9"/>
      <c r="I5418" s="9"/>
    </row>
    <row r="5419" spans="1:9" ht="14.25" customHeight="1" x14ac:dyDescent="0.3">
      <c r="A5419" s="10">
        <v>45136</v>
      </c>
      <c r="B5419">
        <v>285.30930000000001</v>
      </c>
      <c r="C5419" s="8">
        <f t="shared" si="43"/>
        <v>208.11593449998034</v>
      </c>
      <c r="D5419" s="9">
        <f t="shared" si="42"/>
        <v>76.571707673926298</v>
      </c>
      <c r="E5419" s="9"/>
      <c r="F5419" s="9"/>
      <c r="G5419" s="9"/>
      <c r="H5419" s="9"/>
      <c r="I5419" s="9"/>
    </row>
    <row r="5420" spans="1:9" ht="14.25" customHeight="1" x14ac:dyDescent="0.3">
      <c r="A5420" s="10">
        <v>45137</v>
      </c>
      <c r="B5420">
        <v>285.53410000000002</v>
      </c>
      <c r="C5420" s="8">
        <f t="shared" si="43"/>
        <v>208.15315598665731</v>
      </c>
      <c r="D5420" s="9">
        <f t="shared" si="42"/>
        <v>76.574445506723563</v>
      </c>
      <c r="E5420" s="9"/>
      <c r="F5420" s="9"/>
      <c r="G5420" s="9"/>
      <c r="H5420" s="9"/>
      <c r="I5420" s="9"/>
    </row>
    <row r="5421" spans="1:9" ht="14.25" customHeight="1" x14ac:dyDescent="0.3">
      <c r="A5421" s="10">
        <v>45138</v>
      </c>
      <c r="B5421">
        <v>286.66919999999999</v>
      </c>
      <c r="C5421" s="8">
        <f t="shared" si="43"/>
        <v>208.19038413038834</v>
      </c>
      <c r="D5421" s="9">
        <f t="shared" si="42"/>
        <v>76.577183339520829</v>
      </c>
      <c r="E5421" s="9"/>
      <c r="F5421" s="9"/>
      <c r="G5421" s="9"/>
      <c r="H5421" s="9"/>
      <c r="I5421" s="9"/>
    </row>
    <row r="5422" spans="1:9" ht="14.25" customHeight="1" x14ac:dyDescent="0.3">
      <c r="A5422" s="10">
        <v>45139</v>
      </c>
      <c r="B5422">
        <v>287.45389999999998</v>
      </c>
      <c r="C5422" s="8">
        <f t="shared" si="43"/>
        <v>208.22761893236446</v>
      </c>
      <c r="D5422" s="9">
        <f t="shared" si="42"/>
        <v>76.579921172318095</v>
      </c>
      <c r="E5422" s="9"/>
      <c r="F5422" s="9"/>
      <c r="G5422" s="9"/>
      <c r="H5422" s="9"/>
      <c r="I5422" s="9"/>
    </row>
    <row r="5423" spans="1:9" ht="14.25" customHeight="1" x14ac:dyDescent="0.3">
      <c r="A5423" s="10">
        <v>45140</v>
      </c>
      <c r="B5423">
        <v>285.39909999999998</v>
      </c>
      <c r="C5423" s="8">
        <f t="shared" si="43"/>
        <v>208.26486039377627</v>
      </c>
      <c r="D5423" s="9">
        <f t="shared" si="42"/>
        <v>76.58265900511536</v>
      </c>
      <c r="E5423" s="9"/>
      <c r="F5423" s="9"/>
      <c r="G5423" s="9"/>
      <c r="H5423" s="9"/>
      <c r="I5423" s="9"/>
    </row>
    <row r="5424" spans="1:9" ht="14.25" customHeight="1" x14ac:dyDescent="0.3">
      <c r="A5424" s="10">
        <v>45141</v>
      </c>
      <c r="B5424">
        <v>286.00529999999998</v>
      </c>
      <c r="C5424" s="8">
        <f t="shared" si="43"/>
        <v>208.30210851581487</v>
      </c>
      <c r="D5424" s="9">
        <f t="shared" si="42"/>
        <v>76.585396837912626</v>
      </c>
      <c r="E5424" s="9"/>
      <c r="F5424" s="9"/>
      <c r="G5424" s="9"/>
      <c r="H5424" s="9"/>
      <c r="I5424" s="9"/>
    </row>
    <row r="5425" spans="1:9" ht="14.25" customHeight="1" x14ac:dyDescent="0.3">
      <c r="A5425" s="10">
        <v>45142</v>
      </c>
      <c r="B5425">
        <v>283.53289999999998</v>
      </c>
      <c r="C5425" s="8">
        <f t="shared" si="43"/>
        <v>208.33936329967145</v>
      </c>
      <c r="D5425" s="9">
        <f t="shared" si="42"/>
        <v>76.588134670709891</v>
      </c>
      <c r="E5425" s="9"/>
      <c r="F5425" s="9"/>
      <c r="G5425" s="9"/>
      <c r="H5425" s="9"/>
      <c r="I5425" s="9"/>
    </row>
    <row r="5426" spans="1:9" ht="14.25" customHeight="1" x14ac:dyDescent="0.3">
      <c r="A5426" s="10">
        <v>45143</v>
      </c>
      <c r="B5426">
        <v>283.53289999999998</v>
      </c>
      <c r="C5426" s="8">
        <f t="shared" si="43"/>
        <v>208.37662474653749</v>
      </c>
      <c r="D5426" s="9">
        <f t="shared" si="42"/>
        <v>76.590872503507157</v>
      </c>
      <c r="E5426" s="9"/>
      <c r="F5426" s="9"/>
      <c r="G5426" s="9"/>
      <c r="H5426" s="9"/>
      <c r="I5426" s="9"/>
    </row>
    <row r="5427" spans="1:9" ht="14.25" customHeight="1" x14ac:dyDescent="0.3">
      <c r="A5427" s="10">
        <v>45144</v>
      </c>
      <c r="B5427">
        <v>287.87349999999998</v>
      </c>
      <c r="C5427" s="8">
        <f t="shared" si="43"/>
        <v>208.41389285760465</v>
      </c>
      <c r="D5427" s="9">
        <f t="shared" si="42"/>
        <v>76.593610336304423</v>
      </c>
      <c r="E5427" s="9"/>
      <c r="F5427" s="9"/>
      <c r="G5427" s="9"/>
      <c r="H5427" s="9"/>
      <c r="I5427" s="9"/>
    </row>
    <row r="5428" spans="1:9" ht="14.25" customHeight="1" x14ac:dyDescent="0.3">
      <c r="A5428" s="10">
        <v>45145</v>
      </c>
      <c r="B5428">
        <v>283.6071</v>
      </c>
      <c r="C5428" s="8">
        <f t="shared" si="43"/>
        <v>208.45116763406486</v>
      </c>
      <c r="D5428" s="9">
        <f t="shared" si="42"/>
        <v>76.596348169101688</v>
      </c>
      <c r="E5428" s="9"/>
      <c r="F5428" s="9"/>
      <c r="G5428" s="9"/>
      <c r="H5428" s="9"/>
      <c r="I5428" s="9"/>
    </row>
    <row r="5429" spans="1:9" ht="14.25" customHeight="1" x14ac:dyDescent="0.3">
      <c r="A5429" s="10">
        <v>45146</v>
      </c>
      <c r="B5429">
        <v>287.94920000000002</v>
      </c>
      <c r="C5429" s="8">
        <f t="shared" si="43"/>
        <v>208.48844907711023</v>
      </c>
      <c r="D5429" s="9">
        <f t="shared" si="42"/>
        <v>76.599086001898954</v>
      </c>
      <c r="E5429" s="9"/>
      <c r="F5429" s="9"/>
      <c r="G5429" s="9"/>
      <c r="H5429" s="9"/>
      <c r="I5429" s="9"/>
    </row>
    <row r="5430" spans="1:9" ht="14.25" customHeight="1" x14ac:dyDescent="0.3">
      <c r="A5430" s="10">
        <v>45147</v>
      </c>
      <c r="B5430">
        <v>287.4796</v>
      </c>
      <c r="C5430" s="8">
        <f t="shared" si="43"/>
        <v>208.5257371879328</v>
      </c>
      <c r="D5430" s="9">
        <f t="shared" si="42"/>
        <v>76.601823834696219</v>
      </c>
      <c r="E5430" s="9"/>
      <c r="F5430" s="9"/>
      <c r="G5430" s="9"/>
      <c r="H5430" s="9"/>
      <c r="I5430" s="9"/>
    </row>
    <row r="5431" spans="1:9" ht="14.25" customHeight="1" x14ac:dyDescent="0.3">
      <c r="A5431" s="10">
        <v>45148</v>
      </c>
      <c r="B5431">
        <v>287.64409999999998</v>
      </c>
      <c r="C5431" s="8">
        <f t="shared" si="43"/>
        <v>208.56303196772561</v>
      </c>
      <c r="D5431" s="9">
        <f t="shared" si="42"/>
        <v>76.604561667493485</v>
      </c>
      <c r="E5431" s="9"/>
      <c r="F5431" s="9"/>
      <c r="G5431" s="9"/>
      <c r="H5431" s="9"/>
      <c r="I5431" s="9"/>
    </row>
    <row r="5432" spans="1:9" ht="14.25" customHeight="1" x14ac:dyDescent="0.3">
      <c r="A5432" s="10">
        <v>45149</v>
      </c>
      <c r="B5432">
        <v>288.37360000000001</v>
      </c>
      <c r="C5432" s="8">
        <f t="shared" si="43"/>
        <v>208.6003334176811</v>
      </c>
      <c r="D5432" s="9">
        <f t="shared" si="42"/>
        <v>76.60729950029075</v>
      </c>
      <c r="E5432" s="9"/>
      <c r="F5432" s="9"/>
      <c r="G5432" s="9"/>
      <c r="H5432" s="9"/>
      <c r="I5432" s="9"/>
    </row>
    <row r="5433" spans="1:9" ht="14.25" customHeight="1" x14ac:dyDescent="0.3">
      <c r="A5433" s="10">
        <v>45150</v>
      </c>
      <c r="B5433">
        <v>289.1626</v>
      </c>
      <c r="C5433" s="8">
        <f t="shared" si="43"/>
        <v>208.63764153899231</v>
      </c>
      <c r="D5433" s="9">
        <f t="shared" si="42"/>
        <v>76.610037333088016</v>
      </c>
      <c r="E5433" s="9"/>
      <c r="F5433" s="9"/>
      <c r="G5433" s="9"/>
      <c r="H5433" s="9"/>
      <c r="I5433" s="9"/>
    </row>
    <row r="5434" spans="1:9" ht="14.25" customHeight="1" x14ac:dyDescent="0.3">
      <c r="A5434" s="10">
        <v>45151</v>
      </c>
      <c r="B5434">
        <v>289.48390000000001</v>
      </c>
      <c r="C5434" s="8">
        <f t="shared" si="43"/>
        <v>208.67495633285236</v>
      </c>
      <c r="D5434" s="9">
        <f t="shared" si="42"/>
        <v>76.612775165885282</v>
      </c>
      <c r="E5434" s="9"/>
      <c r="F5434" s="9"/>
      <c r="G5434" s="9"/>
      <c r="H5434" s="9"/>
      <c r="I5434" s="9"/>
    </row>
    <row r="5435" spans="1:9" ht="14.25" customHeight="1" x14ac:dyDescent="0.3">
      <c r="A5435" s="10">
        <v>45152</v>
      </c>
      <c r="B5435">
        <v>288.12049999999999</v>
      </c>
      <c r="C5435" s="8">
        <f t="shared" si="43"/>
        <v>208.71227780045461</v>
      </c>
      <c r="D5435" s="9">
        <f t="shared" si="42"/>
        <v>76.615512998682547</v>
      </c>
      <c r="E5435" s="9"/>
      <c r="F5435" s="9"/>
      <c r="G5435" s="9"/>
      <c r="H5435" s="9"/>
      <c r="I5435" s="9"/>
    </row>
    <row r="5436" spans="1:9" ht="14.25" customHeight="1" x14ac:dyDescent="0.3">
      <c r="A5436" s="10">
        <v>45153</v>
      </c>
      <c r="B5436">
        <v>291.142</v>
      </c>
      <c r="C5436" s="8">
        <f t="shared" si="43"/>
        <v>208.74960594299273</v>
      </c>
      <c r="D5436" s="9">
        <f t="shared" si="42"/>
        <v>76.618250831479813</v>
      </c>
      <c r="E5436" s="9"/>
      <c r="F5436" s="9"/>
      <c r="G5436" s="9"/>
      <c r="H5436" s="9"/>
      <c r="I5436" s="9"/>
    </row>
    <row r="5437" spans="1:9" ht="14.25" customHeight="1" x14ac:dyDescent="0.3">
      <c r="A5437" s="10">
        <v>45154</v>
      </c>
      <c r="B5437">
        <v>293.65010000000001</v>
      </c>
      <c r="C5437" s="8">
        <f t="shared" si="43"/>
        <v>208.7869407616605</v>
      </c>
      <c r="D5437" s="9">
        <f t="shared" si="42"/>
        <v>76.620988664277078</v>
      </c>
      <c r="E5437" s="9"/>
      <c r="F5437" s="9"/>
      <c r="G5437" s="9"/>
      <c r="H5437" s="9"/>
      <c r="I5437" s="9"/>
    </row>
    <row r="5438" spans="1:9" ht="14.25" customHeight="1" x14ac:dyDescent="0.3">
      <c r="A5438" s="10">
        <v>45155</v>
      </c>
      <c r="B5438">
        <v>295.87490000000003</v>
      </c>
      <c r="C5438" s="8">
        <f t="shared" si="43"/>
        <v>208.82428225765196</v>
      </c>
      <c r="D5438" s="9">
        <f t="shared" si="42"/>
        <v>76.623726497074344</v>
      </c>
      <c r="E5438" s="9"/>
      <c r="F5438" s="9"/>
      <c r="G5438" s="9"/>
      <c r="H5438" s="9"/>
      <c r="I5438" s="9"/>
    </row>
    <row r="5439" spans="1:9" ht="14.25" customHeight="1" x14ac:dyDescent="0.3">
      <c r="A5439" s="10">
        <v>45156</v>
      </c>
      <c r="B5439">
        <v>294.99990000000003</v>
      </c>
      <c r="C5439" s="8">
        <f t="shared" si="43"/>
        <v>208.86163043216109</v>
      </c>
      <c r="D5439" s="9">
        <f t="shared" si="42"/>
        <v>76.626464329871609</v>
      </c>
      <c r="E5439" s="9"/>
      <c r="F5439" s="9"/>
      <c r="G5439" s="9"/>
      <c r="H5439" s="9"/>
      <c r="I5439" s="9"/>
    </row>
    <row r="5440" spans="1:9" ht="14.25" customHeight="1" x14ac:dyDescent="0.3">
      <c r="A5440" s="10">
        <v>45157</v>
      </c>
      <c r="B5440">
        <v>296.22289999999998</v>
      </c>
      <c r="C5440" s="8">
        <f t="shared" si="43"/>
        <v>208.89898528638281</v>
      </c>
      <c r="D5440" s="9">
        <f t="shared" si="42"/>
        <v>76.629202162668875</v>
      </c>
      <c r="E5440" s="9"/>
      <c r="F5440" s="9"/>
      <c r="G5440" s="9"/>
      <c r="H5440" s="9"/>
      <c r="I5440" s="9"/>
    </row>
    <row r="5441" spans="1:9" ht="14.25" customHeight="1" x14ac:dyDescent="0.3">
      <c r="A5441" s="10">
        <v>45158</v>
      </c>
      <c r="B5441">
        <v>295.99979999999999</v>
      </c>
      <c r="C5441" s="8">
        <f t="shared" si="43"/>
        <v>208.93634682151151</v>
      </c>
      <c r="D5441" s="9">
        <f t="shared" si="42"/>
        <v>76.631939995466141</v>
      </c>
      <c r="E5441" s="9"/>
      <c r="F5441" s="9"/>
      <c r="G5441" s="9"/>
      <c r="H5441" s="9"/>
      <c r="I5441" s="9"/>
    </row>
    <row r="5442" spans="1:9" ht="14.25" customHeight="1" x14ac:dyDescent="0.3">
      <c r="A5442" s="10">
        <v>45159</v>
      </c>
      <c r="B5442">
        <v>296.76889999999997</v>
      </c>
      <c r="C5442" s="8">
        <f t="shared" si="43"/>
        <v>208.97371503874217</v>
      </c>
      <c r="D5442" s="9">
        <f t="shared" si="42"/>
        <v>76.634677828263406</v>
      </c>
      <c r="E5442" s="9"/>
      <c r="F5442" s="9"/>
      <c r="G5442" s="9"/>
      <c r="H5442" s="9"/>
      <c r="I5442" s="9"/>
    </row>
    <row r="5443" spans="1:9" ht="14.25" customHeight="1" x14ac:dyDescent="0.3">
      <c r="A5443" s="10">
        <v>45160</v>
      </c>
      <c r="B5443">
        <v>297.49180000000001</v>
      </c>
      <c r="C5443" s="8">
        <f t="shared" si="43"/>
        <v>209.01108993926979</v>
      </c>
      <c r="D5443" s="9">
        <f t="shared" si="42"/>
        <v>76.637415661060672</v>
      </c>
      <c r="E5443" s="9"/>
      <c r="F5443" s="9"/>
      <c r="G5443" s="9"/>
      <c r="H5443" s="9"/>
      <c r="I5443" s="9"/>
    </row>
    <row r="5444" spans="1:9" ht="14.25" customHeight="1" x14ac:dyDescent="0.3">
      <c r="A5444" s="10">
        <v>45161</v>
      </c>
      <c r="B5444">
        <v>298.90649999999999</v>
      </c>
      <c r="C5444" s="8">
        <f t="shared" si="43"/>
        <v>209.04847152428971</v>
      </c>
      <c r="D5444" s="9">
        <f t="shared" si="42"/>
        <v>76.640153493857937</v>
      </c>
      <c r="E5444" s="9"/>
      <c r="F5444" s="9"/>
      <c r="G5444" s="9"/>
      <c r="H5444" s="9"/>
      <c r="I5444" s="9"/>
    </row>
    <row r="5445" spans="1:9" ht="14.25" customHeight="1" x14ac:dyDescent="0.3">
      <c r="A5445" s="10">
        <v>45162</v>
      </c>
      <c r="B5445">
        <v>299.9975</v>
      </c>
      <c r="C5445" s="8">
        <f t="shared" si="43"/>
        <v>209.08585979499748</v>
      </c>
      <c r="D5445" s="9">
        <f t="shared" si="42"/>
        <v>76.642891326655203</v>
      </c>
      <c r="E5445" s="9"/>
      <c r="F5445" s="9"/>
      <c r="G5445" s="9"/>
      <c r="H5445" s="9"/>
      <c r="I5445" s="9"/>
    </row>
    <row r="5446" spans="1:9" ht="14.25" customHeight="1" x14ac:dyDescent="0.3">
      <c r="A5446" s="10">
        <v>45163</v>
      </c>
      <c r="B5446">
        <v>302.8297</v>
      </c>
      <c r="C5446" s="8">
        <f t="shared" si="43"/>
        <v>209.12325475258879</v>
      </c>
      <c r="D5446" s="9">
        <f t="shared" si="42"/>
        <v>76.645629159452469</v>
      </c>
      <c r="E5446" s="9"/>
      <c r="F5446" s="9"/>
      <c r="G5446" s="9"/>
      <c r="H5446" s="9"/>
      <c r="I5446" s="9"/>
    </row>
    <row r="5447" spans="1:9" ht="14.25" customHeight="1" x14ac:dyDescent="0.3">
      <c r="A5447" s="10">
        <v>45164</v>
      </c>
      <c r="B5447">
        <v>302.02809999999999</v>
      </c>
      <c r="C5447" s="8">
        <f t="shared" si="43"/>
        <v>209.16065639825956</v>
      </c>
      <c r="D5447" s="9">
        <f t="shared" si="42"/>
        <v>76.648366992249734</v>
      </c>
      <c r="E5447" s="9"/>
      <c r="F5447" s="9"/>
      <c r="G5447" s="9"/>
      <c r="H5447" s="9"/>
      <c r="I5447" s="9"/>
    </row>
    <row r="5448" spans="1:9" ht="14.25" customHeight="1" x14ac:dyDescent="0.3">
      <c r="A5448" s="10">
        <v>45165</v>
      </c>
      <c r="B5448">
        <v>303.18669999999997</v>
      </c>
      <c r="C5448" s="8">
        <f t="shared" si="43"/>
        <v>209.19806473320585</v>
      </c>
      <c r="D5448" s="9">
        <f t="shared" si="42"/>
        <v>76.651104825047</v>
      </c>
      <c r="E5448" s="9"/>
      <c r="F5448" s="9"/>
      <c r="G5448" s="9"/>
      <c r="H5448" s="9"/>
      <c r="I5448" s="9"/>
    </row>
    <row r="5449" spans="1:9" ht="14.25" customHeight="1" x14ac:dyDescent="0.3">
      <c r="A5449" s="10">
        <v>45166</v>
      </c>
      <c r="B5449">
        <v>303.53609999999998</v>
      </c>
      <c r="C5449" s="8">
        <f t="shared" si="43"/>
        <v>209.23547975862439</v>
      </c>
      <c r="D5449" s="9">
        <f t="shared" si="42"/>
        <v>76.653842657844265</v>
      </c>
      <c r="E5449" s="9"/>
      <c r="F5449" s="9"/>
      <c r="G5449" s="9"/>
      <c r="H5449" s="9"/>
      <c r="I5449" s="9"/>
    </row>
    <row r="5450" spans="1:9" ht="14.25" customHeight="1" x14ac:dyDescent="0.3">
      <c r="A5450" s="10">
        <v>45167</v>
      </c>
      <c r="B5450">
        <v>304.18979999999999</v>
      </c>
      <c r="C5450" s="8">
        <f t="shared" si="43"/>
        <v>209.27290147571154</v>
      </c>
      <c r="D5450" s="9">
        <f t="shared" si="42"/>
        <v>76.656580490641531</v>
      </c>
      <c r="E5450" s="9"/>
      <c r="F5450" s="9"/>
      <c r="G5450" s="9"/>
      <c r="H5450" s="9"/>
      <c r="I5450" s="9"/>
    </row>
    <row r="5451" spans="1:9" ht="14.25" customHeight="1" x14ac:dyDescent="0.3">
      <c r="A5451" s="10">
        <v>45168</v>
      </c>
      <c r="B5451">
        <v>304.697</v>
      </c>
      <c r="C5451" s="8">
        <f t="shared" si="43"/>
        <v>209.31032988566409</v>
      </c>
      <c r="D5451" s="9">
        <f t="shared" si="42"/>
        <v>76.659318323438796</v>
      </c>
      <c r="E5451" s="9"/>
      <c r="F5451" s="9"/>
      <c r="G5451" s="9"/>
      <c r="H5451" s="9"/>
      <c r="I5451" s="9"/>
    </row>
    <row r="5452" spans="1:9" ht="14.25" customHeight="1" x14ac:dyDescent="0.3">
      <c r="A5452" s="10">
        <v>45169</v>
      </c>
      <c r="B5452">
        <v>303.3159</v>
      </c>
      <c r="C5452" s="8">
        <f t="shared" si="43"/>
        <v>209.34776498967912</v>
      </c>
      <c r="D5452" s="9">
        <f t="shared" si="42"/>
        <v>76.662056156236062</v>
      </c>
      <c r="E5452" s="9"/>
      <c r="F5452" s="9"/>
      <c r="G5452" s="9"/>
      <c r="H5452" s="9"/>
      <c r="I5452" s="9"/>
    </row>
    <row r="5453" spans="1:9" ht="14.25" customHeight="1" x14ac:dyDescent="0.3">
      <c r="A5453" s="10">
        <v>45170</v>
      </c>
      <c r="B5453">
        <v>306.25389999999999</v>
      </c>
      <c r="C5453" s="8">
        <f t="shared" si="43"/>
        <v>209.38520678895384</v>
      </c>
      <c r="D5453" s="9">
        <f t="shared" si="42"/>
        <v>76.664793989033328</v>
      </c>
      <c r="E5453" s="9"/>
      <c r="F5453" s="9"/>
      <c r="G5453" s="9"/>
      <c r="H5453" s="9"/>
      <c r="I5453" s="9"/>
    </row>
    <row r="5454" spans="1:9" ht="14.25" customHeight="1" x14ac:dyDescent="0.3">
      <c r="A5454" s="10">
        <v>45171</v>
      </c>
      <c r="B5454">
        <v>306.25420000000003</v>
      </c>
      <c r="C5454" s="8">
        <f t="shared" si="43"/>
        <v>209.42265528468565</v>
      </c>
      <c r="D5454" s="9">
        <f t="shared" si="42"/>
        <v>76.667531821830593</v>
      </c>
      <c r="E5454" s="9"/>
      <c r="F5454" s="9"/>
      <c r="G5454" s="9"/>
      <c r="H5454" s="9"/>
      <c r="I5454" s="9"/>
    </row>
    <row r="5455" spans="1:9" ht="14.25" customHeight="1" x14ac:dyDescent="0.3">
      <c r="A5455" s="10">
        <v>45172</v>
      </c>
      <c r="B5455">
        <v>307.66329999999999</v>
      </c>
      <c r="C5455" s="8">
        <f t="shared" si="43"/>
        <v>209.46011047807229</v>
      </c>
      <c r="D5455" s="9">
        <f t="shared" si="42"/>
        <v>76.670269654627859</v>
      </c>
      <c r="E5455" s="9"/>
      <c r="F5455" s="9"/>
      <c r="G5455" s="9"/>
      <c r="H5455" s="9"/>
      <c r="I5455" s="9"/>
    </row>
    <row r="5456" spans="1:9" ht="14.25" customHeight="1" x14ac:dyDescent="0.3">
      <c r="A5456" s="10">
        <v>45173</v>
      </c>
      <c r="B5456">
        <v>306.65050000000002</v>
      </c>
      <c r="C5456" s="8">
        <f t="shared" si="43"/>
        <v>209.49757237031159</v>
      </c>
      <c r="D5456" s="9">
        <f t="shared" si="42"/>
        <v>76.673007487425124</v>
      </c>
      <c r="E5456" s="9"/>
      <c r="F5456" s="9"/>
      <c r="G5456" s="9"/>
      <c r="H5456" s="9"/>
      <c r="I5456" s="9"/>
    </row>
    <row r="5457" spans="1:9" ht="14.25" customHeight="1" x14ac:dyDescent="0.3">
      <c r="A5457" s="10">
        <v>45174</v>
      </c>
      <c r="B5457">
        <v>308.09829999999999</v>
      </c>
      <c r="C5457" s="8">
        <f t="shared" si="43"/>
        <v>209.53504096260141</v>
      </c>
      <c r="D5457" s="9">
        <f t="shared" si="42"/>
        <v>76.67574532022239</v>
      </c>
      <c r="E5457" s="9"/>
      <c r="F5457" s="9"/>
      <c r="G5457" s="9"/>
      <c r="H5457" s="9"/>
      <c r="I5457" s="9"/>
    </row>
    <row r="5458" spans="1:9" ht="14.25" customHeight="1" x14ac:dyDescent="0.3">
      <c r="A5458" s="10">
        <v>45175</v>
      </c>
      <c r="B5458">
        <v>307.48880000000003</v>
      </c>
      <c r="C5458" s="8">
        <f t="shared" si="43"/>
        <v>209.57251625614049</v>
      </c>
      <c r="D5458" s="9">
        <f t="shared" si="42"/>
        <v>76.678483153019656</v>
      </c>
      <c r="E5458" s="9"/>
      <c r="F5458" s="9"/>
      <c r="G5458" s="9"/>
      <c r="H5458" s="9"/>
      <c r="I5458" s="9"/>
    </row>
    <row r="5459" spans="1:9" ht="14.25" customHeight="1" x14ac:dyDescent="0.3">
      <c r="A5459" s="10">
        <v>45176</v>
      </c>
      <c r="B5459">
        <v>304.9588</v>
      </c>
      <c r="C5459" s="8">
        <f t="shared" si="43"/>
        <v>209.60999825212713</v>
      </c>
      <c r="D5459" s="9">
        <f t="shared" si="42"/>
        <v>76.681220985816921</v>
      </c>
      <c r="E5459" s="9"/>
      <c r="F5459" s="9"/>
      <c r="G5459" s="9"/>
      <c r="H5459" s="9"/>
      <c r="I5459" s="9"/>
    </row>
    <row r="5460" spans="1:9" ht="14.25" customHeight="1" x14ac:dyDescent="0.3">
      <c r="A5460" s="10">
        <v>45177</v>
      </c>
      <c r="B5460">
        <v>307.37490000000003</v>
      </c>
      <c r="C5460" s="8">
        <f t="shared" si="43"/>
        <v>209.64748695176007</v>
      </c>
      <c r="D5460" s="9">
        <f t="shared" si="42"/>
        <v>76.683958818614187</v>
      </c>
      <c r="E5460" s="9"/>
      <c r="F5460" s="9"/>
      <c r="G5460" s="9"/>
      <c r="H5460" s="9"/>
      <c r="I5460" s="9"/>
    </row>
    <row r="5461" spans="1:9" ht="14.25" customHeight="1" x14ac:dyDescent="0.3">
      <c r="A5461" s="10">
        <v>45178</v>
      </c>
      <c r="B5461">
        <v>307.37509999999997</v>
      </c>
      <c r="C5461" s="8">
        <f t="shared" si="43"/>
        <v>209.68498235623829</v>
      </c>
      <c r="D5461" s="9">
        <f t="shared" si="42"/>
        <v>76.686696651411452</v>
      </c>
      <c r="E5461" s="9"/>
      <c r="F5461" s="9"/>
      <c r="G5461" s="9"/>
      <c r="H5461" s="9"/>
      <c r="I5461" s="9"/>
    </row>
    <row r="5462" spans="1:9" ht="14.25" customHeight="1" x14ac:dyDescent="0.3">
      <c r="A5462" s="10">
        <v>45179</v>
      </c>
      <c r="B5462">
        <v>306.3202</v>
      </c>
      <c r="C5462" s="8">
        <f t="shared" si="43"/>
        <v>209.72248446676087</v>
      </c>
      <c r="D5462" s="9">
        <f t="shared" si="42"/>
        <v>76.689434484208718</v>
      </c>
      <c r="E5462" s="9"/>
      <c r="F5462" s="9"/>
      <c r="G5462" s="9"/>
      <c r="H5462" s="9"/>
      <c r="I5462" s="9"/>
    </row>
    <row r="5463" spans="1:9" ht="14.25" customHeight="1" x14ac:dyDescent="0.3">
      <c r="A5463" s="10">
        <v>45180</v>
      </c>
      <c r="B5463">
        <v>299.06389999999999</v>
      </c>
      <c r="C5463" s="8">
        <f t="shared" si="43"/>
        <v>209.75999328452724</v>
      </c>
      <c r="D5463" s="9">
        <f t="shared" si="42"/>
        <v>76.692172317005983</v>
      </c>
      <c r="E5463" s="9"/>
      <c r="F5463" s="9"/>
      <c r="G5463" s="9"/>
      <c r="H5463" s="9"/>
      <c r="I5463" s="9"/>
    </row>
    <row r="5464" spans="1:9" ht="14.25" customHeight="1" x14ac:dyDescent="0.3">
      <c r="A5464" s="10">
        <v>45181</v>
      </c>
      <c r="B5464">
        <v>299.66109999999998</v>
      </c>
      <c r="C5464" s="8">
        <f t="shared" si="43"/>
        <v>209.79750881073701</v>
      </c>
      <c r="D5464" s="9">
        <f t="shared" si="42"/>
        <v>76.694910149803249</v>
      </c>
      <c r="E5464" s="9"/>
      <c r="F5464" s="9"/>
      <c r="G5464" s="9"/>
      <c r="H5464" s="9"/>
      <c r="I5464" s="9"/>
    </row>
    <row r="5465" spans="1:9" ht="14.25" customHeight="1" x14ac:dyDescent="0.3">
      <c r="A5465" s="10">
        <v>45182</v>
      </c>
      <c r="B5465">
        <v>295.31889999999999</v>
      </c>
      <c r="C5465" s="8">
        <f t="shared" si="43"/>
        <v>209.83503104658993</v>
      </c>
      <c r="D5465" s="9">
        <f t="shared" si="42"/>
        <v>76.697647982600515</v>
      </c>
      <c r="E5465" s="9"/>
      <c r="F5465" s="9"/>
      <c r="G5465" s="9"/>
      <c r="H5465" s="9"/>
      <c r="I5465" s="9"/>
    </row>
    <row r="5466" spans="1:9" ht="14.25" customHeight="1" x14ac:dyDescent="0.3">
      <c r="A5466" s="10">
        <v>45183</v>
      </c>
      <c r="B5466">
        <v>297.82119999999998</v>
      </c>
      <c r="C5466" s="8">
        <f t="shared" si="43"/>
        <v>209.87255999328588</v>
      </c>
      <c r="D5466" s="9">
        <f t="shared" si="42"/>
        <v>76.70038581539778</v>
      </c>
      <c r="E5466" s="9"/>
      <c r="F5466" s="9"/>
      <c r="G5466" s="9"/>
      <c r="H5466" s="9"/>
      <c r="I5466" s="9"/>
    </row>
    <row r="5467" spans="1:9" ht="14.25" customHeight="1" x14ac:dyDescent="0.3">
      <c r="A5467" s="10">
        <v>45184</v>
      </c>
      <c r="B5467">
        <v>297.02499999999998</v>
      </c>
      <c r="C5467" s="8">
        <f t="shared" si="43"/>
        <v>209.9100956520254</v>
      </c>
      <c r="D5467" s="9">
        <f t="shared" si="42"/>
        <v>76.703123648195046</v>
      </c>
      <c r="E5467" s="9"/>
      <c r="F5467" s="9"/>
      <c r="G5467" s="9"/>
      <c r="H5467" s="9"/>
      <c r="I5467" s="9"/>
    </row>
    <row r="5468" spans="1:9" ht="14.25" customHeight="1" x14ac:dyDescent="0.3">
      <c r="A5468" s="10">
        <v>45185</v>
      </c>
      <c r="B5468">
        <v>296.4203</v>
      </c>
      <c r="C5468" s="8">
        <f t="shared" si="43"/>
        <v>209.94763802400882</v>
      </c>
      <c r="D5468" s="9">
        <f t="shared" si="42"/>
        <v>76.705861480992311</v>
      </c>
      <c r="E5468" s="9"/>
      <c r="F5468" s="9"/>
      <c r="G5468" s="9"/>
      <c r="H5468" s="9"/>
      <c r="I5468" s="9"/>
    </row>
    <row r="5469" spans="1:9" ht="14.25" customHeight="1" x14ac:dyDescent="0.3">
      <c r="A5469" s="10">
        <v>45186</v>
      </c>
      <c r="B5469">
        <v>296.54129999999998</v>
      </c>
      <c r="C5469" s="8">
        <f t="shared" si="43"/>
        <v>209.98518711043675</v>
      </c>
      <c r="D5469" s="9">
        <f t="shared" si="42"/>
        <v>76.708599313789577</v>
      </c>
      <c r="E5469" s="9"/>
      <c r="F5469" s="9"/>
      <c r="G5469" s="9"/>
      <c r="H5469" s="9"/>
      <c r="I5469" s="9"/>
    </row>
    <row r="5470" spans="1:9" ht="14.25" customHeight="1" x14ac:dyDescent="0.3">
      <c r="A5470" s="10">
        <v>45187</v>
      </c>
      <c r="B5470">
        <v>293.8159</v>
      </c>
      <c r="C5470" s="8">
        <f t="shared" si="43"/>
        <v>210.0227429125101</v>
      </c>
      <c r="D5470" s="9">
        <f t="shared" si="42"/>
        <v>76.711337146586843</v>
      </c>
      <c r="E5470" s="9"/>
      <c r="F5470" s="9"/>
      <c r="G5470" s="9"/>
      <c r="H5470" s="9"/>
      <c r="I5470" s="9"/>
    </row>
    <row r="5471" spans="1:9" ht="14.25" customHeight="1" x14ac:dyDescent="0.3">
      <c r="A5471" s="10">
        <v>45188</v>
      </c>
      <c r="B5471">
        <v>294.77249999999998</v>
      </c>
      <c r="C5471" s="8">
        <f t="shared" si="43"/>
        <v>210.06030543142998</v>
      </c>
      <c r="D5471" s="9">
        <f t="shared" si="42"/>
        <v>76.714074979384108</v>
      </c>
      <c r="E5471" s="9"/>
      <c r="F5471" s="9"/>
      <c r="G5471" s="9"/>
      <c r="H5471" s="9"/>
      <c r="I5471" s="9"/>
    </row>
    <row r="5472" spans="1:9" ht="14.25" customHeight="1" x14ac:dyDescent="0.3">
      <c r="A5472" s="10">
        <v>45189</v>
      </c>
      <c r="B5472">
        <v>291.70549999999997</v>
      </c>
      <c r="C5472" s="8">
        <f t="shared" si="43"/>
        <v>210.09787466839762</v>
      </c>
      <c r="D5472" s="9">
        <f t="shared" si="42"/>
        <v>76.716812812181374</v>
      </c>
      <c r="E5472" s="9"/>
      <c r="F5472" s="9"/>
      <c r="G5472" s="9"/>
      <c r="H5472" s="9"/>
      <c r="I5472" s="9"/>
    </row>
    <row r="5473" spans="1:9" ht="14.25" customHeight="1" x14ac:dyDescent="0.3">
      <c r="A5473" s="10">
        <v>45190</v>
      </c>
      <c r="B5473">
        <v>290.90660000000003</v>
      </c>
      <c r="C5473" s="8">
        <f t="shared" si="43"/>
        <v>210.13545062461461</v>
      </c>
      <c r="D5473" s="9">
        <f t="shared" si="42"/>
        <v>76.719550644978639</v>
      </c>
      <c r="E5473" s="9"/>
      <c r="F5473" s="9"/>
      <c r="G5473" s="9"/>
      <c r="H5473" s="9"/>
      <c r="I5473" s="9"/>
    </row>
    <row r="5474" spans="1:9" ht="14.25" customHeight="1" x14ac:dyDescent="0.3">
      <c r="A5474" s="10">
        <v>45191</v>
      </c>
      <c r="B5474">
        <v>292.95010000000002</v>
      </c>
      <c r="C5474" s="8">
        <f t="shared" si="43"/>
        <v>210.17303330128266</v>
      </c>
      <c r="D5474" s="9">
        <f t="shared" si="42"/>
        <v>76.722288477775905</v>
      </c>
      <c r="E5474" s="9"/>
      <c r="F5474" s="9"/>
      <c r="G5474" s="9"/>
      <c r="H5474" s="9"/>
      <c r="I5474" s="9"/>
    </row>
    <row r="5475" spans="1:9" ht="14.25" customHeight="1" x14ac:dyDescent="0.3">
      <c r="A5475" s="10">
        <v>45192</v>
      </c>
      <c r="B5475">
        <v>292.95010000000002</v>
      </c>
      <c r="C5475" s="8">
        <f t="shared" si="43"/>
        <v>210.21062269960356</v>
      </c>
      <c r="D5475" s="9">
        <f t="shared" si="42"/>
        <v>76.72502631057317</v>
      </c>
      <c r="E5475" s="9"/>
      <c r="F5475" s="9"/>
      <c r="G5475" s="9"/>
      <c r="H5475" s="9"/>
      <c r="I5475" s="9"/>
    </row>
    <row r="5476" spans="1:9" ht="14.25" customHeight="1" x14ac:dyDescent="0.3">
      <c r="A5476" s="10">
        <v>45193</v>
      </c>
      <c r="B5476">
        <v>288.36810000000003</v>
      </c>
      <c r="C5476" s="8">
        <f t="shared" si="43"/>
        <v>210.24821882077978</v>
      </c>
      <c r="D5476" s="9">
        <f t="shared" si="42"/>
        <v>76.727764143370436</v>
      </c>
      <c r="E5476" s="9"/>
      <c r="F5476" s="9"/>
      <c r="G5476" s="9"/>
      <c r="H5476" s="9"/>
      <c r="I5476" s="9"/>
    </row>
    <row r="5477" spans="1:9" ht="14.25" customHeight="1" x14ac:dyDescent="0.3">
      <c r="A5477" s="10">
        <v>45194</v>
      </c>
      <c r="B5477">
        <v>290.50670000000002</v>
      </c>
      <c r="C5477" s="8">
        <f t="shared" si="43"/>
        <v>210.28582166601362</v>
      </c>
      <c r="D5477" s="9">
        <f t="shared" si="42"/>
        <v>76.730501976167702</v>
      </c>
      <c r="E5477" s="9"/>
      <c r="F5477" s="9"/>
      <c r="G5477" s="9"/>
      <c r="H5477" s="9"/>
      <c r="I5477" s="9"/>
    </row>
    <row r="5478" spans="1:9" ht="14.25" customHeight="1" x14ac:dyDescent="0.3">
      <c r="A5478" s="10">
        <v>45195</v>
      </c>
      <c r="B5478">
        <f t="shared" ref="B5478:B5732" ca="1" si="44">IFERROR(VALUE(MID(VLOOKUP(A5478,F$5:G6305,2,FALSE),9,8)),"")</f>
        <v>287.91520000000003</v>
      </c>
      <c r="C5478" s="8">
        <f t="shared" si="43"/>
        <v>210.32343123650759</v>
      </c>
      <c r="D5478" s="9">
        <f t="shared" si="42"/>
        <v>76.733239808964967</v>
      </c>
      <c r="E5478" s="9"/>
      <c r="F5478" s="9"/>
      <c r="G5478" s="9"/>
      <c r="H5478" s="9"/>
      <c r="I5478" s="9"/>
    </row>
    <row r="5479" spans="1:9" ht="14.25" customHeight="1" x14ac:dyDescent="0.3">
      <c r="A5479" s="10">
        <v>45196</v>
      </c>
      <c r="B5479">
        <f t="shared" ca="1" si="44"/>
        <v>289.476</v>
      </c>
      <c r="C5479" s="8">
        <f t="shared" si="43"/>
        <v>210.36104753346453</v>
      </c>
      <c r="D5479" s="9">
        <f t="shared" si="42"/>
        <v>76.735977641762233</v>
      </c>
      <c r="E5479" s="9"/>
      <c r="F5479" s="9"/>
      <c r="G5479" s="9"/>
      <c r="H5479" s="9"/>
      <c r="I5479" s="9"/>
    </row>
    <row r="5480" spans="1:9" ht="14.25" customHeight="1" x14ac:dyDescent="0.3">
      <c r="A5480" s="10">
        <v>45197</v>
      </c>
      <c r="B5480">
        <f t="shared" ca="1" si="44"/>
        <v>287.6266</v>
      </c>
      <c r="C5480" s="8">
        <f t="shared" si="43"/>
        <v>210.39867055808747</v>
      </c>
      <c r="D5480" s="9">
        <f t="shared" si="42"/>
        <v>76.738715474559498</v>
      </c>
      <c r="E5480" s="9"/>
      <c r="F5480" s="9"/>
      <c r="G5480" s="9"/>
      <c r="H5480" s="9"/>
      <c r="I5480" s="9"/>
    </row>
    <row r="5481" spans="1:9" ht="14.25" customHeight="1" x14ac:dyDescent="0.3">
      <c r="A5481" s="10">
        <v>45198</v>
      </c>
      <c r="B5481">
        <f t="shared" ca="1" si="44"/>
        <v>287.75029999999998</v>
      </c>
      <c r="C5481" s="8">
        <f t="shared" si="43"/>
        <v>210.43630031157966</v>
      </c>
      <c r="D5481" s="9">
        <f t="shared" si="42"/>
        <v>76.741453307356764</v>
      </c>
      <c r="E5481" s="9"/>
      <c r="F5481" s="9"/>
      <c r="G5481" s="9"/>
      <c r="H5481" s="9"/>
      <c r="I5481" s="9"/>
    </row>
    <row r="5482" spans="1:9" ht="14.25" customHeight="1" x14ac:dyDescent="0.3">
      <c r="A5482" s="10">
        <v>45199</v>
      </c>
      <c r="B5482">
        <f t="shared" ca="1" si="44"/>
        <v>289.37049999999999</v>
      </c>
      <c r="C5482" s="8">
        <f t="shared" si="43"/>
        <v>210.47393679514454</v>
      </c>
      <c r="D5482" s="9">
        <f t="shared" si="42"/>
        <v>76.74419114015403</v>
      </c>
      <c r="E5482" s="9"/>
      <c r="F5482" s="9"/>
      <c r="G5482" s="9"/>
      <c r="H5482" s="9"/>
      <c r="I5482" s="9"/>
    </row>
    <row r="5483" spans="1:9" ht="14.25" customHeight="1" x14ac:dyDescent="0.3">
      <c r="A5483" s="10">
        <v>45200</v>
      </c>
      <c r="B5483">
        <f t="shared" ca="1" si="44"/>
        <v>289.09410000000003</v>
      </c>
      <c r="C5483" s="8">
        <f t="shared" si="43"/>
        <v>210.51158000998598</v>
      </c>
      <c r="D5483" s="9">
        <f t="shared" si="42"/>
        <v>76.746928972951309</v>
      </c>
      <c r="E5483" s="9"/>
      <c r="F5483" s="9"/>
      <c r="G5483" s="9"/>
      <c r="H5483" s="9"/>
      <c r="I5483" s="9"/>
    </row>
    <row r="5484" spans="1:9" ht="14.25" customHeight="1" x14ac:dyDescent="0.3">
      <c r="A5484" s="10">
        <v>45201</v>
      </c>
      <c r="B5484">
        <f t="shared" ca="1" si="44"/>
        <v>286.97930000000002</v>
      </c>
      <c r="C5484" s="8">
        <f t="shared" si="43"/>
        <v>210.54922995730746</v>
      </c>
      <c r="D5484" s="9">
        <f t="shared" si="42"/>
        <v>76.749666805748575</v>
      </c>
      <c r="E5484" s="9"/>
      <c r="F5484" s="9"/>
      <c r="G5484" s="9"/>
      <c r="H5484" s="9"/>
      <c r="I5484" s="9"/>
    </row>
    <row r="5485" spans="1:9" ht="14.25" customHeight="1" x14ac:dyDescent="0.3">
      <c r="A5485" s="10">
        <v>45202</v>
      </c>
      <c r="B5485">
        <f t="shared" ca="1" si="44"/>
        <v>285.7364</v>
      </c>
      <c r="C5485" s="8">
        <f t="shared" si="43"/>
        <v>210.58688663831313</v>
      </c>
      <c r="D5485" s="9">
        <f t="shared" si="42"/>
        <v>76.75240463854584</v>
      </c>
      <c r="E5485" s="9"/>
      <c r="F5485" s="9"/>
      <c r="G5485" s="9"/>
      <c r="H5485" s="9"/>
      <c r="I5485" s="9"/>
    </row>
    <row r="5486" spans="1:9" ht="14.25" customHeight="1" x14ac:dyDescent="0.3">
      <c r="A5486" s="10">
        <v>45203</v>
      </c>
      <c r="B5486">
        <f t="shared" ca="1" si="44"/>
        <v>284.53530000000001</v>
      </c>
      <c r="C5486" s="8">
        <f t="shared" si="43"/>
        <v>210.62455005420765</v>
      </c>
      <c r="D5486" s="9">
        <f t="shared" si="42"/>
        <v>76.755142471343106</v>
      </c>
      <c r="E5486" s="9"/>
      <c r="F5486" s="9"/>
      <c r="G5486" s="9"/>
      <c r="H5486" s="9"/>
      <c r="I5486" s="9"/>
    </row>
    <row r="5487" spans="1:9" ht="14.25" customHeight="1" x14ac:dyDescent="0.3">
      <c r="A5487" s="10">
        <v>45204</v>
      </c>
      <c r="B5487">
        <f t="shared" ca="1" si="44"/>
        <v>283.79660000000001</v>
      </c>
      <c r="C5487" s="8">
        <f t="shared" si="43"/>
        <v>210.66222020619543</v>
      </c>
      <c r="D5487" s="9">
        <f t="shared" si="42"/>
        <v>76.757880304140372</v>
      </c>
      <c r="E5487" s="9"/>
      <c r="F5487" s="9"/>
      <c r="G5487" s="9"/>
      <c r="H5487" s="9"/>
      <c r="I5487" s="9"/>
    </row>
    <row r="5488" spans="1:9" ht="14.25" customHeight="1" x14ac:dyDescent="0.3">
      <c r="A5488" s="10">
        <v>45205</v>
      </c>
      <c r="B5488">
        <f t="shared" ca="1" si="44"/>
        <v>277.63499999999999</v>
      </c>
      <c r="C5488" s="8">
        <f t="shared" si="43"/>
        <v>210.69989709548111</v>
      </c>
      <c r="D5488" s="9">
        <f t="shared" si="42"/>
        <v>76.760618136937637</v>
      </c>
      <c r="E5488" s="9"/>
      <c r="F5488" s="9"/>
      <c r="G5488" s="9"/>
      <c r="H5488" s="9"/>
      <c r="I5488" s="9"/>
    </row>
    <row r="5489" spans="1:9" ht="14.25" customHeight="1" x14ac:dyDescent="0.3">
      <c r="A5489" s="10">
        <v>45206</v>
      </c>
      <c r="B5489">
        <f t="shared" ca="1" si="44"/>
        <v>277.68060000000003</v>
      </c>
      <c r="C5489" s="8">
        <f t="shared" si="43"/>
        <v>210.73758072326973</v>
      </c>
      <c r="D5489" s="9">
        <f t="shared" si="42"/>
        <v>76.763355969734903</v>
      </c>
      <c r="E5489" s="9"/>
      <c r="F5489" s="9"/>
      <c r="G5489" s="9"/>
      <c r="H5489" s="9"/>
      <c r="I5489" s="9"/>
    </row>
    <row r="5490" spans="1:9" ht="14.25" customHeight="1" x14ac:dyDescent="0.3">
      <c r="A5490" s="10">
        <v>45207</v>
      </c>
      <c r="B5490">
        <f t="shared" ca="1" si="44"/>
        <v>278.84480000000002</v>
      </c>
      <c r="C5490" s="8">
        <f t="shared" si="43"/>
        <v>210.77527109076644</v>
      </c>
      <c r="D5490" s="9">
        <f t="shared" si="42"/>
        <v>76.766093802532168</v>
      </c>
      <c r="E5490" s="9"/>
      <c r="F5490" s="9"/>
      <c r="G5490" s="9"/>
      <c r="H5490" s="9"/>
      <c r="I5490" s="9"/>
    </row>
    <row r="5491" spans="1:9" ht="14.25" customHeight="1" x14ac:dyDescent="0.3">
      <c r="A5491" s="10">
        <v>45208</v>
      </c>
      <c r="B5491">
        <f t="shared" ca="1" si="44"/>
        <v>281.35210000000001</v>
      </c>
      <c r="C5491" s="8">
        <f t="shared" si="43"/>
        <v>210.81296819917668</v>
      </c>
      <c r="D5491" s="9">
        <f t="shared" si="42"/>
        <v>76.768831635329434</v>
      </c>
      <c r="E5491" s="9"/>
      <c r="F5491" s="9"/>
      <c r="G5491" s="9"/>
      <c r="H5491" s="9"/>
      <c r="I5491" s="9"/>
    </row>
    <row r="5492" spans="1:9" ht="14.25" customHeight="1" x14ac:dyDescent="0.3">
      <c r="A5492" s="10">
        <v>45209</v>
      </c>
      <c r="B5492">
        <f t="shared" ca="1" si="44"/>
        <v>280.6542</v>
      </c>
      <c r="C5492" s="8">
        <f t="shared" si="43"/>
        <v>210.85067204970596</v>
      </c>
      <c r="D5492" s="9">
        <f t="shared" si="42"/>
        <v>76.7715694681267</v>
      </c>
      <c r="E5492" s="9"/>
      <c r="F5492" s="9"/>
      <c r="G5492" s="9"/>
      <c r="H5492" s="9"/>
      <c r="I5492" s="9"/>
    </row>
    <row r="5493" spans="1:9" ht="14.25" customHeight="1" x14ac:dyDescent="0.3">
      <c r="A5493" s="10">
        <v>45210</v>
      </c>
      <c r="B5493">
        <f t="shared" ca="1" si="44"/>
        <v>279.36970000000002</v>
      </c>
      <c r="C5493" s="8">
        <f t="shared" si="43"/>
        <v>210.88838264356025</v>
      </c>
      <c r="D5493" s="9">
        <f t="shared" si="42"/>
        <v>76.774307300923965</v>
      </c>
      <c r="E5493" s="9"/>
      <c r="F5493" s="9"/>
      <c r="G5493" s="9"/>
      <c r="H5493" s="9"/>
      <c r="I5493" s="9"/>
    </row>
    <row r="5494" spans="1:9" ht="14.25" customHeight="1" x14ac:dyDescent="0.3">
      <c r="A5494" s="10">
        <v>45211</v>
      </c>
      <c r="B5494">
        <f t="shared" ca="1" si="44"/>
        <v>278.44990000000001</v>
      </c>
      <c r="C5494" s="8">
        <f t="shared" si="43"/>
        <v>210.92609998194527</v>
      </c>
      <c r="D5494" s="9">
        <f t="shared" si="42"/>
        <v>76.777045133721231</v>
      </c>
      <c r="E5494" s="9"/>
      <c r="F5494" s="9"/>
      <c r="G5494" s="9"/>
      <c r="H5494" s="9"/>
      <c r="I5494" s="9"/>
    </row>
    <row r="5495" spans="1:9" ht="14.25" customHeight="1" x14ac:dyDescent="0.3">
      <c r="A5495" s="10">
        <v>45212</v>
      </c>
      <c r="B5495">
        <f t="shared" ca="1" si="44"/>
        <v>277.45139999999998</v>
      </c>
      <c r="C5495" s="8">
        <f t="shared" si="43"/>
        <v>210.96382406606776</v>
      </c>
      <c r="D5495" s="9">
        <f t="shared" si="42"/>
        <v>76.779782966518496</v>
      </c>
      <c r="E5495" s="9"/>
      <c r="F5495" s="9"/>
      <c r="G5495" s="9"/>
      <c r="H5495" s="9"/>
      <c r="I5495" s="9"/>
    </row>
    <row r="5496" spans="1:9" ht="14.25" customHeight="1" x14ac:dyDescent="0.3">
      <c r="A5496" s="10">
        <v>45213</v>
      </c>
      <c r="B5496">
        <f t="shared" ca="1" si="44"/>
        <v>277.55739999999997</v>
      </c>
      <c r="C5496" s="8">
        <f t="shared" si="43"/>
        <v>211.00155489713393</v>
      </c>
      <c r="D5496" s="9">
        <f t="shared" si="42"/>
        <v>76.782520799315762</v>
      </c>
      <c r="E5496" s="9"/>
      <c r="F5496" s="9"/>
      <c r="G5496" s="9"/>
      <c r="H5496" s="9"/>
      <c r="I5496" s="9"/>
    </row>
    <row r="5497" spans="1:9" ht="14.25" customHeight="1" x14ac:dyDescent="0.3">
      <c r="A5497" s="10">
        <v>45214</v>
      </c>
      <c r="B5497">
        <f t="shared" ca="1" si="44"/>
        <v>277.57799999999997</v>
      </c>
      <c r="C5497" s="8">
        <f t="shared" si="43"/>
        <v>211.03929247635048</v>
      </c>
      <c r="D5497" s="9">
        <f t="shared" si="42"/>
        <v>76.785258632113027</v>
      </c>
      <c r="E5497" s="9"/>
      <c r="F5497" s="9"/>
      <c r="G5497" s="9"/>
      <c r="H5497" s="9"/>
      <c r="I5497" s="9"/>
    </row>
    <row r="5498" spans="1:9" ht="14.25" customHeight="1" x14ac:dyDescent="0.3">
      <c r="A5498" s="10">
        <v>45215</v>
      </c>
      <c r="B5498">
        <f t="shared" ca="1" si="44"/>
        <v>276.83420000000001</v>
      </c>
      <c r="C5498" s="8">
        <f t="shared" si="43"/>
        <v>211.07703680492435</v>
      </c>
      <c r="D5498" s="9">
        <f t="shared" si="42"/>
        <v>76.787996464910293</v>
      </c>
      <c r="E5498" s="9"/>
      <c r="F5498" s="9"/>
      <c r="G5498" s="9"/>
      <c r="H5498" s="9"/>
      <c r="I5498" s="9"/>
    </row>
    <row r="5499" spans="1:9" ht="14.25" customHeight="1" x14ac:dyDescent="0.3">
      <c r="A5499" s="10">
        <v>45216</v>
      </c>
      <c r="B5499">
        <f t="shared" ca="1" si="44"/>
        <v>276.3759</v>
      </c>
      <c r="C5499" s="8">
        <f t="shared" si="43"/>
        <v>211.11478788406265</v>
      </c>
      <c r="D5499" s="9">
        <f t="shared" si="42"/>
        <v>76.790734297707559</v>
      </c>
      <c r="E5499" s="9"/>
      <c r="F5499" s="9"/>
      <c r="G5499" s="9"/>
      <c r="H5499" s="9"/>
      <c r="I5499" s="9"/>
    </row>
    <row r="5500" spans="1:9" ht="14.25" customHeight="1" x14ac:dyDescent="0.3">
      <c r="A5500" s="10">
        <v>45217</v>
      </c>
      <c r="B5500">
        <f t="shared" ca="1" si="44"/>
        <v>276.36810000000003</v>
      </c>
      <c r="C5500" s="8">
        <f t="shared" si="43"/>
        <v>211.15254571497272</v>
      </c>
      <c r="D5500" s="9">
        <f t="shared" si="42"/>
        <v>76.793472130504824</v>
      </c>
      <c r="E5500" s="9"/>
      <c r="F5500" s="9"/>
      <c r="G5500" s="9"/>
      <c r="H5500" s="9"/>
      <c r="I5500" s="9"/>
    </row>
    <row r="5501" spans="1:9" ht="14.25" customHeight="1" x14ac:dyDescent="0.3">
      <c r="A5501" s="10">
        <v>45218</v>
      </c>
      <c r="B5501">
        <f t="shared" ca="1" si="44"/>
        <v>277.20659999999998</v>
      </c>
      <c r="C5501" s="8">
        <f t="shared" si="43"/>
        <v>211.19031029886207</v>
      </c>
      <c r="D5501" s="9">
        <f t="shared" si="42"/>
        <v>76.79620996330209</v>
      </c>
      <c r="E5501" s="9"/>
      <c r="F5501" s="9"/>
      <c r="G5501" s="9"/>
      <c r="H5501" s="9"/>
      <c r="I5501" s="9"/>
    </row>
    <row r="5502" spans="1:9" ht="14.25" customHeight="1" x14ac:dyDescent="0.3">
      <c r="A5502" s="10">
        <v>45219</v>
      </c>
      <c r="B5502">
        <f t="shared" ca="1" si="44"/>
        <v>278.52749999999997</v>
      </c>
      <c r="C5502" s="8">
        <f t="shared" si="43"/>
        <v>211.2280816369385</v>
      </c>
      <c r="D5502" s="9">
        <f t="shared" si="42"/>
        <v>76.798947796099355</v>
      </c>
      <c r="E5502" s="9"/>
      <c r="F5502" s="9"/>
      <c r="G5502" s="9"/>
      <c r="H5502" s="9"/>
      <c r="I5502" s="9"/>
    </row>
    <row r="5503" spans="1:9" ht="14.25" customHeight="1" x14ac:dyDescent="0.3">
      <c r="A5503" s="10">
        <v>45220</v>
      </c>
      <c r="B5503">
        <f t="shared" ca="1" si="44"/>
        <v>274.99979999999999</v>
      </c>
      <c r="C5503" s="8">
        <f t="shared" si="43"/>
        <v>211.2658597304098</v>
      </c>
      <c r="D5503" s="9">
        <f t="shared" si="42"/>
        <v>76.801685628896621</v>
      </c>
      <c r="E5503" s="9"/>
      <c r="F5503" s="9"/>
      <c r="G5503" s="9"/>
      <c r="H5503" s="9"/>
      <c r="I5503" s="9"/>
    </row>
    <row r="5504" spans="1:9" ht="14.25" customHeight="1" x14ac:dyDescent="0.3">
      <c r="A5504" s="10">
        <v>45221</v>
      </c>
      <c r="B5504">
        <f t="shared" ca="1" si="44"/>
        <v>275.69279999999998</v>
      </c>
      <c r="C5504" s="8">
        <f t="shared" si="43"/>
        <v>211.30364458048462</v>
      </c>
      <c r="D5504" s="9">
        <f t="shared" si="42"/>
        <v>76.804423461693887</v>
      </c>
      <c r="E5504" s="9"/>
      <c r="F5504" s="9"/>
      <c r="G5504" s="9"/>
      <c r="H5504" s="9"/>
      <c r="I5504" s="9"/>
    </row>
    <row r="5505" spans="1:9" ht="14.25" customHeight="1" x14ac:dyDescent="0.3">
      <c r="A5505" s="10">
        <v>45222</v>
      </c>
      <c r="B5505">
        <f t="shared" ca="1" si="44"/>
        <v>278.63619999999997</v>
      </c>
      <c r="C5505" s="8">
        <f t="shared" si="43"/>
        <v>211.34143618837106</v>
      </c>
      <c r="D5505" s="9">
        <f t="shared" si="42"/>
        <v>76.807161294491152</v>
      </c>
      <c r="E5505" s="9"/>
      <c r="F5505" s="9"/>
      <c r="G5505" s="9"/>
      <c r="H5505" s="9"/>
      <c r="I5505" s="9"/>
    </row>
    <row r="5506" spans="1:9" ht="14.25" customHeight="1" x14ac:dyDescent="0.3">
      <c r="A5506" s="10">
        <v>45223</v>
      </c>
      <c r="B5506">
        <f t="shared" ca="1" si="44"/>
        <v>279.58350000000002</v>
      </c>
      <c r="C5506" s="8">
        <f t="shared" si="43"/>
        <v>211.37923455527783</v>
      </c>
      <c r="D5506" s="9">
        <f t="shared" si="42"/>
        <v>76.809899127288418</v>
      </c>
      <c r="E5506" s="9"/>
      <c r="F5506" s="9"/>
      <c r="G5506" s="9"/>
      <c r="H5506" s="9"/>
      <c r="I5506" s="9"/>
    </row>
    <row r="5507" spans="1:9" ht="14.25" customHeight="1" x14ac:dyDescent="0.3">
      <c r="A5507" s="10">
        <v>45224</v>
      </c>
      <c r="B5507">
        <f t="shared" ca="1" si="44"/>
        <v>277.96530000000001</v>
      </c>
      <c r="C5507" s="8">
        <f t="shared" si="43"/>
        <v>211.41703968241376</v>
      </c>
      <c r="D5507" s="9">
        <f t="shared" si="42"/>
        <v>76.812636960085683</v>
      </c>
      <c r="E5507" s="9"/>
      <c r="F5507" s="9"/>
      <c r="G5507" s="9"/>
      <c r="H5507" s="9"/>
      <c r="I5507" s="9"/>
    </row>
    <row r="5508" spans="1:9" ht="14.25" customHeight="1" x14ac:dyDescent="0.3">
      <c r="A5508" s="10">
        <v>45225</v>
      </c>
      <c r="B5508">
        <f t="shared" ca="1" si="44"/>
        <v>280.16160000000002</v>
      </c>
      <c r="C5508" s="8">
        <f t="shared" si="43"/>
        <v>211.45485157098796</v>
      </c>
      <c r="D5508" s="9">
        <f t="shared" si="42"/>
        <v>76.815374792882949</v>
      </c>
      <c r="E5508" s="9"/>
      <c r="F5508" s="9"/>
      <c r="G5508" s="9"/>
      <c r="H5508" s="9"/>
      <c r="I5508" s="9"/>
    </row>
    <row r="5509" spans="1:9" ht="14.25" customHeight="1" x14ac:dyDescent="0.3">
      <c r="A5509" s="10">
        <v>45226</v>
      </c>
      <c r="B5509">
        <f t="shared" ca="1" si="44"/>
        <v>277.71230000000003</v>
      </c>
      <c r="C5509" s="8">
        <f t="shared" si="43"/>
        <v>211.49267022220963</v>
      </c>
      <c r="D5509" s="9">
        <f t="shared" si="42"/>
        <v>76.818112625680214</v>
      </c>
      <c r="E5509" s="9"/>
      <c r="F5509" s="9"/>
      <c r="G5509" s="9"/>
      <c r="H5509" s="9"/>
      <c r="I5509" s="9"/>
    </row>
    <row r="5510" spans="1:9" ht="14.25" customHeight="1" x14ac:dyDescent="0.3">
      <c r="A5510" s="10">
        <v>45227</v>
      </c>
      <c r="B5510">
        <f t="shared" ca="1" si="44"/>
        <v>276.88369999999998</v>
      </c>
      <c r="C5510" s="8">
        <f t="shared" si="43"/>
        <v>211.53049563728831</v>
      </c>
      <c r="D5510" s="9">
        <f t="shared" si="42"/>
        <v>76.82085045847748</v>
      </c>
      <c r="E5510" s="9"/>
      <c r="F5510" s="9"/>
      <c r="G5510" s="9"/>
      <c r="H5510" s="9"/>
      <c r="I5510" s="9"/>
    </row>
    <row r="5511" spans="1:9" ht="14.25" customHeight="1" x14ac:dyDescent="0.3">
      <c r="A5511" s="10">
        <v>45228</v>
      </c>
      <c r="B5511">
        <f t="shared" ca="1" si="44"/>
        <v>276.8897</v>
      </c>
      <c r="C5511" s="8">
        <f t="shared" si="43"/>
        <v>211.56832781743373</v>
      </c>
      <c r="D5511" s="9">
        <f t="shared" si="42"/>
        <v>76.823588291274746</v>
      </c>
      <c r="E5511" s="9"/>
      <c r="F5511" s="9"/>
      <c r="G5511" s="9"/>
      <c r="H5511" s="9"/>
      <c r="I5511" s="9"/>
    </row>
    <row r="5512" spans="1:9" ht="14.25" customHeight="1" x14ac:dyDescent="0.3">
      <c r="A5512" s="10">
        <v>45229</v>
      </c>
      <c r="B5512">
        <f t="shared" ca="1" si="44"/>
        <v>279.35550000000001</v>
      </c>
      <c r="C5512" s="8">
        <f t="shared" si="43"/>
        <v>211.60616676385564</v>
      </c>
      <c r="D5512" s="9">
        <f t="shared" si="42"/>
        <v>76.826326124072011</v>
      </c>
      <c r="E5512" s="9"/>
      <c r="F5512" s="9"/>
      <c r="G5512" s="9"/>
      <c r="H5512" s="9"/>
      <c r="I5512" s="9"/>
    </row>
    <row r="5513" spans="1:9" ht="14.25" customHeight="1" x14ac:dyDescent="0.3">
      <c r="A5513" s="10">
        <v>45230</v>
      </c>
      <c r="B5513">
        <f t="shared" ca="1" si="44"/>
        <v>281.0335</v>
      </c>
      <c r="C5513" s="8">
        <f t="shared" si="43"/>
        <v>211.64401247776453</v>
      </c>
      <c r="D5513" s="9">
        <f t="shared" si="42"/>
        <v>76.829063956869277</v>
      </c>
      <c r="E5513" s="9"/>
      <c r="F5513" s="9"/>
      <c r="G5513" s="9"/>
      <c r="H5513" s="9"/>
      <c r="I5513" s="9"/>
    </row>
    <row r="5514" spans="1:9" ht="14.25" customHeight="1" x14ac:dyDescent="0.3">
      <c r="A5514" s="10">
        <v>45231</v>
      </c>
      <c r="B5514">
        <f t="shared" ca="1" si="44"/>
        <v>280.2484</v>
      </c>
      <c r="C5514" s="8">
        <f t="shared" si="43"/>
        <v>211.68186496037058</v>
      </c>
      <c r="D5514" s="9">
        <f t="shared" si="42"/>
        <v>76.831801789666542</v>
      </c>
      <c r="E5514" s="9"/>
      <c r="F5514" s="9"/>
      <c r="G5514" s="9"/>
      <c r="H5514" s="9"/>
      <c r="I5514" s="9"/>
    </row>
    <row r="5515" spans="1:9" ht="14.25" customHeight="1" x14ac:dyDescent="0.3">
      <c r="A5515" s="10">
        <v>45232</v>
      </c>
      <c r="B5515">
        <f t="shared" ca="1" si="44"/>
        <v>282.53120000000001</v>
      </c>
      <c r="C5515" s="8">
        <f t="shared" si="43"/>
        <v>211.71972421288433</v>
      </c>
      <c r="D5515" s="9">
        <f t="shared" si="42"/>
        <v>76.834539622463808</v>
      </c>
      <c r="E5515" s="9"/>
      <c r="F5515" s="9"/>
      <c r="G5515" s="9"/>
      <c r="H5515" s="9"/>
      <c r="I5515" s="9"/>
    </row>
    <row r="5516" spans="1:9" ht="14.25" customHeight="1" x14ac:dyDescent="0.3">
      <c r="A5516" s="10">
        <v>45233</v>
      </c>
      <c r="B5516">
        <f t="shared" ca="1" si="44"/>
        <v>278.39890000000003</v>
      </c>
      <c r="C5516" s="8">
        <f t="shared" si="43"/>
        <v>211.75759023651668</v>
      </c>
      <c r="D5516" s="9">
        <f t="shared" si="42"/>
        <v>76.837277455261074</v>
      </c>
      <c r="E5516" s="9"/>
      <c r="F5516" s="9"/>
      <c r="G5516" s="9"/>
      <c r="H5516" s="9"/>
      <c r="I5516" s="9"/>
    </row>
    <row r="5517" spans="1:9" ht="14.25" customHeight="1" x14ac:dyDescent="0.3">
      <c r="A5517" s="10">
        <v>45234</v>
      </c>
      <c r="B5517">
        <f t="shared" ca="1" si="44"/>
        <v>278.39890000000003</v>
      </c>
      <c r="C5517" s="8">
        <f t="shared" si="43"/>
        <v>211.79546303247858</v>
      </c>
      <c r="D5517" s="9">
        <f t="shared" si="42"/>
        <v>76.840015288058339</v>
      </c>
      <c r="E5517" s="9"/>
      <c r="F5517" s="9"/>
      <c r="G5517" s="9"/>
      <c r="H5517" s="9"/>
      <c r="I5517" s="9"/>
    </row>
    <row r="5518" spans="1:9" ht="14.25" customHeight="1" x14ac:dyDescent="0.3">
      <c r="A5518" s="10">
        <v>45235</v>
      </c>
      <c r="B5518">
        <f t="shared" ca="1" si="44"/>
        <v>279.63159999999999</v>
      </c>
      <c r="C5518" s="8">
        <f t="shared" si="43"/>
        <v>211.83334260198123</v>
      </c>
      <c r="D5518" s="9">
        <f t="shared" si="42"/>
        <v>76.842753120855605</v>
      </c>
      <c r="E5518" s="9"/>
      <c r="F5518" s="9"/>
      <c r="G5518" s="9"/>
      <c r="H5518" s="9"/>
      <c r="I5518" s="9"/>
    </row>
    <row r="5519" spans="1:9" ht="14.25" customHeight="1" x14ac:dyDescent="0.3">
      <c r="A5519" s="10">
        <v>45236</v>
      </c>
      <c r="B5519">
        <f t="shared" ca="1" si="44"/>
        <v>285.26409999999998</v>
      </c>
      <c r="C5519" s="8">
        <f t="shared" si="43"/>
        <v>211.87122894623613</v>
      </c>
      <c r="D5519" s="9">
        <f t="shared" si="42"/>
        <v>76.84549095365287</v>
      </c>
      <c r="E5519" s="9"/>
      <c r="F5519" s="9"/>
      <c r="G5519" s="9"/>
      <c r="H5519" s="9"/>
      <c r="I5519" s="9"/>
    </row>
    <row r="5520" spans="1:9" ht="14.25" customHeight="1" x14ac:dyDescent="0.3">
      <c r="A5520" s="10">
        <v>45237</v>
      </c>
      <c r="B5520">
        <f t="shared" ca="1" si="44"/>
        <v>283.74630000000002</v>
      </c>
      <c r="C5520" s="8">
        <f t="shared" si="43"/>
        <v>211.90912206645493</v>
      </c>
      <c r="D5520" s="9">
        <f t="shared" si="42"/>
        <v>76.848228786450136</v>
      </c>
      <c r="E5520" s="9"/>
      <c r="F5520" s="9"/>
      <c r="G5520" s="9"/>
      <c r="H5520" s="9"/>
      <c r="I5520" s="9"/>
    </row>
    <row r="5521" spans="1:9" ht="14.25" customHeight="1" x14ac:dyDescent="0.3">
      <c r="A5521" s="10">
        <v>45238</v>
      </c>
      <c r="B5521">
        <f t="shared" ca="1" si="44"/>
        <v>287.25220000000002</v>
      </c>
      <c r="C5521" s="8">
        <f t="shared" si="43"/>
        <v>211.94702196384932</v>
      </c>
      <c r="D5521" s="9">
        <f t="shared" si="42"/>
        <v>76.850966619247401</v>
      </c>
      <c r="E5521" s="9"/>
      <c r="F5521" s="9"/>
      <c r="G5521" s="9"/>
      <c r="H5521" s="9"/>
      <c r="I5521" s="9"/>
    </row>
    <row r="5522" spans="1:9" ht="14.25" customHeight="1" x14ac:dyDescent="0.3">
      <c r="A5522" s="10">
        <v>45239</v>
      </c>
      <c r="B5522">
        <f t="shared" ca="1" si="44"/>
        <v>285.57909999999998</v>
      </c>
      <c r="C5522" s="8">
        <f t="shared" si="43"/>
        <v>211.98492863963176</v>
      </c>
      <c r="D5522" s="9">
        <f t="shared" si="42"/>
        <v>76.853704452044667</v>
      </c>
      <c r="E5522" s="9"/>
      <c r="F5522" s="9"/>
      <c r="G5522" s="9"/>
      <c r="H5522" s="9"/>
      <c r="I5522" s="9"/>
    </row>
    <row r="5523" spans="1:9" ht="14.25" customHeight="1" x14ac:dyDescent="0.3">
      <c r="A5523" s="10">
        <v>45240</v>
      </c>
      <c r="B5523">
        <f t="shared" ca="1" si="44"/>
        <v>283.4658</v>
      </c>
      <c r="C5523" s="8">
        <f t="shared" si="43"/>
        <v>212.0228420950144</v>
      </c>
      <c r="D5523" s="9">
        <f t="shared" si="42"/>
        <v>76.856442284841933</v>
      </c>
      <c r="E5523" s="9"/>
      <c r="F5523" s="9"/>
      <c r="G5523" s="9"/>
      <c r="H5523" s="9"/>
      <c r="I5523" s="9"/>
    </row>
    <row r="5524" spans="1:9" ht="14.25" customHeight="1" x14ac:dyDescent="0.3">
      <c r="A5524" s="10">
        <v>45241</v>
      </c>
      <c r="B5524">
        <f t="shared" ca="1" si="44"/>
        <v>282.0829</v>
      </c>
      <c r="C5524" s="8">
        <f t="shared" si="43"/>
        <v>212.0607623312097</v>
      </c>
      <c r="D5524" s="9">
        <f t="shared" si="42"/>
        <v>76.859180117639198</v>
      </c>
      <c r="E5524" s="9"/>
      <c r="F5524" s="9"/>
      <c r="G5524" s="9"/>
      <c r="H5524" s="9"/>
      <c r="I5524" s="9"/>
    </row>
    <row r="5525" spans="1:9" ht="14.25" customHeight="1" x14ac:dyDescent="0.3">
      <c r="A5525" s="10">
        <v>45242</v>
      </c>
      <c r="B5525">
        <f t="shared" ca="1" si="44"/>
        <v>282.34609999999998</v>
      </c>
      <c r="C5525" s="8">
        <f t="shared" si="43"/>
        <v>212.09868934943049</v>
      </c>
      <c r="D5525" s="9">
        <f t="shared" si="42"/>
        <v>76.861917950436464</v>
      </c>
      <c r="E5525" s="9"/>
      <c r="F5525" s="9"/>
      <c r="G5525" s="9"/>
      <c r="H5525" s="9"/>
      <c r="I5525" s="9"/>
    </row>
    <row r="5526" spans="1:9" ht="14.25" customHeight="1" x14ac:dyDescent="0.3">
      <c r="A5526" s="10">
        <v>45243</v>
      </c>
      <c r="B5526">
        <f t="shared" ca="1" si="44"/>
        <v>283.97120000000001</v>
      </c>
      <c r="C5526" s="8">
        <f t="shared" si="43"/>
        <v>212.1366231508897</v>
      </c>
      <c r="D5526" s="9">
        <f t="shared" si="42"/>
        <v>76.864655783233729</v>
      </c>
      <c r="E5526" s="9"/>
      <c r="F5526" s="9"/>
      <c r="G5526" s="9"/>
      <c r="H5526" s="9"/>
      <c r="I5526" s="9"/>
    </row>
    <row r="5527" spans="1:9" ht="14.25" customHeight="1" x14ac:dyDescent="0.3">
      <c r="A5527" s="10">
        <v>45244</v>
      </c>
      <c r="B5527">
        <f t="shared" ca="1" si="44"/>
        <v>287.82060000000001</v>
      </c>
      <c r="C5527" s="8">
        <f t="shared" si="43"/>
        <v>212.17456373680054</v>
      </c>
      <c r="D5527" s="9">
        <f t="shared" si="42"/>
        <v>76.867393616030995</v>
      </c>
      <c r="E5527" s="9"/>
      <c r="F5527" s="9"/>
      <c r="G5527" s="9"/>
      <c r="H5527" s="9"/>
      <c r="I5527" s="9"/>
    </row>
    <row r="5528" spans="1:9" ht="14.25" customHeight="1" x14ac:dyDescent="0.3">
      <c r="A5528" s="10">
        <v>45245</v>
      </c>
      <c r="B5528">
        <f t="shared" ca="1" si="44"/>
        <v>288.23169999999999</v>
      </c>
      <c r="C5528" s="8">
        <f t="shared" si="43"/>
        <v>212.21251110837636</v>
      </c>
      <c r="D5528" s="9">
        <f t="shared" si="42"/>
        <v>76.870131448828261</v>
      </c>
      <c r="E5528" s="9"/>
      <c r="F5528" s="9"/>
      <c r="G5528" s="9"/>
      <c r="H5528" s="9"/>
      <c r="I5528" s="9"/>
    </row>
    <row r="5529" spans="1:9" ht="14.25" customHeight="1" x14ac:dyDescent="0.3">
      <c r="A5529" s="10">
        <v>45246</v>
      </c>
      <c r="B5529">
        <f t="shared" ca="1" si="44"/>
        <v>287.86509999999998</v>
      </c>
      <c r="C5529" s="8">
        <f t="shared" si="43"/>
        <v>212.25046526683082</v>
      </c>
      <c r="D5529" s="9">
        <f t="shared" si="42"/>
        <v>76.872869281625526</v>
      </c>
      <c r="E5529" s="9"/>
      <c r="F5529" s="9"/>
      <c r="G5529" s="9"/>
      <c r="H5529" s="9"/>
      <c r="I5529" s="9"/>
    </row>
    <row r="5530" spans="1:9" ht="14.25" customHeight="1" x14ac:dyDescent="0.3">
      <c r="A5530" s="10">
        <v>45247</v>
      </c>
      <c r="B5530">
        <f t="shared" ca="1" si="44"/>
        <v>288.34980000000002</v>
      </c>
      <c r="C5530" s="8">
        <f t="shared" si="43"/>
        <v>212.28842621337753</v>
      </c>
      <c r="D5530" s="9">
        <f t="shared" si="42"/>
        <v>76.875607114422792</v>
      </c>
      <c r="E5530" s="9"/>
      <c r="F5530" s="9"/>
      <c r="G5530" s="9"/>
      <c r="H5530" s="9"/>
      <c r="I5530" s="9"/>
    </row>
    <row r="5531" spans="1:9" ht="14.25" customHeight="1" x14ac:dyDescent="0.3">
      <c r="A5531" s="10">
        <v>45248</v>
      </c>
      <c r="B5531">
        <f t="shared" ca="1" si="44"/>
        <v>285.10270000000003</v>
      </c>
      <c r="C5531" s="8">
        <f t="shared" si="43"/>
        <v>212.32639394923092</v>
      </c>
      <c r="D5531" s="9">
        <f t="shared" si="42"/>
        <v>76.878344947220057</v>
      </c>
      <c r="E5531" s="9"/>
      <c r="F5531" s="9"/>
      <c r="G5531" s="9"/>
      <c r="H5531" s="9"/>
      <c r="I5531" s="9"/>
    </row>
    <row r="5532" spans="1:9" ht="14.25" customHeight="1" x14ac:dyDescent="0.3">
      <c r="A5532" s="10">
        <v>45249</v>
      </c>
      <c r="B5532">
        <f t="shared" ca="1" si="44"/>
        <v>285.82799999999997</v>
      </c>
      <c r="C5532" s="8">
        <f t="shared" si="43"/>
        <v>212.36436847560503</v>
      </c>
      <c r="D5532" s="9">
        <f t="shared" si="42"/>
        <v>76.881082780017323</v>
      </c>
      <c r="E5532" s="9"/>
      <c r="F5532" s="9"/>
      <c r="G5532" s="9"/>
      <c r="H5532" s="9"/>
      <c r="I5532" s="9"/>
    </row>
    <row r="5533" spans="1:9" ht="14.25" customHeight="1" x14ac:dyDescent="0.3">
      <c r="A5533" s="10">
        <v>45250</v>
      </c>
      <c r="B5533">
        <f t="shared" ca="1" si="44"/>
        <v>286.01519999999999</v>
      </c>
      <c r="C5533" s="8">
        <f t="shared" si="43"/>
        <v>212.40234979371445</v>
      </c>
      <c r="D5533" s="9">
        <f t="shared" si="42"/>
        <v>76.883820612814588</v>
      </c>
      <c r="E5533" s="9"/>
      <c r="F5533" s="9"/>
      <c r="G5533" s="9"/>
      <c r="H5533" s="9"/>
      <c r="I5533" s="9"/>
    </row>
    <row r="5534" spans="1:9" ht="14.25" customHeight="1" x14ac:dyDescent="0.3">
      <c r="A5534" s="10">
        <v>45251</v>
      </c>
      <c r="B5534">
        <f t="shared" ca="1" si="44"/>
        <v>285.55119999999999</v>
      </c>
      <c r="C5534" s="8">
        <f t="shared" si="43"/>
        <v>212.44033790477377</v>
      </c>
      <c r="D5534" s="9">
        <f t="shared" si="42"/>
        <v>76.886558445611854</v>
      </c>
      <c r="E5534" s="9"/>
      <c r="F5534" s="9"/>
      <c r="G5534" s="9"/>
      <c r="H5534" s="9"/>
      <c r="I5534" s="9"/>
    </row>
    <row r="5535" spans="1:9" ht="14.25" customHeight="1" x14ac:dyDescent="0.3">
      <c r="A5535" s="10">
        <v>45252</v>
      </c>
      <c r="B5535">
        <f t="shared" ca="1" si="44"/>
        <v>284.87029999999999</v>
      </c>
      <c r="C5535" s="8">
        <f t="shared" si="43"/>
        <v>212.47833280999797</v>
      </c>
      <c r="D5535" s="9">
        <f t="shared" si="42"/>
        <v>76.88929627840912</v>
      </c>
      <c r="E5535" s="9"/>
      <c r="F5535" s="9"/>
      <c r="G5535" s="9"/>
      <c r="H5535" s="9"/>
      <c r="I5535" s="9"/>
    </row>
    <row r="5536" spans="1:9" ht="14.25" customHeight="1" x14ac:dyDescent="0.3">
      <c r="A5536" s="10">
        <v>45253</v>
      </c>
      <c r="B5536">
        <f t="shared" ca="1" si="44"/>
        <v>282.19470000000001</v>
      </c>
      <c r="C5536" s="8">
        <f t="shared" si="43"/>
        <v>212.51633451060218</v>
      </c>
      <c r="D5536" s="9">
        <f t="shared" si="42"/>
        <v>76.892034111206385</v>
      </c>
      <c r="E5536" s="9"/>
      <c r="F5536" s="9"/>
      <c r="G5536" s="9"/>
      <c r="H5536" s="9"/>
      <c r="I5536" s="9"/>
    </row>
    <row r="5537" spans="1:9" ht="14.25" customHeight="1" x14ac:dyDescent="0.3">
      <c r="A5537" s="10">
        <v>45254</v>
      </c>
      <c r="B5537" t="str">
        <f t="shared" ca="1" si="44"/>
        <v/>
      </c>
      <c r="C5537" s="8">
        <f t="shared" si="43"/>
        <v>212.55434300780172</v>
      </c>
      <c r="D5537" s="9">
        <f t="shared" si="42"/>
        <v>76.894771944003651</v>
      </c>
      <c r="E5537" s="9"/>
      <c r="F5537" s="9"/>
      <c r="G5537" s="9"/>
      <c r="H5537" s="9"/>
      <c r="I5537" s="9"/>
    </row>
    <row r="5538" spans="1:9" ht="14.25" customHeight="1" x14ac:dyDescent="0.3">
      <c r="A5538" s="10">
        <v>45255</v>
      </c>
      <c r="B5538">
        <f t="shared" ca="1" si="44"/>
        <v>281.06630000000001</v>
      </c>
      <c r="C5538" s="8">
        <f t="shared" si="43"/>
        <v>212.59235830281219</v>
      </c>
      <c r="D5538" s="9">
        <f t="shared" si="42"/>
        <v>76.897509776800916</v>
      </c>
      <c r="E5538" s="9"/>
      <c r="F5538" s="9"/>
      <c r="G5538" s="9"/>
      <c r="H5538" s="9"/>
      <c r="I5538" s="9"/>
    </row>
    <row r="5539" spans="1:9" ht="14.25" customHeight="1" x14ac:dyDescent="0.3">
      <c r="A5539" s="10">
        <v>45256</v>
      </c>
      <c r="B5539">
        <f t="shared" ca="1" si="44"/>
        <v>281.07979999999998</v>
      </c>
      <c r="C5539" s="8">
        <f t="shared" si="43"/>
        <v>212.63038039684918</v>
      </c>
      <c r="D5539" s="9">
        <f t="shared" si="42"/>
        <v>76.900247609598182</v>
      </c>
      <c r="E5539" s="9"/>
      <c r="F5539" s="9"/>
      <c r="G5539" s="9"/>
      <c r="H5539" s="9"/>
      <c r="I5539" s="9"/>
    </row>
    <row r="5540" spans="1:9" ht="14.25" customHeight="1" x14ac:dyDescent="0.3">
      <c r="A5540" s="10">
        <v>45257</v>
      </c>
      <c r="B5540">
        <f t="shared" ca="1" si="44"/>
        <v>284.02460000000002</v>
      </c>
      <c r="C5540" s="8">
        <f t="shared" si="43"/>
        <v>212.66840929112908</v>
      </c>
      <c r="D5540" s="9">
        <f t="shared" si="42"/>
        <v>76.902985442395448</v>
      </c>
      <c r="E5540" s="9"/>
      <c r="F5540" s="9"/>
      <c r="G5540" s="9"/>
      <c r="H5540" s="9"/>
      <c r="I5540" s="9"/>
    </row>
    <row r="5541" spans="1:9" ht="14.25" customHeight="1" x14ac:dyDescent="0.3">
      <c r="A5541" s="10">
        <v>45258</v>
      </c>
      <c r="B5541">
        <f t="shared" ca="1" si="44"/>
        <v>285.66410000000002</v>
      </c>
      <c r="C5541" s="8">
        <f t="shared" si="43"/>
        <v>212.70644498686789</v>
      </c>
      <c r="D5541" s="9">
        <f t="shared" si="42"/>
        <v>76.905723275192713</v>
      </c>
      <c r="E5541" s="9"/>
      <c r="F5541" s="9"/>
      <c r="G5541" s="9"/>
      <c r="H5541" s="9"/>
      <c r="I5541" s="9"/>
    </row>
    <row r="5542" spans="1:9" ht="14.25" customHeight="1" x14ac:dyDescent="0.3">
      <c r="A5542" s="10">
        <v>45259</v>
      </c>
      <c r="B5542">
        <f t="shared" ca="1" si="44"/>
        <v>285.726</v>
      </c>
      <c r="C5542" s="8">
        <f t="shared" si="43"/>
        <v>212.74448748528209</v>
      </c>
      <c r="D5542" s="9">
        <f t="shared" si="42"/>
        <v>76.908461107989979</v>
      </c>
      <c r="E5542" s="9"/>
      <c r="F5542" s="9"/>
      <c r="G5542" s="9"/>
      <c r="H5542" s="9"/>
      <c r="I5542" s="9"/>
    </row>
    <row r="5543" spans="1:9" ht="14.25" customHeight="1" x14ac:dyDescent="0.3">
      <c r="A5543" s="10">
        <v>45260</v>
      </c>
      <c r="B5543">
        <f t="shared" ca="1" si="44"/>
        <v>285.02519999999998</v>
      </c>
      <c r="C5543" s="8">
        <f t="shared" si="43"/>
        <v>212.7825367875883</v>
      </c>
      <c r="D5543" s="9">
        <f t="shared" si="42"/>
        <v>76.911198940787244</v>
      </c>
      <c r="E5543" s="9"/>
      <c r="F5543" s="9"/>
      <c r="G5543" s="9"/>
      <c r="H5543" s="9"/>
      <c r="I5543" s="9"/>
    </row>
    <row r="5544" spans="1:9" ht="14.25" customHeight="1" x14ac:dyDescent="0.3">
      <c r="A5544" s="10">
        <v>45261</v>
      </c>
      <c r="B5544">
        <f t="shared" ca="1" si="44"/>
        <v>285.22480000000002</v>
      </c>
      <c r="C5544" s="8">
        <f t="shared" si="43"/>
        <v>212.82059289500344</v>
      </c>
      <c r="D5544" s="9">
        <f t="shared" si="42"/>
        <v>76.91393677358451</v>
      </c>
      <c r="E5544" s="9"/>
      <c r="F5544" s="9"/>
      <c r="G5544" s="9"/>
      <c r="H5544" s="9"/>
      <c r="I5544" s="9"/>
    </row>
    <row r="5545" spans="1:9" ht="14.25" customHeight="1" x14ac:dyDescent="0.3">
      <c r="A5545" s="10">
        <v>45262</v>
      </c>
      <c r="B5545">
        <f t="shared" ca="1" si="44"/>
        <v>281.70749999999998</v>
      </c>
      <c r="C5545" s="8">
        <f t="shared" si="43"/>
        <v>212.85865580874457</v>
      </c>
      <c r="D5545" s="9">
        <f t="shared" si="42"/>
        <v>76.916674606381775</v>
      </c>
      <c r="E5545" s="9"/>
      <c r="F5545" s="9"/>
      <c r="G5545" s="9"/>
      <c r="H5545" s="9"/>
      <c r="I5545" s="9"/>
    </row>
    <row r="5546" spans="1:9" ht="14.25" customHeight="1" x14ac:dyDescent="0.3">
      <c r="A5546" s="10">
        <v>45263</v>
      </c>
      <c r="B5546">
        <f t="shared" ca="1" si="44"/>
        <v>281.88479999999998</v>
      </c>
      <c r="C5546" s="8">
        <f t="shared" si="43"/>
        <v>212.89672553002899</v>
      </c>
      <c r="D5546" s="9">
        <f t="shared" si="42"/>
        <v>76.919412439179041</v>
      </c>
      <c r="E5546" s="9"/>
      <c r="F5546" s="9"/>
      <c r="G5546" s="9"/>
      <c r="H5546" s="9"/>
      <c r="I5546" s="9"/>
    </row>
    <row r="5547" spans="1:9" ht="14.25" customHeight="1" x14ac:dyDescent="0.3">
      <c r="A5547" s="10">
        <v>45264</v>
      </c>
      <c r="B5547">
        <f t="shared" ca="1" si="44"/>
        <v>281.12299999999999</v>
      </c>
      <c r="C5547" s="8">
        <f t="shared" si="43"/>
        <v>212.93480206007425</v>
      </c>
      <c r="D5547" s="9">
        <f t="shared" si="42"/>
        <v>76.922150271976307</v>
      </c>
      <c r="E5547" s="9"/>
      <c r="F5547" s="9"/>
      <c r="G5547" s="9"/>
      <c r="H5547" s="9"/>
      <c r="I5547" s="9"/>
    </row>
    <row r="5548" spans="1:9" ht="14.25" customHeight="1" x14ac:dyDescent="0.3">
      <c r="A5548" s="10">
        <v>45265</v>
      </c>
      <c r="B5548">
        <f t="shared" ca="1" si="44"/>
        <v>284.47739999999999</v>
      </c>
      <c r="C5548" s="8">
        <f t="shared" si="43"/>
        <v>212.97288540009791</v>
      </c>
      <c r="D5548" s="9">
        <f t="shared" si="42"/>
        <v>76.924888104773572</v>
      </c>
      <c r="E5548" s="9"/>
      <c r="F5548" s="9"/>
      <c r="G5548" s="9"/>
      <c r="H5548" s="9"/>
      <c r="I5548" s="9"/>
    </row>
    <row r="5549" spans="1:9" ht="14.25" customHeight="1" x14ac:dyDescent="0.3">
      <c r="A5549" s="10">
        <v>45266</v>
      </c>
      <c r="B5549">
        <f t="shared" ca="1" si="44"/>
        <v>284.69880000000001</v>
      </c>
      <c r="C5549" s="8">
        <f t="shared" si="43"/>
        <v>213.01097555131827</v>
      </c>
      <c r="D5549" s="9">
        <f t="shared" si="42"/>
        <v>76.927625937570838</v>
      </c>
      <c r="E5549" s="9"/>
      <c r="F5549" s="9"/>
      <c r="G5549" s="9"/>
      <c r="H5549" s="9"/>
      <c r="I5549" s="9"/>
    </row>
    <row r="5550" spans="1:9" ht="14.25" customHeight="1" x14ac:dyDescent="0.3">
      <c r="A5550" s="10">
        <v>45267</v>
      </c>
      <c r="B5550">
        <f t="shared" ca="1" si="44"/>
        <v>284.16500000000002</v>
      </c>
      <c r="C5550" s="8">
        <f t="shared" si="43"/>
        <v>213.04907251495337</v>
      </c>
      <c r="D5550" s="9">
        <f t="shared" si="42"/>
        <v>76.930363770368103</v>
      </c>
      <c r="E5550" s="9"/>
      <c r="F5550" s="9"/>
      <c r="G5550" s="9"/>
      <c r="H5550" s="9"/>
      <c r="I5550" s="9"/>
    </row>
    <row r="5551" spans="1:9" ht="14.25" customHeight="1" x14ac:dyDescent="0.3">
      <c r="A5551" s="10">
        <v>45268</v>
      </c>
      <c r="B5551">
        <f t="shared" ca="1" si="44"/>
        <v>284.09989999999999</v>
      </c>
      <c r="C5551" s="8">
        <f t="shared" si="43"/>
        <v>213.08717629222159</v>
      </c>
      <c r="D5551" s="9">
        <f t="shared" si="42"/>
        <v>76.933101603165369</v>
      </c>
      <c r="E5551" s="9"/>
      <c r="F5551" s="9"/>
      <c r="G5551" s="9"/>
      <c r="H5551" s="9"/>
      <c r="I5551" s="9"/>
    </row>
    <row r="5552" spans="1:9" ht="14.25" customHeight="1" x14ac:dyDescent="0.3">
      <c r="A5552" s="10">
        <v>45269</v>
      </c>
      <c r="B5552">
        <f t="shared" ca="1" si="44"/>
        <v>283.99340000000001</v>
      </c>
      <c r="C5552" s="8">
        <f t="shared" si="43"/>
        <v>213.12528688434156</v>
      </c>
      <c r="D5552" s="9">
        <f t="shared" si="42"/>
        <v>76.935839435962635</v>
      </c>
      <c r="E5552" s="9"/>
      <c r="F5552" s="9"/>
      <c r="G5552" s="9"/>
      <c r="H5552" s="9"/>
      <c r="I5552" s="9"/>
    </row>
    <row r="5553" spans="1:9" ht="14.25" customHeight="1" x14ac:dyDescent="0.3">
      <c r="A5553" s="10">
        <v>45270</v>
      </c>
      <c r="B5553">
        <f t="shared" ca="1" si="44"/>
        <v>284.15960000000001</v>
      </c>
      <c r="C5553" s="8">
        <f t="shared" si="43"/>
        <v>213.16340429253211</v>
      </c>
      <c r="D5553" s="9">
        <f t="shared" si="42"/>
        <v>76.9385772687599</v>
      </c>
      <c r="E5553" s="9"/>
      <c r="F5553" s="9"/>
      <c r="G5553" s="9"/>
      <c r="H5553" s="9"/>
      <c r="I5553" s="9"/>
    </row>
    <row r="5554" spans="1:9" ht="14.25" customHeight="1" x14ac:dyDescent="0.3">
      <c r="A5554" s="10">
        <v>45271</v>
      </c>
      <c r="B5554">
        <f t="shared" ca="1" si="44"/>
        <v>284.07100000000003</v>
      </c>
      <c r="C5554" s="8">
        <f t="shared" si="43"/>
        <v>213.20152851801225</v>
      </c>
      <c r="D5554" s="9">
        <f t="shared" si="42"/>
        <v>76.941315101557166</v>
      </c>
      <c r="E5554" s="9"/>
      <c r="F5554" s="9"/>
      <c r="G5554" s="9"/>
      <c r="H5554" s="9"/>
      <c r="I5554" s="9"/>
    </row>
    <row r="5555" spans="1:9" ht="14.25" customHeight="1" x14ac:dyDescent="0.3">
      <c r="A5555" s="10">
        <v>45272</v>
      </c>
      <c r="B5555">
        <f t="shared" ca="1" si="44"/>
        <v>283.64659999999998</v>
      </c>
      <c r="C5555" s="8">
        <f t="shared" si="43"/>
        <v>213.23965956200129</v>
      </c>
      <c r="D5555" s="9">
        <f t="shared" si="42"/>
        <v>76.944052934354431</v>
      </c>
      <c r="E5555" s="9"/>
      <c r="F5555" s="9"/>
      <c r="G5555" s="9"/>
      <c r="H5555" s="9"/>
      <c r="I5555" s="9"/>
    </row>
    <row r="5556" spans="1:9" ht="14.25" customHeight="1" x14ac:dyDescent="0.3">
      <c r="A5556" s="10">
        <v>45273</v>
      </c>
      <c r="B5556">
        <f t="shared" ca="1" si="44"/>
        <v>283.62130000000002</v>
      </c>
      <c r="C5556" s="8">
        <f t="shared" si="43"/>
        <v>213.27779742571875</v>
      </c>
      <c r="D5556" s="9">
        <f t="shared" si="42"/>
        <v>76.946790767151697</v>
      </c>
      <c r="E5556" s="9"/>
      <c r="F5556" s="9"/>
      <c r="G5556" s="9"/>
      <c r="H5556" s="9"/>
      <c r="I5556" s="9"/>
    </row>
    <row r="5557" spans="1:9" ht="14.25" customHeight="1" x14ac:dyDescent="0.3">
      <c r="A5557" s="10">
        <v>45274</v>
      </c>
      <c r="B5557">
        <f t="shared" ca="1" si="44"/>
        <v>283.49700000000001</v>
      </c>
      <c r="C5557" s="8">
        <f t="shared" si="43"/>
        <v>213.3159421103841</v>
      </c>
      <c r="D5557" s="9">
        <f t="shared" si="42"/>
        <v>76.949528599948962</v>
      </c>
      <c r="E5557" s="9"/>
      <c r="F5557" s="9"/>
      <c r="G5557" s="9"/>
      <c r="H5557" s="9"/>
      <c r="I5557" s="9"/>
    </row>
    <row r="5558" spans="1:9" ht="14.25" customHeight="1" x14ac:dyDescent="0.3">
      <c r="A5558" s="10">
        <v>45275</v>
      </c>
      <c r="B5558">
        <f t="shared" ca="1" si="44"/>
        <v>283.52600000000001</v>
      </c>
      <c r="C5558" s="8">
        <f t="shared" si="43"/>
        <v>213.35409361721764</v>
      </c>
      <c r="D5558" s="9">
        <f t="shared" si="42"/>
        <v>76.952266432746228</v>
      </c>
      <c r="E5558" s="9"/>
      <c r="F5558" s="9"/>
      <c r="G5558" s="9"/>
      <c r="H5558" s="9"/>
      <c r="I5558" s="9"/>
    </row>
    <row r="5559" spans="1:9" ht="14.25" customHeight="1" x14ac:dyDescent="0.3">
      <c r="A5559" s="10">
        <v>45276</v>
      </c>
      <c r="B5559">
        <f t="shared" ca="1" si="44"/>
        <v>281.31330000000003</v>
      </c>
      <c r="C5559" s="8">
        <f t="shared" si="43"/>
        <v>213.39225194743935</v>
      </c>
      <c r="D5559" s="9">
        <f t="shared" si="42"/>
        <v>76.955004265543494</v>
      </c>
      <c r="E5559" s="9"/>
      <c r="F5559" s="9"/>
      <c r="G5559" s="9"/>
      <c r="H5559" s="9"/>
      <c r="I5559" s="9"/>
    </row>
    <row r="5560" spans="1:9" ht="14.25" customHeight="1" x14ac:dyDescent="0.3">
      <c r="A5560" s="10">
        <v>45277</v>
      </c>
      <c r="B5560">
        <f t="shared" ca="1" si="44"/>
        <v>281.69459999999998</v>
      </c>
      <c r="C5560" s="8">
        <f t="shared" si="43"/>
        <v>213.43041710226959</v>
      </c>
      <c r="D5560" s="9">
        <f t="shared" si="42"/>
        <v>76.957742098340759</v>
      </c>
      <c r="E5560" s="9"/>
      <c r="F5560" s="9"/>
      <c r="G5560" s="9"/>
      <c r="H5560" s="9"/>
      <c r="I5560" s="9"/>
    </row>
    <row r="5561" spans="1:9" ht="14.25" customHeight="1" x14ac:dyDescent="0.3">
      <c r="A5561" s="10">
        <v>45278</v>
      </c>
      <c r="B5561">
        <f t="shared" ca="1" si="44"/>
        <v>279.72519999999997</v>
      </c>
      <c r="C5561" s="8">
        <f t="shared" si="43"/>
        <v>213.46858908292893</v>
      </c>
      <c r="D5561" s="9">
        <f t="shared" si="42"/>
        <v>76.960479931138025</v>
      </c>
      <c r="E5561" s="9"/>
      <c r="F5561" s="9"/>
      <c r="G5561" s="9"/>
      <c r="H5561" s="9"/>
      <c r="I5561" s="9"/>
    </row>
    <row r="5562" spans="1:9" ht="14.25" customHeight="1" x14ac:dyDescent="0.3">
      <c r="A5562" s="10">
        <v>45279</v>
      </c>
      <c r="B5562">
        <f t="shared" ca="1" si="44"/>
        <v>280.72750000000002</v>
      </c>
      <c r="C5562" s="8">
        <f t="shared" si="43"/>
        <v>213.50676789063814</v>
      </c>
      <c r="D5562" s="9">
        <f t="shared" si="42"/>
        <v>76.96321776393529</v>
      </c>
      <c r="E5562" s="9"/>
      <c r="F5562" s="9"/>
      <c r="G5562" s="9"/>
      <c r="H5562" s="9"/>
      <c r="I5562" s="9"/>
    </row>
    <row r="5563" spans="1:9" ht="14.25" customHeight="1" x14ac:dyDescent="0.3">
      <c r="A5563" s="10">
        <v>45280</v>
      </c>
      <c r="B5563">
        <f t="shared" ca="1" si="44"/>
        <v>282.73880000000003</v>
      </c>
      <c r="C5563" s="8">
        <f t="shared" si="43"/>
        <v>213.54495352661829</v>
      </c>
      <c r="D5563" s="9">
        <f t="shared" si="42"/>
        <v>76.965955596732556</v>
      </c>
      <c r="E5563" s="9"/>
      <c r="F5563" s="9"/>
      <c r="G5563" s="9"/>
      <c r="H5563" s="9"/>
      <c r="I5563" s="9"/>
    </row>
    <row r="5564" spans="1:9" ht="14.25" customHeight="1" x14ac:dyDescent="0.3">
      <c r="A5564" s="10">
        <v>45281</v>
      </c>
      <c r="B5564">
        <f t="shared" ca="1" si="44"/>
        <v>282.96519999999998</v>
      </c>
      <c r="C5564" s="8">
        <f t="shared" si="43"/>
        <v>213.58314599209058</v>
      </c>
      <c r="D5564" s="9">
        <f t="shared" si="42"/>
        <v>76.968693429529822</v>
      </c>
      <c r="E5564" s="9"/>
      <c r="F5564" s="9"/>
      <c r="G5564" s="9"/>
      <c r="H5564" s="9"/>
      <c r="I5564" s="9"/>
    </row>
    <row r="5565" spans="1:9" ht="14.25" customHeight="1" x14ac:dyDescent="0.3">
      <c r="A5565" s="10">
        <v>45282</v>
      </c>
      <c r="B5565">
        <f t="shared" ca="1" si="44"/>
        <v>279.28500000000003</v>
      </c>
      <c r="C5565" s="8">
        <f t="shared" si="43"/>
        <v>213.62134528827647</v>
      </c>
      <c r="D5565" s="9">
        <f t="shared" si="42"/>
        <v>76.971431262327087</v>
      </c>
      <c r="E5565" s="9"/>
      <c r="F5565" s="9"/>
      <c r="G5565" s="9"/>
      <c r="H5565" s="9"/>
      <c r="I5565" s="9"/>
    </row>
    <row r="5566" spans="1:9" ht="14.25" customHeight="1" x14ac:dyDescent="0.3">
      <c r="A5566" s="10">
        <v>45283</v>
      </c>
      <c r="B5566">
        <f t="shared" ca="1" si="44"/>
        <v>278.9556</v>
      </c>
      <c r="C5566" s="8">
        <f t="shared" si="43"/>
        <v>213.65955141639748</v>
      </c>
      <c r="D5566" s="9">
        <f t="shared" si="42"/>
        <v>76.974169095124353</v>
      </c>
      <c r="E5566" s="9"/>
      <c r="F5566" s="9"/>
      <c r="G5566" s="9"/>
      <c r="H5566" s="9"/>
      <c r="I5566" s="9"/>
    </row>
    <row r="5567" spans="1:9" ht="14.25" customHeight="1" x14ac:dyDescent="0.3">
      <c r="A5567" s="10">
        <v>45284</v>
      </c>
      <c r="B5567">
        <f t="shared" ca="1" si="44"/>
        <v>279.31610000000001</v>
      </c>
      <c r="C5567" s="8">
        <f t="shared" si="43"/>
        <v>213.69776437767578</v>
      </c>
      <c r="D5567" s="9">
        <f t="shared" si="42"/>
        <v>76.976906927921618</v>
      </c>
      <c r="E5567" s="9"/>
      <c r="F5567" s="9"/>
      <c r="G5567" s="9"/>
      <c r="H5567" s="9"/>
      <c r="I5567" s="9"/>
    </row>
    <row r="5568" spans="1:9" ht="14.25" customHeight="1" x14ac:dyDescent="0.3">
      <c r="A5568" s="10">
        <v>45285</v>
      </c>
      <c r="B5568">
        <f t="shared" ca="1" si="44"/>
        <v>279.51830000000001</v>
      </c>
      <c r="C5568" s="8">
        <f t="shared" si="43"/>
        <v>213.73598417333341</v>
      </c>
      <c r="D5568" s="9">
        <f t="shared" si="42"/>
        <v>76.979644760718884</v>
      </c>
      <c r="E5568" s="9"/>
      <c r="F5568" s="9"/>
      <c r="G5568" s="9"/>
      <c r="H5568" s="9"/>
      <c r="I5568" s="9"/>
    </row>
    <row r="5569" spans="1:9" ht="14.25" customHeight="1" x14ac:dyDescent="0.3">
      <c r="A5569" s="10">
        <v>45286</v>
      </c>
      <c r="B5569">
        <f t="shared" ca="1" si="44"/>
        <v>282.50439999999998</v>
      </c>
      <c r="C5569" s="8">
        <f t="shared" si="43"/>
        <v>213.7742108045926</v>
      </c>
      <c r="D5569" s="9">
        <f t="shared" si="42"/>
        <v>76.982382593516149</v>
      </c>
      <c r="E5569" s="9"/>
      <c r="F5569" s="9"/>
      <c r="G5569" s="9"/>
      <c r="H5569" s="9"/>
      <c r="I5569" s="9"/>
    </row>
    <row r="5570" spans="1:9" ht="14.25" customHeight="1" x14ac:dyDescent="0.3">
      <c r="A5570" s="10">
        <v>45287</v>
      </c>
      <c r="B5570">
        <f t="shared" ca="1" si="44"/>
        <v>281.99110000000002</v>
      </c>
      <c r="C5570" s="8">
        <f t="shared" si="43"/>
        <v>213.81244427267598</v>
      </c>
      <c r="D5570" s="9">
        <f t="shared" si="42"/>
        <v>76.985120426313415</v>
      </c>
      <c r="E5570" s="9"/>
      <c r="F5570" s="9"/>
      <c r="G5570" s="9"/>
      <c r="H5570" s="9"/>
      <c r="I5570" s="9"/>
    </row>
    <row r="5571" spans="1:9" ht="14.25" customHeight="1" x14ac:dyDescent="0.3">
      <c r="A5571" s="10">
        <v>45288</v>
      </c>
      <c r="B5571">
        <f t="shared" ca="1" si="44"/>
        <v>281.9923</v>
      </c>
      <c r="C5571" s="8">
        <f t="shared" si="43"/>
        <v>213.85068457880621</v>
      </c>
      <c r="D5571" s="9">
        <f t="shared" si="42"/>
        <v>76.987858259110681</v>
      </c>
      <c r="E5571" s="9"/>
      <c r="F5571" s="9"/>
      <c r="G5571" s="9"/>
      <c r="H5571" s="9"/>
      <c r="I5571" s="9"/>
    </row>
    <row r="5572" spans="1:9" ht="14.25" customHeight="1" x14ac:dyDescent="0.3">
      <c r="A5572" s="10">
        <v>45289</v>
      </c>
      <c r="B5572">
        <f t="shared" ca="1" si="44"/>
        <v>278.19580000000002</v>
      </c>
      <c r="C5572" s="8">
        <f t="shared" si="43"/>
        <v>213.88893172420637</v>
      </c>
      <c r="D5572" s="9">
        <f t="shared" si="42"/>
        <v>76.990596091907946</v>
      </c>
      <c r="E5572" s="9"/>
      <c r="F5572" s="9"/>
      <c r="G5572" s="9"/>
      <c r="H5572" s="9"/>
      <c r="I5572" s="9"/>
    </row>
    <row r="5573" spans="1:9" ht="14.25" customHeight="1" x14ac:dyDescent="0.3">
      <c r="A5573" s="10">
        <v>45290</v>
      </c>
      <c r="B5573">
        <f t="shared" ca="1" si="44"/>
        <v>278.7285</v>
      </c>
      <c r="C5573" s="8">
        <f t="shared" si="43"/>
        <v>213.92718571009962</v>
      </c>
      <c r="D5573" s="9">
        <f t="shared" si="42"/>
        <v>76.993333924705212</v>
      </c>
      <c r="E5573" s="9"/>
      <c r="F5573" s="9"/>
      <c r="G5573" s="9"/>
      <c r="H5573" s="9"/>
      <c r="I5573" s="9"/>
    </row>
    <row r="5574" spans="1:9" ht="14.25" customHeight="1" x14ac:dyDescent="0.3">
      <c r="A5574" s="10">
        <v>45291</v>
      </c>
      <c r="B5574">
        <f t="shared" ca="1" si="44"/>
        <v>279.3827</v>
      </c>
      <c r="C5574" s="8">
        <f t="shared" si="43"/>
        <v>213.9654465377094</v>
      </c>
      <c r="D5574" s="9">
        <f t="shared" si="42"/>
        <v>76.996071757502477</v>
      </c>
      <c r="E5574" s="9"/>
      <c r="F5574" s="9"/>
      <c r="G5574" s="9"/>
      <c r="H5574" s="9"/>
      <c r="I5574" s="9"/>
    </row>
    <row r="5575" spans="1:9" ht="14.25" customHeight="1" x14ac:dyDescent="0.3">
      <c r="A5575" s="10">
        <v>45292</v>
      </c>
      <c r="B5575">
        <f t="shared" ca="1" si="44"/>
        <v>278.99180000000001</v>
      </c>
      <c r="C5575" s="8">
        <f t="shared" si="43"/>
        <v>214.00371420825914</v>
      </c>
      <c r="D5575" s="9">
        <f t="shared" si="42"/>
        <v>76.998809590299743</v>
      </c>
      <c r="E5575" s="9"/>
      <c r="F5575" s="9"/>
      <c r="G5575" s="9"/>
      <c r="H5575" s="9"/>
      <c r="I5575" s="9"/>
    </row>
    <row r="5576" spans="1:9" ht="14.25" customHeight="1" x14ac:dyDescent="0.3">
      <c r="A5576" s="10">
        <v>45293</v>
      </c>
      <c r="B5576">
        <f t="shared" ca="1" si="44"/>
        <v>281.9502</v>
      </c>
      <c r="C5576" s="8">
        <f t="shared" si="43"/>
        <v>214.04198872297306</v>
      </c>
      <c r="D5576" s="9">
        <f t="shared" si="42"/>
        <v>77.001547423097009</v>
      </c>
      <c r="E5576" s="9"/>
      <c r="F5576" s="9"/>
      <c r="G5576" s="9"/>
      <c r="H5576" s="9"/>
      <c r="I5576" s="9"/>
    </row>
    <row r="5577" spans="1:9" ht="14.25" customHeight="1" x14ac:dyDescent="0.3">
      <c r="A5577" s="10">
        <v>45294</v>
      </c>
      <c r="B5577">
        <f t="shared" ca="1" si="44"/>
        <v>281.83190000000002</v>
      </c>
      <c r="C5577" s="8">
        <f t="shared" si="43"/>
        <v>214.08027008307511</v>
      </c>
      <c r="D5577" s="9">
        <f t="shared" si="42"/>
        <v>77.004285255894274</v>
      </c>
      <c r="E5577" s="9"/>
      <c r="F5577" s="9"/>
      <c r="G5577" s="9"/>
      <c r="H5577" s="9"/>
      <c r="I5577" s="9"/>
    </row>
    <row r="5578" spans="1:9" ht="14.25" customHeight="1" x14ac:dyDescent="0.3">
      <c r="A5578" s="10">
        <v>45295</v>
      </c>
      <c r="B5578">
        <f t="shared" ca="1" si="44"/>
        <v>281.71230000000003</v>
      </c>
      <c r="C5578" s="8">
        <f t="shared" si="43"/>
        <v>214.11855828978952</v>
      </c>
      <c r="D5578" s="9">
        <f t="shared" si="42"/>
        <v>77.00702308869154</v>
      </c>
      <c r="E5578" s="9"/>
      <c r="F5578" s="9"/>
      <c r="G5578" s="9"/>
      <c r="H5578" s="9"/>
      <c r="I5578" s="9"/>
    </row>
    <row r="5579" spans="1:9" ht="14.25" customHeight="1" x14ac:dyDescent="0.3">
      <c r="A5579" s="10">
        <v>45296</v>
      </c>
      <c r="B5579">
        <f t="shared" ca="1" si="44"/>
        <v>281.49990000000003</v>
      </c>
      <c r="C5579" s="8">
        <f t="shared" si="43"/>
        <v>214.15685334434082</v>
      </c>
      <c r="D5579" s="9">
        <f t="shared" si="42"/>
        <v>77.009760921488805</v>
      </c>
      <c r="E5579" s="9"/>
      <c r="F5579" s="9"/>
      <c r="G5579" s="9"/>
      <c r="H5579" s="9"/>
      <c r="I5579" s="9"/>
    </row>
    <row r="5580" spans="1:9" ht="14.25" customHeight="1" x14ac:dyDescent="0.3">
      <c r="A5580" s="10">
        <v>45297</v>
      </c>
      <c r="B5580">
        <f t="shared" ca="1" si="44"/>
        <v>281.49990000000003</v>
      </c>
      <c r="C5580" s="8">
        <f t="shared" si="43"/>
        <v>214.19515524795378</v>
      </c>
      <c r="D5580" s="9">
        <f t="shared" si="42"/>
        <v>77.012498754286071</v>
      </c>
      <c r="E5580" s="9"/>
      <c r="F5580" s="9"/>
      <c r="G5580" s="9"/>
      <c r="H5580" s="9"/>
      <c r="I5580" s="9"/>
    </row>
    <row r="5581" spans="1:9" ht="14.25" customHeight="1" x14ac:dyDescent="0.3">
      <c r="A5581" s="10">
        <v>45298</v>
      </c>
      <c r="B5581">
        <f t="shared" ca="1" si="44"/>
        <v>277.1617</v>
      </c>
      <c r="C5581" s="8">
        <f t="shared" si="43"/>
        <v>214.23346400185332</v>
      </c>
      <c r="D5581" s="9">
        <f t="shared" si="42"/>
        <v>77.015236587083336</v>
      </c>
      <c r="E5581" s="9"/>
      <c r="F5581" s="9"/>
      <c r="G5581" s="9"/>
      <c r="H5581" s="9"/>
      <c r="I5581" s="9"/>
    </row>
    <row r="5582" spans="1:9" ht="14.25" customHeight="1" x14ac:dyDescent="0.3">
      <c r="A5582" s="10">
        <v>45299</v>
      </c>
      <c r="B5582">
        <f t="shared" ca="1" si="44"/>
        <v>281.20229999999998</v>
      </c>
      <c r="C5582" s="8">
        <f t="shared" si="43"/>
        <v>214.27177960726462</v>
      </c>
      <c r="D5582" s="9">
        <f t="shared" si="42"/>
        <v>77.017974419880602</v>
      </c>
      <c r="E5582" s="9"/>
      <c r="F5582" s="9"/>
      <c r="G5582" s="9"/>
      <c r="H5582" s="9"/>
      <c r="I5582" s="9"/>
    </row>
    <row r="5583" spans="1:9" ht="14.25" customHeight="1" x14ac:dyDescent="0.3">
      <c r="A5583" s="10">
        <v>45300</v>
      </c>
      <c r="B5583">
        <f t="shared" ca="1" si="44"/>
        <v>281.21370000000002</v>
      </c>
      <c r="C5583" s="8">
        <f t="shared" si="43"/>
        <v>214.31010206541305</v>
      </c>
      <c r="D5583" s="9">
        <f t="shared" si="42"/>
        <v>77.020712252677868</v>
      </c>
      <c r="E5583" s="9"/>
      <c r="F5583" s="9"/>
      <c r="G5583" s="9"/>
      <c r="H5583" s="9"/>
      <c r="I5583" s="9"/>
    </row>
    <row r="5584" spans="1:9" ht="14.25" customHeight="1" x14ac:dyDescent="0.3">
      <c r="A5584" s="10">
        <v>45301</v>
      </c>
      <c r="B5584">
        <f t="shared" ca="1" si="44"/>
        <v>281.24720000000002</v>
      </c>
      <c r="C5584" s="8">
        <f t="shared" si="43"/>
        <v>214.34843137752412</v>
      </c>
      <c r="D5584" s="9">
        <f t="shared" si="42"/>
        <v>77.023450085475133</v>
      </c>
      <c r="E5584" s="9"/>
      <c r="F5584" s="9"/>
      <c r="G5584" s="9"/>
      <c r="H5584" s="9"/>
      <c r="I5584" s="9"/>
    </row>
    <row r="5585" spans="1:9" ht="14.25" customHeight="1" x14ac:dyDescent="0.3">
      <c r="A5585" s="10">
        <v>45302</v>
      </c>
      <c r="B5585">
        <f t="shared" ca="1" si="44"/>
        <v>281.16250000000002</v>
      </c>
      <c r="C5585" s="8">
        <f t="shared" si="43"/>
        <v>214.38676754482393</v>
      </c>
      <c r="D5585" s="9">
        <f t="shared" si="42"/>
        <v>77.026187918272399</v>
      </c>
      <c r="E5585" s="9"/>
      <c r="F5585" s="9"/>
      <c r="G5585" s="9"/>
      <c r="H5585" s="9"/>
      <c r="I5585" s="9"/>
    </row>
    <row r="5586" spans="1:9" ht="14.25" customHeight="1" x14ac:dyDescent="0.3">
      <c r="A5586" s="10"/>
      <c r="C5586" s="8"/>
      <c r="D5586" s="9"/>
      <c r="E5586" s="9"/>
      <c r="F5586" s="9"/>
      <c r="G5586" s="9"/>
      <c r="H5586" s="9"/>
      <c r="I5586" s="9"/>
    </row>
    <row r="5587" spans="1:9" ht="14.25" customHeight="1" x14ac:dyDescent="0.3">
      <c r="A5587" s="10"/>
      <c r="C5587" s="8"/>
      <c r="D5587" s="9"/>
      <c r="E5587" s="9"/>
      <c r="F5587" s="9"/>
      <c r="G5587" s="9"/>
      <c r="H5587" s="9"/>
      <c r="I5587" s="9"/>
    </row>
    <row r="5588" spans="1:9" ht="14.25" customHeight="1" x14ac:dyDescent="0.3">
      <c r="A5588" s="10"/>
      <c r="C5588" s="8"/>
      <c r="D5588" s="9"/>
      <c r="E5588" s="9"/>
      <c r="F5588" s="9"/>
      <c r="G5588" s="9"/>
      <c r="H5588" s="9"/>
      <c r="I5588" s="9"/>
    </row>
    <row r="5589" spans="1:9" ht="14.25" customHeight="1" x14ac:dyDescent="0.3">
      <c r="A5589" s="10"/>
      <c r="C5589" s="8"/>
      <c r="D5589" s="9"/>
      <c r="E5589" s="9"/>
      <c r="F5589" s="9"/>
      <c r="G5589" s="9"/>
      <c r="H5589" s="9"/>
      <c r="I5589" s="9"/>
    </row>
    <row r="5590" spans="1:9" ht="14.25" customHeight="1" x14ac:dyDescent="0.3">
      <c r="A5590" s="10"/>
      <c r="C5590" s="8"/>
      <c r="D5590" s="9"/>
      <c r="E5590" s="9"/>
      <c r="F5590" s="9"/>
      <c r="G5590" s="9"/>
      <c r="H5590" s="9"/>
      <c r="I5590" s="9"/>
    </row>
    <row r="5591" spans="1:9" ht="14.25" customHeight="1" x14ac:dyDescent="0.3">
      <c r="A5591" s="10"/>
      <c r="C5591" s="8"/>
      <c r="D5591" s="9"/>
      <c r="E5591" s="9"/>
      <c r="F5591" s="9"/>
      <c r="G5591" s="9"/>
      <c r="H5591" s="9"/>
      <c r="I5591" s="9"/>
    </row>
    <row r="5592" spans="1:9" ht="14.25" customHeight="1" x14ac:dyDescent="0.3">
      <c r="A5592" s="10"/>
      <c r="C5592" s="8"/>
      <c r="D5592" s="9"/>
      <c r="E5592" s="9"/>
      <c r="F5592" s="9"/>
      <c r="G5592" s="9"/>
      <c r="H5592" s="9"/>
      <c r="I5592" s="9"/>
    </row>
    <row r="5593" spans="1:9" ht="14.25" customHeight="1" x14ac:dyDescent="0.3">
      <c r="A5593" s="10"/>
      <c r="C5593" s="8"/>
      <c r="D5593" s="9"/>
      <c r="E5593" s="9"/>
      <c r="F5593" s="9"/>
      <c r="G5593" s="9"/>
      <c r="H5593" s="9"/>
      <c r="I5593" s="9"/>
    </row>
    <row r="5594" spans="1:9" ht="14.25" customHeight="1" x14ac:dyDescent="0.3">
      <c r="A5594" s="10"/>
      <c r="C5594" s="8"/>
      <c r="D5594" s="9"/>
      <c r="E5594" s="9"/>
      <c r="F5594" s="9"/>
      <c r="G5594" s="9"/>
      <c r="H5594" s="9"/>
      <c r="I5594" s="9"/>
    </row>
    <row r="5595" spans="1:9" ht="14.25" customHeight="1" x14ac:dyDescent="0.3">
      <c r="A5595" s="10"/>
      <c r="C5595" s="8"/>
      <c r="D5595" s="9"/>
      <c r="E5595" s="9"/>
      <c r="F5595" s="9"/>
      <c r="G5595" s="9"/>
      <c r="H5595" s="9"/>
      <c r="I5595" s="9"/>
    </row>
    <row r="5596" spans="1:9" ht="14.25" customHeight="1" x14ac:dyDescent="0.3">
      <c r="A5596" s="10"/>
      <c r="C5596" s="8"/>
      <c r="D5596" s="9"/>
      <c r="E5596" s="9"/>
      <c r="F5596" s="9"/>
      <c r="G5596" s="9"/>
      <c r="H5596" s="9"/>
      <c r="I5596" s="9"/>
    </row>
    <row r="5597" spans="1:9" ht="14.25" customHeight="1" x14ac:dyDescent="0.3">
      <c r="A5597" s="10"/>
      <c r="C5597" s="8"/>
      <c r="D5597" s="9"/>
      <c r="E5597" s="9"/>
      <c r="F5597" s="9"/>
      <c r="G5597" s="9"/>
      <c r="H5597" s="9"/>
      <c r="I5597" s="9"/>
    </row>
    <row r="5598" spans="1:9" ht="14.25" customHeight="1" x14ac:dyDescent="0.3">
      <c r="A5598" s="10"/>
      <c r="C5598" s="8"/>
      <c r="D5598" s="9"/>
      <c r="E5598" s="9"/>
      <c r="F5598" s="9"/>
      <c r="G5598" s="9"/>
      <c r="H5598" s="9"/>
      <c r="I5598" s="9"/>
    </row>
    <row r="5599" spans="1:9" ht="14.25" customHeight="1" x14ac:dyDescent="0.3">
      <c r="A5599" s="10"/>
      <c r="C5599" s="8"/>
      <c r="D5599" s="9"/>
      <c r="E5599" s="9"/>
      <c r="F5599" s="9"/>
      <c r="G5599" s="9"/>
      <c r="H5599" s="9"/>
      <c r="I5599" s="9"/>
    </row>
    <row r="5600" spans="1:9" ht="14.25" customHeight="1" x14ac:dyDescent="0.3">
      <c r="A5600" s="10"/>
      <c r="C5600" s="8"/>
      <c r="D5600" s="9"/>
      <c r="E5600" s="9"/>
      <c r="F5600" s="9"/>
      <c r="G5600" s="9"/>
      <c r="H5600" s="9"/>
      <c r="I5600" s="9"/>
    </row>
    <row r="5601" spans="1:9" ht="14.25" customHeight="1" x14ac:dyDescent="0.3">
      <c r="A5601" s="10"/>
      <c r="C5601" s="8"/>
      <c r="D5601" s="9"/>
      <c r="E5601" s="9"/>
      <c r="F5601" s="9"/>
      <c r="G5601" s="9"/>
      <c r="H5601" s="9"/>
      <c r="I5601" s="9"/>
    </row>
    <row r="5602" spans="1:9" ht="14.25" customHeight="1" x14ac:dyDescent="0.3">
      <c r="A5602" s="10"/>
      <c r="C5602" s="8"/>
      <c r="D5602" s="9"/>
      <c r="E5602" s="9"/>
      <c r="F5602" s="9"/>
      <c r="G5602" s="9"/>
      <c r="H5602" s="9"/>
      <c r="I5602" s="9"/>
    </row>
    <row r="5603" spans="1:9" ht="14.25" customHeight="1" x14ac:dyDescent="0.3">
      <c r="A5603" s="10"/>
      <c r="C5603" s="8"/>
      <c r="D5603" s="9"/>
      <c r="E5603" s="9"/>
      <c r="F5603" s="9"/>
      <c r="G5603" s="9"/>
      <c r="H5603" s="9"/>
      <c r="I5603" s="9"/>
    </row>
    <row r="5604" spans="1:9" ht="14.25" customHeight="1" x14ac:dyDescent="0.3">
      <c r="A5604" s="10"/>
      <c r="C5604" s="8"/>
      <c r="D5604" s="9"/>
      <c r="E5604" s="9"/>
      <c r="F5604" s="9"/>
      <c r="G5604" s="9"/>
      <c r="H5604" s="9"/>
      <c r="I5604" s="9"/>
    </row>
    <row r="5605" spans="1:9" ht="14.25" customHeight="1" x14ac:dyDescent="0.3">
      <c r="A5605" s="10"/>
      <c r="C5605" s="8"/>
      <c r="D5605" s="9"/>
      <c r="E5605" s="9"/>
      <c r="F5605" s="9"/>
      <c r="G5605" s="9"/>
      <c r="H5605" s="9"/>
      <c r="I5605" s="9"/>
    </row>
    <row r="5606" spans="1:9" ht="14.25" customHeight="1" x14ac:dyDescent="0.3">
      <c r="A5606" s="10"/>
      <c r="C5606" s="8"/>
      <c r="D5606" s="9"/>
      <c r="E5606" s="9"/>
      <c r="F5606" s="9"/>
      <c r="G5606" s="9"/>
      <c r="H5606" s="9"/>
      <c r="I5606" s="9"/>
    </row>
    <row r="5607" spans="1:9" ht="14.25" customHeight="1" x14ac:dyDescent="0.3">
      <c r="A5607" s="10"/>
      <c r="C5607" s="8"/>
      <c r="D5607" s="9"/>
      <c r="E5607" s="9"/>
      <c r="F5607" s="9"/>
      <c r="G5607" s="9"/>
      <c r="H5607" s="9"/>
      <c r="I5607" s="9"/>
    </row>
    <row r="5608" spans="1:9" ht="14.25" customHeight="1" x14ac:dyDescent="0.3">
      <c r="A5608" s="10"/>
      <c r="C5608" s="8"/>
      <c r="D5608" s="9"/>
      <c r="E5608" s="9"/>
      <c r="F5608" s="9"/>
      <c r="G5608" s="9"/>
      <c r="H5608" s="9"/>
      <c r="I5608" s="9"/>
    </row>
    <row r="5609" spans="1:9" ht="14.25" customHeight="1" x14ac:dyDescent="0.3">
      <c r="A5609" s="10"/>
      <c r="C5609" s="8"/>
      <c r="D5609" s="9"/>
      <c r="E5609" s="9"/>
      <c r="F5609" s="9"/>
      <c r="G5609" s="9"/>
      <c r="H5609" s="9"/>
      <c r="I5609" s="9"/>
    </row>
    <row r="5610" spans="1:9" ht="14.25" customHeight="1" x14ac:dyDescent="0.3">
      <c r="A5610" s="10"/>
      <c r="C5610" s="8"/>
      <c r="D5610" s="9"/>
      <c r="E5610" s="9"/>
      <c r="F5610" s="9"/>
      <c r="G5610" s="9"/>
      <c r="H5610" s="9"/>
      <c r="I5610" s="9"/>
    </row>
    <row r="5611" spans="1:9" ht="14.25" customHeight="1" x14ac:dyDescent="0.3">
      <c r="A5611" s="10"/>
      <c r="C5611" s="8"/>
      <c r="D5611" s="9"/>
      <c r="E5611" s="9"/>
      <c r="F5611" s="9"/>
      <c r="G5611" s="9"/>
      <c r="H5611" s="9"/>
      <c r="I5611" s="9"/>
    </row>
    <row r="5612" spans="1:9" ht="14.25" customHeight="1" x14ac:dyDescent="0.3">
      <c r="A5612" s="10"/>
      <c r="C5612" s="8"/>
      <c r="D5612" s="9"/>
      <c r="E5612" s="9"/>
      <c r="F5612" s="9"/>
      <c r="G5612" s="9"/>
      <c r="H5612" s="9"/>
      <c r="I5612" s="9"/>
    </row>
    <row r="5613" spans="1:9" ht="14.25" customHeight="1" x14ac:dyDescent="0.3">
      <c r="A5613" s="10"/>
      <c r="C5613" s="8"/>
      <c r="D5613" s="9"/>
      <c r="E5613" s="9"/>
      <c r="F5613" s="9"/>
      <c r="G5613" s="9"/>
      <c r="H5613" s="9"/>
      <c r="I5613" s="9"/>
    </row>
    <row r="5614" spans="1:9" ht="14.25" customHeight="1" x14ac:dyDescent="0.3">
      <c r="A5614" s="10"/>
      <c r="C5614" s="8"/>
      <c r="D5614" s="9"/>
      <c r="E5614" s="9"/>
      <c r="F5614" s="9"/>
      <c r="G5614" s="9"/>
      <c r="H5614" s="9"/>
      <c r="I5614" s="9"/>
    </row>
    <row r="5615" spans="1:9" ht="14.25" customHeight="1" x14ac:dyDescent="0.3">
      <c r="A5615" s="10"/>
      <c r="C5615" s="8"/>
      <c r="D5615" s="9"/>
      <c r="E5615" s="9"/>
      <c r="F5615" s="9"/>
      <c r="G5615" s="9"/>
      <c r="H5615" s="9"/>
      <c r="I5615" s="9"/>
    </row>
    <row r="5616" spans="1:9" ht="14.25" customHeight="1" x14ac:dyDescent="0.3">
      <c r="A5616" s="10"/>
      <c r="C5616" s="8"/>
      <c r="D5616" s="9"/>
      <c r="E5616" s="9"/>
      <c r="F5616" s="9"/>
      <c r="G5616" s="9"/>
      <c r="H5616" s="9"/>
      <c r="I5616" s="9"/>
    </row>
    <row r="5617" spans="1:9" ht="14.25" customHeight="1" x14ac:dyDescent="0.3">
      <c r="A5617" s="10"/>
      <c r="C5617" s="8"/>
      <c r="D5617" s="9"/>
      <c r="E5617" s="9"/>
      <c r="F5617" s="9"/>
      <c r="G5617" s="9"/>
      <c r="H5617" s="9"/>
      <c r="I5617" s="9"/>
    </row>
    <row r="5618" spans="1:9" ht="14.25" customHeight="1" x14ac:dyDescent="0.3">
      <c r="A5618" s="10"/>
      <c r="C5618" s="8"/>
      <c r="D5618" s="9"/>
      <c r="E5618" s="9"/>
      <c r="F5618" s="9"/>
      <c r="G5618" s="9"/>
      <c r="H5618" s="9"/>
      <c r="I5618" s="9"/>
    </row>
    <row r="5619" spans="1:9" ht="14.25" customHeight="1" x14ac:dyDescent="0.3">
      <c r="A5619" s="10"/>
      <c r="C5619" s="8"/>
      <c r="D5619" s="9"/>
      <c r="E5619" s="9"/>
      <c r="F5619" s="9"/>
      <c r="G5619" s="9"/>
      <c r="H5619" s="9"/>
      <c r="I5619" s="9"/>
    </row>
    <row r="5620" spans="1:9" ht="14.25" customHeight="1" x14ac:dyDescent="0.3">
      <c r="A5620" s="10"/>
      <c r="C5620" s="8"/>
      <c r="D5620" s="9"/>
      <c r="E5620" s="9"/>
      <c r="F5620" s="9"/>
      <c r="G5620" s="9"/>
      <c r="H5620" s="9"/>
      <c r="I5620" s="9"/>
    </row>
    <row r="5621" spans="1:9" ht="14.25" customHeight="1" x14ac:dyDescent="0.3">
      <c r="A5621" s="10"/>
      <c r="C5621" s="8"/>
      <c r="D5621" s="9"/>
      <c r="E5621" s="9"/>
      <c r="F5621" s="9"/>
      <c r="G5621" s="9"/>
      <c r="H5621" s="9"/>
      <c r="I5621" s="9"/>
    </row>
    <row r="5622" spans="1:9" ht="14.25" customHeight="1" x14ac:dyDescent="0.3">
      <c r="A5622" s="10"/>
      <c r="C5622" s="8"/>
      <c r="D5622" s="9"/>
      <c r="E5622" s="9"/>
      <c r="F5622" s="9"/>
      <c r="G5622" s="9"/>
      <c r="H5622" s="9"/>
      <c r="I5622" s="9"/>
    </row>
    <row r="5623" spans="1:9" ht="14.25" customHeight="1" x14ac:dyDescent="0.3">
      <c r="A5623" s="10"/>
      <c r="C5623" s="8"/>
      <c r="D5623" s="9"/>
      <c r="E5623" s="9"/>
      <c r="F5623" s="9"/>
      <c r="G5623" s="9"/>
      <c r="H5623" s="9"/>
      <c r="I5623" s="9"/>
    </row>
    <row r="5624" spans="1:9" ht="14.25" customHeight="1" x14ac:dyDescent="0.3">
      <c r="A5624" s="10"/>
      <c r="C5624" s="8"/>
      <c r="D5624" s="9"/>
      <c r="E5624" s="9"/>
      <c r="F5624" s="9"/>
      <c r="G5624" s="9"/>
      <c r="H5624" s="9"/>
      <c r="I5624" s="9"/>
    </row>
    <row r="5625" spans="1:9" ht="14.25" customHeight="1" x14ac:dyDescent="0.3">
      <c r="A5625" s="10"/>
      <c r="C5625" s="8"/>
      <c r="D5625" s="9"/>
      <c r="E5625" s="9"/>
      <c r="F5625" s="9"/>
      <c r="G5625" s="9"/>
      <c r="H5625" s="9"/>
      <c r="I5625" s="9"/>
    </row>
    <row r="5626" spans="1:9" ht="14.25" customHeight="1" x14ac:dyDescent="0.3">
      <c r="A5626" s="10"/>
      <c r="C5626" s="8"/>
      <c r="D5626" s="9"/>
      <c r="E5626" s="9"/>
      <c r="F5626" s="9"/>
      <c r="G5626" s="9"/>
      <c r="H5626" s="9"/>
      <c r="I5626" s="9"/>
    </row>
    <row r="5627" spans="1:9" ht="14.25" customHeight="1" x14ac:dyDescent="0.3">
      <c r="A5627" s="10"/>
      <c r="C5627" s="8"/>
      <c r="D5627" s="9"/>
      <c r="E5627" s="9"/>
      <c r="F5627" s="9"/>
      <c r="G5627" s="9"/>
      <c r="H5627" s="9"/>
      <c r="I5627" s="9"/>
    </row>
    <row r="5628" spans="1:9" ht="14.25" customHeight="1" x14ac:dyDescent="0.3">
      <c r="A5628" s="10"/>
      <c r="C5628" s="8"/>
      <c r="D5628" s="9"/>
      <c r="E5628" s="9"/>
      <c r="F5628" s="9"/>
      <c r="G5628" s="9"/>
      <c r="H5628" s="9"/>
      <c r="I5628" s="9"/>
    </row>
    <row r="5629" spans="1:9" ht="14.25" customHeight="1" x14ac:dyDescent="0.3">
      <c r="A5629" s="10"/>
      <c r="C5629" s="8"/>
      <c r="D5629" s="9"/>
      <c r="E5629" s="9"/>
      <c r="F5629" s="9"/>
      <c r="G5629" s="9"/>
      <c r="H5629" s="9"/>
      <c r="I5629" s="9"/>
    </row>
    <row r="5630" spans="1:9" ht="14.25" customHeight="1" x14ac:dyDescent="0.3">
      <c r="A5630" s="10"/>
      <c r="C5630" s="8"/>
      <c r="D5630" s="9"/>
      <c r="E5630" s="9"/>
      <c r="F5630" s="9"/>
      <c r="G5630" s="9"/>
      <c r="H5630" s="9"/>
      <c r="I5630" s="9"/>
    </row>
    <row r="5631" spans="1:9" ht="14.25" customHeight="1" x14ac:dyDescent="0.3">
      <c r="A5631" s="10"/>
      <c r="C5631" s="8"/>
      <c r="D5631" s="9"/>
      <c r="E5631" s="9"/>
      <c r="F5631" s="9"/>
      <c r="G5631" s="9"/>
      <c r="H5631" s="9"/>
      <c r="I5631" s="9"/>
    </row>
    <row r="5632" spans="1:9" ht="14.25" customHeight="1" x14ac:dyDescent="0.3">
      <c r="A5632" s="10"/>
      <c r="C5632" s="8"/>
      <c r="D5632" s="9"/>
      <c r="E5632" s="9"/>
      <c r="F5632" s="9"/>
      <c r="G5632" s="9"/>
      <c r="H5632" s="9"/>
      <c r="I5632" s="9"/>
    </row>
    <row r="5633" spans="1:9" ht="14.25" customHeight="1" x14ac:dyDescent="0.3">
      <c r="A5633" s="10"/>
      <c r="C5633" s="8"/>
      <c r="D5633" s="9"/>
      <c r="E5633" s="9"/>
      <c r="F5633" s="9"/>
      <c r="G5633" s="9"/>
      <c r="H5633" s="9"/>
      <c r="I5633" s="9"/>
    </row>
    <row r="5634" spans="1:9" ht="14.25" customHeight="1" x14ac:dyDescent="0.3">
      <c r="A5634" s="10"/>
      <c r="C5634" s="8"/>
      <c r="D5634" s="9"/>
      <c r="E5634" s="9"/>
      <c r="F5634" s="9"/>
      <c r="G5634" s="9"/>
      <c r="H5634" s="9"/>
      <c r="I5634" s="9"/>
    </row>
    <row r="5635" spans="1:9" ht="14.25" customHeight="1" x14ac:dyDescent="0.3">
      <c r="A5635" s="10"/>
      <c r="C5635" s="8"/>
      <c r="D5635" s="9"/>
      <c r="E5635" s="9"/>
      <c r="F5635" s="9"/>
      <c r="G5635" s="9"/>
      <c r="H5635" s="9"/>
      <c r="I5635" s="9"/>
    </row>
    <row r="5636" spans="1:9" ht="14.25" customHeight="1" x14ac:dyDescent="0.3">
      <c r="A5636" s="10"/>
      <c r="C5636" s="8"/>
      <c r="D5636" s="9"/>
      <c r="E5636" s="9"/>
      <c r="F5636" s="9"/>
      <c r="G5636" s="9"/>
      <c r="H5636" s="9"/>
      <c r="I5636" s="9"/>
    </row>
    <row r="5637" spans="1:9" ht="14.25" customHeight="1" x14ac:dyDescent="0.3">
      <c r="A5637" s="10"/>
      <c r="C5637" s="8"/>
      <c r="D5637" s="9"/>
      <c r="E5637" s="9"/>
      <c r="F5637" s="9"/>
      <c r="G5637" s="9"/>
      <c r="H5637" s="9"/>
      <c r="I5637" s="9"/>
    </row>
    <row r="5638" spans="1:9" ht="14.25" customHeight="1" x14ac:dyDescent="0.3">
      <c r="A5638" s="10"/>
      <c r="C5638" s="8"/>
      <c r="D5638" s="9"/>
      <c r="E5638" s="9"/>
      <c r="F5638" s="9"/>
      <c r="G5638" s="9"/>
      <c r="H5638" s="9"/>
      <c r="I5638" s="9"/>
    </row>
    <row r="5639" spans="1:9" ht="14.25" customHeight="1" x14ac:dyDescent="0.3">
      <c r="A5639" s="10"/>
      <c r="C5639" s="8"/>
      <c r="D5639" s="9"/>
      <c r="E5639" s="9"/>
      <c r="F5639" s="9"/>
      <c r="G5639" s="9"/>
      <c r="H5639" s="9"/>
      <c r="I5639" s="9"/>
    </row>
    <row r="5640" spans="1:9" ht="14.25" customHeight="1" x14ac:dyDescent="0.3">
      <c r="A5640" s="10"/>
      <c r="C5640" s="8"/>
      <c r="D5640" s="9"/>
      <c r="E5640" s="9"/>
      <c r="F5640" s="9"/>
      <c r="G5640" s="9"/>
      <c r="H5640" s="9"/>
      <c r="I5640" s="9"/>
    </row>
    <row r="5641" spans="1:9" ht="14.25" customHeight="1" x14ac:dyDescent="0.3">
      <c r="A5641" s="10"/>
      <c r="C5641" s="8"/>
      <c r="D5641" s="9"/>
      <c r="E5641" s="9"/>
      <c r="F5641" s="9"/>
      <c r="G5641" s="9"/>
      <c r="H5641" s="9"/>
      <c r="I5641" s="9"/>
    </row>
    <row r="5642" spans="1:9" ht="14.25" customHeight="1" x14ac:dyDescent="0.3">
      <c r="A5642" s="10"/>
      <c r="C5642" s="8"/>
      <c r="D5642" s="9"/>
      <c r="E5642" s="9"/>
      <c r="F5642" s="9"/>
      <c r="G5642" s="9"/>
      <c r="H5642" s="9"/>
      <c r="I5642" s="9"/>
    </row>
    <row r="5643" spans="1:9" ht="14.25" customHeight="1" x14ac:dyDescent="0.3">
      <c r="A5643" s="10"/>
      <c r="C5643" s="8"/>
      <c r="D5643" s="9"/>
      <c r="E5643" s="9"/>
      <c r="F5643" s="9"/>
      <c r="G5643" s="9"/>
      <c r="H5643" s="9"/>
      <c r="I5643" s="9"/>
    </row>
    <row r="5644" spans="1:9" ht="14.25" customHeight="1" x14ac:dyDescent="0.3">
      <c r="A5644" s="10"/>
      <c r="C5644" s="8"/>
      <c r="D5644" s="9"/>
      <c r="E5644" s="9"/>
      <c r="F5644" s="9"/>
      <c r="G5644" s="9"/>
      <c r="H5644" s="9"/>
      <c r="I5644" s="9"/>
    </row>
    <row r="5645" spans="1:9" ht="14.25" customHeight="1" x14ac:dyDescent="0.3">
      <c r="A5645" s="10"/>
      <c r="C5645" s="8"/>
      <c r="D5645" s="9"/>
      <c r="E5645" s="9"/>
      <c r="F5645" s="9"/>
      <c r="G5645" s="9"/>
      <c r="H5645" s="9"/>
      <c r="I5645" s="9"/>
    </row>
    <row r="5646" spans="1:9" ht="14.25" customHeight="1" x14ac:dyDescent="0.3">
      <c r="A5646" s="10"/>
      <c r="C5646" s="8"/>
      <c r="D5646" s="9"/>
      <c r="E5646" s="9"/>
      <c r="F5646" s="9"/>
      <c r="G5646" s="9"/>
      <c r="H5646" s="9"/>
      <c r="I5646" s="9"/>
    </row>
    <row r="5647" spans="1:9" ht="14.25" customHeight="1" x14ac:dyDescent="0.3">
      <c r="A5647" s="10"/>
      <c r="C5647" s="8"/>
      <c r="D5647" s="9"/>
      <c r="E5647" s="9"/>
      <c r="F5647" s="9"/>
      <c r="G5647" s="9"/>
      <c r="H5647" s="9"/>
      <c r="I5647" s="9"/>
    </row>
    <row r="5648" spans="1:9" ht="14.25" customHeight="1" x14ac:dyDescent="0.3">
      <c r="A5648" s="10"/>
      <c r="C5648" s="8"/>
      <c r="D5648" s="9"/>
      <c r="E5648" s="9"/>
      <c r="F5648" s="9"/>
      <c r="G5648" s="9"/>
      <c r="H5648" s="9"/>
      <c r="I5648" s="9"/>
    </row>
    <row r="5649" spans="1:9" ht="14.25" customHeight="1" x14ac:dyDescent="0.3">
      <c r="A5649" s="10"/>
      <c r="C5649" s="8"/>
      <c r="D5649" s="9"/>
      <c r="E5649" s="9"/>
      <c r="F5649" s="9"/>
      <c r="G5649" s="9"/>
      <c r="H5649" s="9"/>
      <c r="I5649" s="9"/>
    </row>
    <row r="5650" spans="1:9" ht="14.25" customHeight="1" x14ac:dyDescent="0.3">
      <c r="A5650" s="10"/>
      <c r="C5650" s="8"/>
      <c r="D5650" s="9"/>
      <c r="E5650" s="9"/>
      <c r="F5650" s="9"/>
      <c r="G5650" s="9"/>
      <c r="H5650" s="9"/>
      <c r="I5650" s="9"/>
    </row>
    <row r="5651" spans="1:9" ht="14.25" customHeight="1" x14ac:dyDescent="0.3">
      <c r="A5651" s="10"/>
      <c r="C5651" s="8"/>
      <c r="D5651" s="9"/>
      <c r="E5651" s="9"/>
      <c r="F5651" s="9"/>
      <c r="G5651" s="9"/>
      <c r="H5651" s="9"/>
      <c r="I5651" s="9"/>
    </row>
    <row r="5652" spans="1:9" ht="14.25" customHeight="1" x14ac:dyDescent="0.3">
      <c r="A5652" s="10"/>
      <c r="C5652" s="8"/>
      <c r="D5652" s="9"/>
      <c r="E5652" s="9"/>
      <c r="F5652" s="9"/>
      <c r="G5652" s="9"/>
      <c r="H5652" s="9"/>
      <c r="I5652" s="9"/>
    </row>
    <row r="5653" spans="1:9" ht="14.25" customHeight="1" x14ac:dyDescent="0.3">
      <c r="A5653" s="10"/>
      <c r="C5653" s="8"/>
      <c r="D5653" s="9"/>
      <c r="E5653" s="9"/>
      <c r="F5653" s="9"/>
      <c r="G5653" s="9"/>
      <c r="H5653" s="9"/>
      <c r="I5653" s="9"/>
    </row>
    <row r="5654" spans="1:9" ht="14.25" customHeight="1" x14ac:dyDescent="0.3">
      <c r="A5654" s="10"/>
      <c r="C5654" s="8"/>
      <c r="D5654" s="9"/>
      <c r="E5654" s="9"/>
      <c r="F5654" s="9"/>
      <c r="G5654" s="9"/>
      <c r="H5654" s="9"/>
      <c r="I5654" s="9"/>
    </row>
    <row r="5655" spans="1:9" ht="14.25" customHeight="1" x14ac:dyDescent="0.3">
      <c r="A5655" s="10"/>
      <c r="C5655" s="8"/>
      <c r="D5655" s="9"/>
      <c r="E5655" s="9"/>
      <c r="F5655" s="9"/>
      <c r="G5655" s="9"/>
      <c r="H5655" s="9"/>
      <c r="I5655" s="9"/>
    </row>
    <row r="5656" spans="1:9" ht="14.25" customHeight="1" x14ac:dyDescent="0.3">
      <c r="A5656" s="10"/>
      <c r="C5656" s="8"/>
      <c r="D5656" s="9"/>
      <c r="E5656" s="9"/>
      <c r="F5656" s="9"/>
      <c r="G5656" s="9"/>
      <c r="H5656" s="9"/>
      <c r="I5656" s="9"/>
    </row>
    <row r="5657" spans="1:9" ht="14.25" customHeight="1" x14ac:dyDescent="0.3">
      <c r="A5657" s="10"/>
      <c r="C5657" s="8"/>
      <c r="D5657" s="9"/>
      <c r="E5657" s="9"/>
      <c r="F5657" s="9"/>
      <c r="G5657" s="9"/>
      <c r="H5657" s="9"/>
      <c r="I5657" s="9"/>
    </row>
    <row r="5658" spans="1:9" ht="14.25" customHeight="1" x14ac:dyDescent="0.3">
      <c r="A5658" s="10"/>
      <c r="C5658" s="8"/>
      <c r="D5658" s="9"/>
      <c r="E5658" s="9"/>
      <c r="F5658" s="9"/>
      <c r="G5658" s="9"/>
      <c r="H5658" s="9"/>
      <c r="I5658" s="9"/>
    </row>
    <row r="5659" spans="1:9" ht="14.25" customHeight="1" x14ac:dyDescent="0.3">
      <c r="A5659" s="10"/>
      <c r="C5659" s="8"/>
      <c r="D5659" s="9"/>
      <c r="E5659" s="9"/>
      <c r="F5659" s="9"/>
      <c r="G5659" s="9"/>
      <c r="H5659" s="9"/>
      <c r="I5659" s="9"/>
    </row>
    <row r="5660" spans="1:9" ht="14.25" customHeight="1" x14ac:dyDescent="0.3">
      <c r="A5660" s="10"/>
      <c r="C5660" s="8"/>
      <c r="D5660" s="9"/>
      <c r="E5660" s="9"/>
      <c r="F5660" s="9"/>
      <c r="G5660" s="9"/>
      <c r="H5660" s="9"/>
      <c r="I5660" s="9"/>
    </row>
    <row r="5661" spans="1:9" ht="14.25" customHeight="1" x14ac:dyDescent="0.3">
      <c r="A5661" s="10"/>
      <c r="C5661" s="8"/>
      <c r="D5661" s="9"/>
      <c r="E5661" s="9"/>
      <c r="F5661" s="9"/>
      <c r="G5661" s="9"/>
      <c r="H5661" s="9"/>
      <c r="I5661" s="9"/>
    </row>
    <row r="5662" spans="1:9" ht="14.25" customHeight="1" x14ac:dyDescent="0.3">
      <c r="A5662" s="10"/>
      <c r="C5662" s="8"/>
      <c r="D5662" s="9"/>
      <c r="E5662" s="9"/>
      <c r="F5662" s="9"/>
      <c r="G5662" s="9"/>
      <c r="H5662" s="9"/>
      <c r="I5662" s="9"/>
    </row>
    <row r="5663" spans="1:9" ht="14.25" customHeight="1" x14ac:dyDescent="0.3">
      <c r="A5663" s="10"/>
      <c r="C5663" s="8"/>
      <c r="D5663" s="9"/>
      <c r="E5663" s="9"/>
      <c r="F5663" s="9"/>
      <c r="G5663" s="9"/>
      <c r="H5663" s="9"/>
      <c r="I5663" s="9"/>
    </row>
    <row r="5664" spans="1:9" ht="14.25" customHeight="1" x14ac:dyDescent="0.3">
      <c r="A5664" s="10"/>
      <c r="C5664" s="8"/>
      <c r="D5664" s="9"/>
      <c r="E5664" s="9"/>
      <c r="F5664" s="9"/>
      <c r="G5664" s="9"/>
      <c r="H5664" s="9"/>
      <c r="I5664" s="9"/>
    </row>
    <row r="5665" spans="1:9" ht="14.25" customHeight="1" x14ac:dyDescent="0.3">
      <c r="A5665" s="10"/>
      <c r="C5665" s="8"/>
      <c r="D5665" s="9"/>
      <c r="E5665" s="9"/>
      <c r="F5665" s="9"/>
      <c r="G5665" s="9"/>
      <c r="H5665" s="9"/>
      <c r="I5665" s="9"/>
    </row>
    <row r="5666" spans="1:9" ht="14.25" customHeight="1" x14ac:dyDescent="0.3">
      <c r="A5666" s="10"/>
      <c r="C5666" s="8"/>
      <c r="D5666" s="9"/>
      <c r="E5666" s="9"/>
      <c r="F5666" s="9"/>
      <c r="G5666" s="9"/>
      <c r="H5666" s="9"/>
      <c r="I5666" s="9"/>
    </row>
    <row r="5667" spans="1:9" ht="14.25" customHeight="1" x14ac:dyDescent="0.3">
      <c r="A5667" s="10"/>
      <c r="C5667" s="8"/>
      <c r="D5667" s="9"/>
      <c r="E5667" s="9"/>
      <c r="F5667" s="9"/>
      <c r="G5667" s="9"/>
      <c r="H5667" s="9"/>
      <c r="I5667" s="9"/>
    </row>
    <row r="5668" spans="1:9" ht="14.25" customHeight="1" x14ac:dyDescent="0.3">
      <c r="A5668" s="10"/>
      <c r="C5668" s="8"/>
      <c r="D5668" s="9"/>
      <c r="E5668" s="9"/>
      <c r="F5668" s="9"/>
      <c r="G5668" s="9"/>
      <c r="H5668" s="9"/>
      <c r="I5668" s="9"/>
    </row>
    <row r="5669" spans="1:9" ht="14.25" customHeight="1" x14ac:dyDescent="0.3">
      <c r="A5669" s="10"/>
      <c r="C5669" s="8"/>
      <c r="D5669" s="9"/>
      <c r="E5669" s="9"/>
      <c r="F5669" s="9"/>
      <c r="G5669" s="9"/>
      <c r="H5669" s="9"/>
      <c r="I5669" s="9"/>
    </row>
    <row r="5670" spans="1:9" ht="14.25" customHeight="1" x14ac:dyDescent="0.3">
      <c r="A5670" s="10"/>
      <c r="C5670" s="8"/>
      <c r="D5670" s="9"/>
      <c r="E5670" s="9"/>
      <c r="F5670" s="9"/>
      <c r="G5670" s="9"/>
      <c r="H5670" s="9"/>
      <c r="I5670" s="9"/>
    </row>
    <row r="5671" spans="1:9" ht="14.25" customHeight="1" x14ac:dyDescent="0.3">
      <c r="A5671" s="10"/>
      <c r="C5671" s="8"/>
      <c r="D5671" s="9"/>
      <c r="E5671" s="9"/>
      <c r="F5671" s="9"/>
      <c r="G5671" s="9"/>
      <c r="H5671" s="9"/>
      <c r="I5671" s="9"/>
    </row>
    <row r="5672" spans="1:9" ht="14.25" customHeight="1" x14ac:dyDescent="0.3">
      <c r="A5672" s="10"/>
      <c r="C5672" s="8"/>
      <c r="D5672" s="9"/>
      <c r="E5672" s="9"/>
      <c r="F5672" s="9"/>
      <c r="G5672" s="9"/>
      <c r="H5672" s="9"/>
      <c r="I5672" s="9"/>
    </row>
    <row r="5673" spans="1:9" ht="14.25" customHeight="1" x14ac:dyDescent="0.3">
      <c r="A5673" s="10"/>
      <c r="C5673" s="8"/>
      <c r="D5673" s="9"/>
      <c r="E5673" s="9"/>
      <c r="F5673" s="9"/>
      <c r="G5673" s="9"/>
      <c r="H5673" s="9"/>
      <c r="I5673" s="9"/>
    </row>
    <row r="5674" spans="1:9" ht="14.25" customHeight="1" x14ac:dyDescent="0.3">
      <c r="A5674" s="10"/>
      <c r="C5674" s="8"/>
      <c r="D5674" s="9"/>
      <c r="E5674" s="9"/>
      <c r="F5674" s="9"/>
      <c r="G5674" s="9"/>
      <c r="H5674" s="9"/>
      <c r="I5674" s="9"/>
    </row>
    <row r="5675" spans="1:9" ht="14.25" customHeight="1" x14ac:dyDescent="0.3">
      <c r="A5675" s="10"/>
      <c r="C5675" s="8"/>
      <c r="D5675" s="9"/>
      <c r="E5675" s="9"/>
      <c r="F5675" s="9"/>
      <c r="G5675" s="9"/>
      <c r="H5675" s="9"/>
      <c r="I5675" s="9"/>
    </row>
    <row r="5676" spans="1:9" ht="14.25" customHeight="1" x14ac:dyDescent="0.3">
      <c r="A5676" s="10"/>
      <c r="C5676" s="8"/>
      <c r="D5676" s="9"/>
      <c r="E5676" s="9"/>
      <c r="F5676" s="9"/>
      <c r="G5676" s="9"/>
      <c r="H5676" s="9"/>
      <c r="I5676" s="9"/>
    </row>
    <row r="5677" spans="1:9" ht="14.25" customHeight="1" x14ac:dyDescent="0.3">
      <c r="A5677" s="10"/>
      <c r="C5677" s="8"/>
      <c r="D5677" s="9"/>
      <c r="E5677" s="9"/>
      <c r="F5677" s="9"/>
      <c r="G5677" s="9"/>
      <c r="H5677" s="9"/>
      <c r="I5677" s="9"/>
    </row>
    <row r="5678" spans="1:9" ht="14.25" customHeight="1" x14ac:dyDescent="0.3">
      <c r="A5678" s="10"/>
      <c r="C5678" s="8"/>
      <c r="D5678" s="9"/>
      <c r="E5678" s="9"/>
      <c r="F5678" s="9"/>
      <c r="G5678" s="9"/>
      <c r="H5678" s="9"/>
      <c r="I5678" s="9"/>
    </row>
    <row r="5679" spans="1:9" ht="14.25" customHeight="1" x14ac:dyDescent="0.3">
      <c r="A5679" s="10"/>
      <c r="C5679" s="8"/>
      <c r="D5679" s="9"/>
      <c r="E5679" s="9"/>
      <c r="F5679" s="9"/>
      <c r="G5679" s="9"/>
      <c r="H5679" s="9"/>
      <c r="I5679" s="9"/>
    </row>
    <row r="5680" spans="1:9" ht="14.25" customHeight="1" x14ac:dyDescent="0.3">
      <c r="A5680" s="10"/>
      <c r="C5680" s="8"/>
      <c r="D5680" s="9"/>
      <c r="E5680" s="9"/>
      <c r="F5680" s="9"/>
      <c r="G5680" s="9"/>
      <c r="H5680" s="9"/>
      <c r="I5680" s="9"/>
    </row>
    <row r="5681" spans="1:9" ht="14.25" customHeight="1" x14ac:dyDescent="0.3">
      <c r="A5681" s="10"/>
      <c r="C5681" s="8"/>
      <c r="D5681" s="9"/>
      <c r="E5681" s="9"/>
      <c r="F5681" s="9"/>
      <c r="G5681" s="9"/>
      <c r="H5681" s="9"/>
      <c r="I5681" s="9"/>
    </row>
    <row r="5682" spans="1:9" ht="14.25" customHeight="1" x14ac:dyDescent="0.3">
      <c r="A5682" s="10"/>
      <c r="C5682" s="8"/>
      <c r="D5682" s="9"/>
      <c r="E5682" s="9"/>
      <c r="F5682" s="9"/>
      <c r="G5682" s="9"/>
      <c r="H5682" s="9"/>
      <c r="I5682" s="9"/>
    </row>
    <row r="5683" spans="1:9" ht="14.25" customHeight="1" x14ac:dyDescent="0.3">
      <c r="A5683" s="10"/>
      <c r="C5683" s="8"/>
      <c r="D5683" s="9"/>
      <c r="E5683" s="9"/>
      <c r="F5683" s="9"/>
      <c r="G5683" s="9"/>
      <c r="H5683" s="9"/>
      <c r="I5683" s="9"/>
    </row>
    <row r="5684" spans="1:9" ht="14.25" customHeight="1" x14ac:dyDescent="0.3">
      <c r="A5684" s="10"/>
      <c r="C5684" s="8"/>
      <c r="D5684" s="9"/>
      <c r="E5684" s="9"/>
      <c r="F5684" s="9"/>
      <c r="G5684" s="9"/>
      <c r="H5684" s="9"/>
      <c r="I5684" s="9"/>
    </row>
    <row r="5685" spans="1:9" ht="14.25" customHeight="1" x14ac:dyDescent="0.3">
      <c r="A5685" s="10"/>
      <c r="C5685" s="8"/>
      <c r="D5685" s="9"/>
      <c r="E5685" s="9"/>
      <c r="F5685" s="9"/>
      <c r="G5685" s="9"/>
      <c r="H5685" s="9"/>
      <c r="I5685" s="9"/>
    </row>
    <row r="5686" spans="1:9" ht="14.25" customHeight="1" x14ac:dyDescent="0.3">
      <c r="A5686" s="10"/>
      <c r="C5686" s="8"/>
      <c r="D5686" s="9"/>
      <c r="E5686" s="9"/>
      <c r="F5686" s="9"/>
      <c r="G5686" s="9"/>
      <c r="H5686" s="9"/>
      <c r="I5686" s="9"/>
    </row>
    <row r="5687" spans="1:9" ht="14.25" customHeight="1" x14ac:dyDescent="0.3">
      <c r="A5687" s="10"/>
      <c r="C5687" s="8"/>
      <c r="D5687" s="9"/>
      <c r="E5687" s="9"/>
      <c r="F5687" s="9"/>
      <c r="G5687" s="9"/>
      <c r="H5687" s="9"/>
      <c r="I5687" s="9"/>
    </row>
    <row r="5688" spans="1:9" ht="14.25" customHeight="1" x14ac:dyDescent="0.3">
      <c r="A5688" s="10"/>
      <c r="C5688" s="8"/>
      <c r="D5688" s="9"/>
      <c r="E5688" s="9"/>
      <c r="F5688" s="9"/>
      <c r="G5688" s="9"/>
      <c r="H5688" s="9"/>
      <c r="I5688" s="9"/>
    </row>
    <row r="5689" spans="1:9" ht="14.25" customHeight="1" x14ac:dyDescent="0.3">
      <c r="A5689" s="10"/>
      <c r="C5689" s="8"/>
      <c r="D5689" s="9"/>
      <c r="E5689" s="9"/>
      <c r="F5689" s="9"/>
      <c r="G5689" s="9"/>
      <c r="H5689" s="9"/>
      <c r="I5689" s="9"/>
    </row>
    <row r="5690" spans="1:9" ht="14.25" customHeight="1" x14ac:dyDescent="0.3">
      <c r="A5690" s="10"/>
      <c r="C5690" s="8"/>
      <c r="D5690" s="9"/>
      <c r="E5690" s="9"/>
      <c r="F5690" s="9"/>
      <c r="G5690" s="9"/>
      <c r="H5690" s="9"/>
      <c r="I5690" s="9"/>
    </row>
    <row r="5691" spans="1:9" ht="14.25" customHeight="1" x14ac:dyDescent="0.3">
      <c r="A5691" s="10"/>
      <c r="C5691" s="8"/>
      <c r="D5691" s="9"/>
      <c r="E5691" s="9"/>
      <c r="F5691" s="9"/>
      <c r="G5691" s="9"/>
      <c r="H5691" s="9"/>
      <c r="I5691" s="9"/>
    </row>
    <row r="5692" spans="1:9" ht="14.25" customHeight="1" x14ac:dyDescent="0.3">
      <c r="A5692" s="10"/>
      <c r="C5692" s="8"/>
      <c r="D5692" s="9"/>
      <c r="E5692" s="9"/>
      <c r="F5692" s="9"/>
      <c r="G5692" s="9"/>
      <c r="H5692" s="9"/>
      <c r="I5692" s="9"/>
    </row>
    <row r="5693" spans="1:9" ht="14.25" customHeight="1" x14ac:dyDescent="0.3">
      <c r="A5693" s="10"/>
      <c r="C5693" s="8"/>
      <c r="D5693" s="9"/>
      <c r="E5693" s="9"/>
      <c r="F5693" s="9"/>
      <c r="G5693" s="9"/>
      <c r="H5693" s="9"/>
      <c r="I5693" s="9"/>
    </row>
    <row r="5694" spans="1:9" ht="14.25" customHeight="1" x14ac:dyDescent="0.3">
      <c r="A5694" s="10"/>
      <c r="C5694" s="8"/>
      <c r="D5694" s="9"/>
      <c r="E5694" s="9"/>
      <c r="F5694" s="9"/>
      <c r="G5694" s="9"/>
      <c r="H5694" s="9"/>
      <c r="I5694" s="9"/>
    </row>
    <row r="5695" spans="1:9" ht="14.25" customHeight="1" x14ac:dyDescent="0.3">
      <c r="A5695" s="10"/>
      <c r="C5695" s="8"/>
      <c r="D5695" s="9"/>
      <c r="E5695" s="9"/>
      <c r="F5695" s="9"/>
      <c r="G5695" s="9"/>
      <c r="H5695" s="9"/>
      <c r="I5695" s="9"/>
    </row>
    <row r="5696" spans="1:9" ht="14.25" customHeight="1" x14ac:dyDescent="0.3">
      <c r="A5696" s="10"/>
      <c r="C5696" s="8"/>
      <c r="D5696" s="9"/>
      <c r="E5696" s="9"/>
      <c r="F5696" s="9"/>
      <c r="G5696" s="9"/>
      <c r="H5696" s="9"/>
      <c r="I5696" s="9"/>
    </row>
    <row r="5697" spans="1:9" ht="14.25" customHeight="1" x14ac:dyDescent="0.3">
      <c r="A5697" s="10"/>
      <c r="C5697" s="8"/>
      <c r="D5697" s="9"/>
      <c r="E5697" s="9"/>
      <c r="F5697" s="9"/>
      <c r="G5697" s="9"/>
      <c r="H5697" s="9"/>
      <c r="I5697" s="9"/>
    </row>
    <row r="5698" spans="1:9" ht="14.25" customHeight="1" x14ac:dyDescent="0.3">
      <c r="A5698" s="10"/>
      <c r="C5698" s="8"/>
      <c r="D5698" s="9"/>
      <c r="E5698" s="9"/>
      <c r="F5698" s="9"/>
      <c r="G5698" s="9"/>
      <c r="H5698" s="9"/>
      <c r="I5698" s="9"/>
    </row>
    <row r="5699" spans="1:9" ht="14.25" customHeight="1" x14ac:dyDescent="0.3">
      <c r="A5699" s="10"/>
      <c r="C5699" s="8"/>
      <c r="D5699" s="9"/>
      <c r="E5699" s="9"/>
      <c r="F5699" s="9"/>
      <c r="G5699" s="9"/>
      <c r="H5699" s="9"/>
      <c r="I5699" s="9"/>
    </row>
    <row r="5700" spans="1:9" ht="14.25" customHeight="1" x14ac:dyDescent="0.3">
      <c r="A5700" s="10"/>
      <c r="C5700" s="8"/>
      <c r="D5700" s="9"/>
      <c r="E5700" s="9"/>
      <c r="F5700" s="9"/>
      <c r="G5700" s="9"/>
      <c r="H5700" s="9"/>
      <c r="I5700" s="9"/>
    </row>
    <row r="5701" spans="1:9" ht="14.25" customHeight="1" x14ac:dyDescent="0.3">
      <c r="A5701" s="10"/>
      <c r="C5701" s="8"/>
      <c r="D5701" s="9"/>
      <c r="E5701" s="9"/>
      <c r="F5701" s="9"/>
      <c r="G5701" s="9"/>
      <c r="H5701" s="9"/>
      <c r="I5701" s="9"/>
    </row>
    <row r="5702" spans="1:9" ht="14.25" customHeight="1" x14ac:dyDescent="0.3">
      <c r="A5702" s="10"/>
      <c r="C5702" s="8"/>
      <c r="D5702" s="9"/>
      <c r="E5702" s="9"/>
      <c r="F5702" s="9"/>
      <c r="G5702" s="9"/>
      <c r="H5702" s="9"/>
      <c r="I5702" s="9"/>
    </row>
    <row r="5703" spans="1:9" ht="14.25" customHeight="1" x14ac:dyDescent="0.3">
      <c r="A5703" s="10"/>
      <c r="C5703" s="8"/>
      <c r="D5703" s="9"/>
      <c r="E5703" s="9"/>
      <c r="F5703" s="9"/>
      <c r="G5703" s="9"/>
      <c r="H5703" s="9"/>
      <c r="I5703" s="9"/>
    </row>
    <row r="5704" spans="1:9" ht="14.25" customHeight="1" x14ac:dyDescent="0.3">
      <c r="A5704" s="10"/>
      <c r="C5704" s="8"/>
      <c r="D5704" s="9"/>
      <c r="E5704" s="9"/>
      <c r="F5704" s="9"/>
      <c r="G5704" s="9"/>
      <c r="H5704" s="9"/>
      <c r="I5704" s="9"/>
    </row>
    <row r="5705" spans="1:9" ht="14.25" customHeight="1" x14ac:dyDescent="0.3">
      <c r="A5705" s="10"/>
      <c r="C5705" s="8"/>
      <c r="D5705" s="9"/>
      <c r="E5705" s="9"/>
      <c r="F5705" s="9"/>
      <c r="G5705" s="9"/>
      <c r="H5705" s="9"/>
      <c r="I5705" s="9"/>
    </row>
    <row r="5706" spans="1:9" ht="14.25" customHeight="1" x14ac:dyDescent="0.3">
      <c r="A5706" s="10"/>
      <c r="C5706" s="8"/>
      <c r="D5706" s="9"/>
      <c r="E5706" s="9"/>
      <c r="F5706" s="9"/>
      <c r="G5706" s="9"/>
      <c r="H5706" s="9"/>
      <c r="I5706" s="9"/>
    </row>
    <row r="5707" spans="1:9" ht="14.25" customHeight="1" x14ac:dyDescent="0.3">
      <c r="A5707" s="10"/>
      <c r="C5707" s="8"/>
      <c r="D5707" s="9"/>
      <c r="E5707" s="9"/>
      <c r="F5707" s="9"/>
      <c r="G5707" s="9"/>
      <c r="H5707" s="9"/>
      <c r="I5707" s="9"/>
    </row>
    <row r="5708" spans="1:9" ht="14.25" customHeight="1" x14ac:dyDescent="0.3">
      <c r="A5708" s="10"/>
      <c r="C5708" s="8"/>
      <c r="D5708" s="9"/>
      <c r="E5708" s="9"/>
      <c r="F5708" s="9"/>
      <c r="G5708" s="9"/>
      <c r="H5708" s="9"/>
      <c r="I5708" s="9"/>
    </row>
    <row r="5709" spans="1:9" ht="14.25" customHeight="1" x14ac:dyDescent="0.3">
      <c r="A5709" s="10"/>
      <c r="C5709" s="8"/>
      <c r="D5709" s="9"/>
      <c r="E5709" s="9"/>
      <c r="F5709" s="9"/>
      <c r="G5709" s="9"/>
      <c r="H5709" s="9"/>
      <c r="I5709" s="9"/>
    </row>
    <row r="5710" spans="1:9" ht="14.25" customHeight="1" x14ac:dyDescent="0.3">
      <c r="A5710" s="10"/>
      <c r="C5710" s="8"/>
      <c r="D5710" s="9"/>
      <c r="E5710" s="9"/>
      <c r="F5710" s="9"/>
      <c r="G5710" s="9"/>
      <c r="H5710" s="9"/>
      <c r="I5710" s="9"/>
    </row>
    <row r="5711" spans="1:9" ht="14.25" customHeight="1" x14ac:dyDescent="0.3">
      <c r="A5711" s="10"/>
      <c r="C5711" s="8"/>
      <c r="D5711" s="9"/>
      <c r="E5711" s="9"/>
      <c r="F5711" s="9"/>
      <c r="G5711" s="9"/>
      <c r="H5711" s="9"/>
      <c r="I5711" s="9"/>
    </row>
    <row r="5712" spans="1:9" ht="14.25" customHeight="1" x14ac:dyDescent="0.3">
      <c r="A5712" s="10"/>
      <c r="C5712" s="8"/>
      <c r="D5712" s="9"/>
      <c r="E5712" s="9"/>
      <c r="F5712" s="9"/>
      <c r="G5712" s="9"/>
      <c r="H5712" s="9"/>
      <c r="I5712" s="9"/>
    </row>
    <row r="5713" spans="1:9" ht="14.25" customHeight="1" x14ac:dyDescent="0.3">
      <c r="A5713" s="10"/>
      <c r="C5713" s="8"/>
      <c r="D5713" s="9"/>
      <c r="E5713" s="9"/>
      <c r="F5713" s="9"/>
      <c r="G5713" s="9"/>
      <c r="H5713" s="9"/>
      <c r="I5713" s="9"/>
    </row>
    <row r="5714" spans="1:9" ht="14.25" customHeight="1" x14ac:dyDescent="0.3">
      <c r="A5714" s="10"/>
      <c r="C5714" s="8"/>
      <c r="D5714" s="9"/>
      <c r="E5714" s="9"/>
      <c r="F5714" s="9"/>
      <c r="G5714" s="9"/>
      <c r="H5714" s="9"/>
      <c r="I5714" s="9"/>
    </row>
    <row r="5715" spans="1:9" ht="14.25" customHeight="1" x14ac:dyDescent="0.3">
      <c r="A5715" s="10"/>
      <c r="C5715" s="8"/>
      <c r="D5715" s="9"/>
      <c r="E5715" s="9"/>
      <c r="F5715" s="9"/>
      <c r="G5715" s="9"/>
      <c r="H5715" s="9"/>
      <c r="I5715" s="9"/>
    </row>
    <row r="5716" spans="1:9" ht="14.25" customHeight="1" x14ac:dyDescent="0.3">
      <c r="A5716" s="10"/>
      <c r="C5716" s="8"/>
      <c r="D5716" s="9"/>
      <c r="E5716" s="9"/>
      <c r="F5716" s="9"/>
      <c r="G5716" s="9"/>
      <c r="H5716" s="9"/>
      <c r="I5716" s="9"/>
    </row>
    <row r="5717" spans="1:9" ht="14.25" customHeight="1" x14ac:dyDescent="0.3">
      <c r="A5717" s="10"/>
      <c r="C5717" s="8"/>
      <c r="D5717" s="9"/>
      <c r="E5717" s="9"/>
      <c r="F5717" s="9"/>
      <c r="G5717" s="9"/>
      <c r="H5717" s="9"/>
      <c r="I5717" s="9"/>
    </row>
    <row r="5718" spans="1:9" ht="14.25" customHeight="1" x14ac:dyDescent="0.3">
      <c r="A5718" s="10"/>
      <c r="C5718" s="8"/>
      <c r="D5718" s="9"/>
      <c r="E5718" s="9"/>
      <c r="F5718" s="9"/>
      <c r="G5718" s="9"/>
      <c r="H5718" s="9"/>
      <c r="I5718" s="9"/>
    </row>
    <row r="5719" spans="1:9" ht="14.25" customHeight="1" x14ac:dyDescent="0.3">
      <c r="A5719" s="10"/>
      <c r="C5719" s="8"/>
      <c r="D5719" s="9"/>
      <c r="E5719" s="9"/>
      <c r="F5719" s="9"/>
      <c r="G5719" s="9"/>
      <c r="H5719" s="9"/>
      <c r="I5719" s="9"/>
    </row>
    <row r="5720" spans="1:9" ht="14.25" customHeight="1" x14ac:dyDescent="0.3">
      <c r="A5720" s="10"/>
      <c r="C5720" s="8"/>
      <c r="D5720" s="9"/>
      <c r="E5720" s="9"/>
      <c r="F5720" s="9"/>
      <c r="G5720" s="9"/>
      <c r="H5720" s="9"/>
      <c r="I5720" s="9"/>
    </row>
    <row r="5721" spans="1:9" ht="14.25" customHeight="1" x14ac:dyDescent="0.3">
      <c r="A5721" s="10"/>
      <c r="C5721" s="8"/>
      <c r="D5721" s="9"/>
      <c r="E5721" s="9"/>
      <c r="F5721" s="9"/>
      <c r="G5721" s="9"/>
      <c r="H5721" s="9"/>
      <c r="I5721" s="9"/>
    </row>
    <row r="5722" spans="1:9" ht="14.25" customHeight="1" x14ac:dyDescent="0.3">
      <c r="A5722" s="10"/>
      <c r="C5722" s="8"/>
      <c r="D5722" s="9"/>
      <c r="E5722" s="9"/>
      <c r="F5722" s="9"/>
      <c r="G5722" s="9"/>
      <c r="H5722" s="9"/>
      <c r="I5722" s="9"/>
    </row>
    <row r="5723" spans="1:9" ht="14.25" customHeight="1" x14ac:dyDescent="0.3">
      <c r="A5723" s="10"/>
      <c r="C5723" s="8"/>
      <c r="D5723" s="9"/>
      <c r="E5723" s="9"/>
      <c r="F5723" s="9"/>
      <c r="G5723" s="9"/>
      <c r="H5723" s="9"/>
      <c r="I5723" s="9"/>
    </row>
    <row r="5724" spans="1:9" ht="14.25" customHeight="1" x14ac:dyDescent="0.3">
      <c r="A5724" s="10"/>
      <c r="C5724" s="8"/>
      <c r="D5724" s="9"/>
      <c r="E5724" s="9"/>
      <c r="F5724" s="9"/>
      <c r="G5724" s="9"/>
      <c r="H5724" s="9"/>
      <c r="I5724" s="9"/>
    </row>
    <row r="5725" spans="1:9" ht="14.25" customHeight="1" x14ac:dyDescent="0.3">
      <c r="A5725" s="10"/>
      <c r="C5725" s="8"/>
      <c r="D5725" s="9"/>
      <c r="E5725" s="9"/>
      <c r="F5725" s="9"/>
      <c r="G5725" s="9"/>
      <c r="H5725" s="9"/>
      <c r="I5725" s="9"/>
    </row>
    <row r="5726" spans="1:9" ht="14.25" customHeight="1" x14ac:dyDescent="0.3">
      <c r="A5726" s="10"/>
      <c r="C5726" s="8"/>
      <c r="D5726" s="9"/>
      <c r="E5726" s="9"/>
      <c r="F5726" s="9"/>
      <c r="G5726" s="9"/>
      <c r="H5726" s="9"/>
      <c r="I5726" s="9"/>
    </row>
    <row r="5727" spans="1:9" ht="14.25" customHeight="1" x14ac:dyDescent="0.3">
      <c r="A5727" s="10"/>
      <c r="C5727" s="8"/>
      <c r="D5727" s="9"/>
      <c r="E5727" s="9"/>
      <c r="F5727" s="9"/>
      <c r="G5727" s="9"/>
      <c r="H5727" s="9"/>
      <c r="I5727" s="9"/>
    </row>
    <row r="5728" spans="1:9" ht="14.25" customHeight="1" x14ac:dyDescent="0.3">
      <c r="A5728" s="10"/>
      <c r="C5728" s="8"/>
      <c r="D5728" s="9"/>
      <c r="E5728" s="9"/>
      <c r="F5728" s="9"/>
      <c r="G5728" s="9"/>
      <c r="H5728" s="9"/>
      <c r="I5728" s="9"/>
    </row>
    <row r="5729" spans="1:9" ht="14.25" customHeight="1" x14ac:dyDescent="0.3">
      <c r="A5729" s="10"/>
      <c r="C5729" s="8"/>
      <c r="D5729" s="9"/>
      <c r="E5729" s="9"/>
      <c r="F5729" s="9"/>
      <c r="G5729" s="9"/>
      <c r="H5729" s="9"/>
      <c r="I5729" s="9"/>
    </row>
    <row r="5730" spans="1:9" ht="14.25" customHeight="1" x14ac:dyDescent="0.3">
      <c r="A5730" s="10"/>
      <c r="C5730" s="8"/>
      <c r="D5730" s="9"/>
      <c r="E5730" s="9"/>
      <c r="F5730" s="9"/>
      <c r="G5730" s="9"/>
      <c r="H5730" s="9"/>
      <c r="I5730" s="9"/>
    </row>
    <row r="5731" spans="1:9" ht="14.25" customHeight="1" x14ac:dyDescent="0.3">
      <c r="A5731" s="10"/>
      <c r="C5731" s="8"/>
      <c r="D5731" s="9"/>
      <c r="E5731" s="9"/>
      <c r="F5731" s="9"/>
      <c r="G5731" s="9"/>
      <c r="H5731" s="9"/>
      <c r="I5731" s="9"/>
    </row>
    <row r="5732" spans="1:9" ht="14.25" customHeight="1" x14ac:dyDescent="0.3">
      <c r="A5732" s="10"/>
      <c r="C5732" s="8"/>
      <c r="D5732" s="9"/>
      <c r="E5732" s="9"/>
      <c r="F5732" s="9"/>
      <c r="G5732" s="9"/>
      <c r="H5732" s="9"/>
      <c r="I5732" s="9"/>
    </row>
    <row r="5733" spans="1:9" ht="14.25" customHeight="1" x14ac:dyDescent="0.3">
      <c r="A5733" s="10"/>
      <c r="C5733" s="8"/>
      <c r="D5733" s="9"/>
      <c r="E5733" s="9"/>
      <c r="F5733" s="9"/>
      <c r="G5733" s="9"/>
      <c r="H5733" s="9"/>
      <c r="I5733" s="9"/>
    </row>
    <row r="5734" spans="1:9" ht="14.25" customHeight="1" x14ac:dyDescent="0.3">
      <c r="A5734" s="10"/>
      <c r="C5734" s="8"/>
      <c r="D5734" s="9"/>
      <c r="E5734" s="9"/>
      <c r="F5734" s="9"/>
      <c r="G5734" s="9"/>
      <c r="H5734" s="9"/>
      <c r="I5734" s="9"/>
    </row>
    <row r="5735" spans="1:9" ht="14.25" customHeight="1" x14ac:dyDescent="0.3">
      <c r="A5735" s="10"/>
      <c r="C5735" s="8"/>
      <c r="D5735" s="9"/>
      <c r="E5735" s="9"/>
      <c r="F5735" s="9"/>
      <c r="G5735" s="9"/>
      <c r="H5735" s="9"/>
      <c r="I5735" s="9"/>
    </row>
    <row r="5736" spans="1:9" ht="14.25" customHeight="1" x14ac:dyDescent="0.3">
      <c r="A5736" s="10"/>
      <c r="C5736" s="8"/>
      <c r="D5736" s="9"/>
      <c r="E5736" s="9"/>
      <c r="F5736" s="9"/>
      <c r="G5736" s="9"/>
      <c r="H5736" s="9"/>
      <c r="I5736" s="9"/>
    </row>
    <row r="5737" spans="1:9" ht="14.25" customHeight="1" x14ac:dyDescent="0.3">
      <c r="A5737" s="10"/>
      <c r="C5737" s="8"/>
      <c r="D5737" s="9"/>
      <c r="E5737" s="9"/>
      <c r="F5737" s="9"/>
      <c r="G5737" s="9"/>
      <c r="H5737" s="9"/>
      <c r="I5737" s="9"/>
    </row>
    <row r="5738" spans="1:9" ht="14.25" customHeight="1" x14ac:dyDescent="0.3">
      <c r="A5738" s="10"/>
      <c r="C5738" s="8"/>
      <c r="D5738" s="9"/>
      <c r="E5738" s="9"/>
      <c r="F5738" s="9"/>
      <c r="G5738" s="9"/>
      <c r="H5738" s="9"/>
      <c r="I5738" s="9"/>
    </row>
    <row r="5739" spans="1:9" ht="14.25" customHeight="1" x14ac:dyDescent="0.3">
      <c r="A5739" s="10"/>
      <c r="C5739" s="8"/>
      <c r="D5739" s="9"/>
      <c r="E5739" s="9"/>
      <c r="F5739" s="9"/>
      <c r="G5739" s="9"/>
      <c r="H5739" s="9"/>
      <c r="I5739" s="9"/>
    </row>
    <row r="5740" spans="1:9" ht="14.25" customHeight="1" x14ac:dyDescent="0.3">
      <c r="A5740" s="10"/>
      <c r="C5740" s="8"/>
      <c r="D5740" s="9"/>
      <c r="E5740" s="9"/>
      <c r="F5740" s="9"/>
      <c r="G5740" s="9"/>
      <c r="H5740" s="9"/>
      <c r="I5740" s="9"/>
    </row>
    <row r="5741" spans="1:9" ht="14.25" customHeight="1" x14ac:dyDescent="0.3">
      <c r="A5741" s="10"/>
      <c r="C5741" s="8"/>
      <c r="D5741" s="9"/>
      <c r="E5741" s="9"/>
      <c r="F5741" s="9"/>
      <c r="G5741" s="9"/>
      <c r="H5741" s="9"/>
      <c r="I5741" s="9"/>
    </row>
    <row r="5742" spans="1:9" ht="14.25" customHeight="1" x14ac:dyDescent="0.3">
      <c r="A5742" s="10"/>
      <c r="C5742" s="8"/>
      <c r="D5742" s="9"/>
      <c r="E5742" s="9"/>
      <c r="F5742" s="9"/>
      <c r="G5742" s="9"/>
      <c r="H5742" s="9"/>
      <c r="I5742" s="9"/>
    </row>
    <row r="5743" spans="1:9" ht="14.25" customHeight="1" x14ac:dyDescent="0.3">
      <c r="A5743" s="10"/>
      <c r="C5743" s="8"/>
      <c r="D5743" s="9"/>
      <c r="E5743" s="9"/>
      <c r="F5743" s="9"/>
      <c r="G5743" s="9"/>
      <c r="H5743" s="9"/>
      <c r="I5743" s="9"/>
    </row>
    <row r="5744" spans="1:9" ht="14.25" customHeight="1" x14ac:dyDescent="0.3">
      <c r="A5744" s="10"/>
      <c r="C5744" s="8"/>
      <c r="D5744" s="9"/>
      <c r="E5744" s="9"/>
      <c r="F5744" s="9"/>
      <c r="G5744" s="9"/>
      <c r="H5744" s="9"/>
      <c r="I5744" s="9"/>
    </row>
    <row r="5745" spans="1:9" ht="14.25" customHeight="1" x14ac:dyDescent="0.3">
      <c r="A5745" s="10"/>
      <c r="C5745" s="8"/>
      <c r="D5745" s="9"/>
      <c r="E5745" s="9"/>
      <c r="F5745" s="9"/>
      <c r="G5745" s="9"/>
      <c r="H5745" s="9"/>
      <c r="I5745" s="9"/>
    </row>
    <row r="5746" spans="1:9" ht="14.25" customHeight="1" x14ac:dyDescent="0.3">
      <c r="A5746" s="10"/>
      <c r="C5746" s="8"/>
      <c r="D5746" s="9"/>
      <c r="E5746" s="9"/>
      <c r="F5746" s="9"/>
      <c r="G5746" s="9"/>
      <c r="H5746" s="9"/>
      <c r="I5746" s="9"/>
    </row>
    <row r="5747" spans="1:9" ht="14.25" customHeight="1" x14ac:dyDescent="0.3">
      <c r="A5747" s="10"/>
      <c r="C5747" s="8"/>
      <c r="D5747" s="9"/>
      <c r="E5747" s="9"/>
      <c r="F5747" s="9"/>
      <c r="G5747" s="9"/>
      <c r="H5747" s="9"/>
      <c r="I5747" s="9"/>
    </row>
    <row r="5748" spans="1:9" ht="14.25" customHeight="1" x14ac:dyDescent="0.3">
      <c r="A5748" s="10"/>
      <c r="C5748" s="8"/>
      <c r="D5748" s="9"/>
      <c r="E5748" s="9"/>
      <c r="F5748" s="9"/>
      <c r="G5748" s="9"/>
      <c r="H5748" s="9"/>
      <c r="I5748" s="9"/>
    </row>
    <row r="5749" spans="1:9" ht="14.25" customHeight="1" x14ac:dyDescent="0.3">
      <c r="A5749" s="10"/>
      <c r="C5749" s="8"/>
      <c r="D5749" s="9"/>
      <c r="E5749" s="9"/>
      <c r="F5749" s="9"/>
      <c r="G5749" s="9"/>
      <c r="H5749" s="9"/>
      <c r="I5749" s="9"/>
    </row>
    <row r="5750" spans="1:9" ht="14.25" customHeight="1" x14ac:dyDescent="0.3">
      <c r="A5750" s="10"/>
      <c r="C5750" s="8"/>
      <c r="D5750" s="9"/>
      <c r="E5750" s="9"/>
      <c r="F5750" s="9"/>
      <c r="G5750" s="9"/>
      <c r="H5750" s="9"/>
      <c r="I5750" s="9"/>
    </row>
    <row r="5751" spans="1:9" ht="14.25" customHeight="1" x14ac:dyDescent="0.3">
      <c r="A5751" s="10"/>
      <c r="C5751" s="8"/>
      <c r="D5751" s="9"/>
      <c r="E5751" s="9"/>
      <c r="F5751" s="9"/>
      <c r="G5751" s="9"/>
      <c r="H5751" s="9"/>
      <c r="I5751" s="9"/>
    </row>
    <row r="5752" spans="1:9" ht="14.25" customHeight="1" x14ac:dyDescent="0.3">
      <c r="A5752" s="10"/>
      <c r="C5752" s="8"/>
      <c r="D5752" s="9"/>
      <c r="E5752" s="9"/>
      <c r="F5752" s="9"/>
      <c r="G5752" s="9"/>
      <c r="H5752" s="9"/>
      <c r="I5752" s="9"/>
    </row>
    <row r="5753" spans="1:9" ht="14.25" customHeight="1" x14ac:dyDescent="0.3">
      <c r="A5753" s="10"/>
      <c r="C5753" s="8"/>
      <c r="D5753" s="9"/>
      <c r="E5753" s="9"/>
      <c r="F5753" s="9"/>
      <c r="G5753" s="9"/>
      <c r="H5753" s="9"/>
      <c r="I5753" s="9"/>
    </row>
    <row r="5754" spans="1:9" ht="14.25" customHeight="1" x14ac:dyDescent="0.3">
      <c r="A5754" s="10"/>
      <c r="C5754" s="8"/>
      <c r="D5754" s="9"/>
      <c r="E5754" s="9"/>
      <c r="F5754" s="9"/>
      <c r="G5754" s="9"/>
      <c r="H5754" s="9"/>
      <c r="I5754" s="9"/>
    </row>
    <row r="5755" spans="1:9" ht="14.25" customHeight="1" x14ac:dyDescent="0.3">
      <c r="A5755" s="10"/>
      <c r="C5755" s="8"/>
      <c r="D5755" s="9"/>
      <c r="E5755" s="9"/>
      <c r="F5755" s="9"/>
      <c r="G5755" s="9"/>
      <c r="H5755" s="9"/>
      <c r="I5755" s="9"/>
    </row>
    <row r="5756" spans="1:9" ht="14.25" customHeight="1" x14ac:dyDescent="0.3">
      <c r="A5756" s="10"/>
      <c r="C5756" s="8"/>
      <c r="D5756" s="9"/>
      <c r="E5756" s="9"/>
      <c r="F5756" s="9"/>
      <c r="G5756" s="9"/>
      <c r="H5756" s="9"/>
      <c r="I5756" s="9"/>
    </row>
    <row r="5757" spans="1:9" ht="14.25" customHeight="1" x14ac:dyDescent="0.3">
      <c r="A5757" s="10"/>
      <c r="C5757" s="8"/>
      <c r="D5757" s="9"/>
      <c r="E5757" s="9"/>
      <c r="F5757" s="9"/>
      <c r="G5757" s="9"/>
      <c r="H5757" s="9"/>
      <c r="I5757" s="9"/>
    </row>
    <row r="5758" spans="1:9" ht="14.25" customHeight="1" x14ac:dyDescent="0.3">
      <c r="A5758" s="10"/>
      <c r="C5758" s="8"/>
      <c r="D5758" s="9"/>
      <c r="E5758" s="9"/>
      <c r="F5758" s="9"/>
      <c r="G5758" s="9"/>
      <c r="H5758" s="9"/>
      <c r="I5758" s="9"/>
    </row>
    <row r="5759" spans="1:9" ht="14.25" customHeight="1" x14ac:dyDescent="0.3">
      <c r="A5759" s="10"/>
      <c r="C5759" s="8"/>
      <c r="D5759" s="9"/>
      <c r="E5759" s="9"/>
      <c r="F5759" s="9"/>
      <c r="G5759" s="9"/>
      <c r="H5759" s="9"/>
      <c r="I5759" s="9"/>
    </row>
    <row r="5760" spans="1:9" ht="14.25" customHeight="1" x14ac:dyDescent="0.3">
      <c r="A5760" s="10"/>
      <c r="C5760" s="8"/>
      <c r="D5760" s="9"/>
      <c r="E5760" s="9"/>
      <c r="F5760" s="9"/>
      <c r="G5760" s="9"/>
      <c r="H5760" s="9"/>
      <c r="I5760" s="9"/>
    </row>
    <row r="5761" spans="1:9" ht="14.25" customHeight="1" x14ac:dyDescent="0.3">
      <c r="A5761" s="10"/>
      <c r="C5761" s="8"/>
      <c r="D5761" s="9"/>
      <c r="E5761" s="9"/>
      <c r="F5761" s="9"/>
      <c r="G5761" s="9"/>
      <c r="H5761" s="9"/>
      <c r="I5761" s="9"/>
    </row>
    <row r="5762" spans="1:9" ht="14.25" customHeight="1" x14ac:dyDescent="0.3">
      <c r="A5762" s="10"/>
      <c r="C5762" s="8"/>
      <c r="D5762" s="9"/>
      <c r="E5762" s="9"/>
      <c r="F5762" s="9"/>
      <c r="G5762" s="9"/>
      <c r="H5762" s="9"/>
      <c r="I5762" s="9"/>
    </row>
    <row r="5763" spans="1:9" ht="14.25" customHeight="1" x14ac:dyDescent="0.3">
      <c r="A5763" s="10"/>
      <c r="C5763" s="8"/>
      <c r="D5763" s="9"/>
      <c r="E5763" s="9"/>
      <c r="F5763" s="9"/>
      <c r="G5763" s="9"/>
      <c r="H5763" s="9"/>
      <c r="I5763" s="9"/>
    </row>
    <row r="5764" spans="1:9" ht="14.25" customHeight="1" x14ac:dyDescent="0.3">
      <c r="A5764" s="10"/>
      <c r="C5764" s="8"/>
      <c r="D5764" s="9"/>
      <c r="E5764" s="9"/>
      <c r="F5764" s="9"/>
      <c r="G5764" s="9"/>
      <c r="H5764" s="9"/>
      <c r="I5764" s="9"/>
    </row>
    <row r="5765" spans="1:9" ht="14.25" customHeight="1" x14ac:dyDescent="0.3">
      <c r="A5765" s="10"/>
      <c r="C5765" s="8"/>
      <c r="D5765" s="9"/>
      <c r="E5765" s="9"/>
      <c r="F5765" s="9"/>
      <c r="G5765" s="9"/>
      <c r="H5765" s="9"/>
      <c r="I5765" s="9"/>
    </row>
    <row r="5766" spans="1:9" ht="14.25" customHeight="1" x14ac:dyDescent="0.3">
      <c r="A5766" s="10"/>
      <c r="C5766" s="8"/>
      <c r="D5766" s="9"/>
      <c r="E5766" s="9"/>
      <c r="F5766" s="9"/>
      <c r="G5766" s="9"/>
      <c r="H5766" s="9"/>
      <c r="I5766" s="9"/>
    </row>
    <row r="5767" spans="1:9" ht="14.25" customHeight="1" x14ac:dyDescent="0.3">
      <c r="A5767" s="10"/>
      <c r="C5767" s="8"/>
      <c r="D5767" s="9"/>
      <c r="E5767" s="9"/>
      <c r="F5767" s="9"/>
      <c r="G5767" s="9"/>
      <c r="H5767" s="9"/>
      <c r="I5767" s="9"/>
    </row>
    <row r="5768" spans="1:9" ht="14.25" customHeight="1" x14ac:dyDescent="0.3">
      <c r="A5768" s="10"/>
      <c r="C5768" s="8"/>
      <c r="D5768" s="9"/>
      <c r="E5768" s="9"/>
      <c r="F5768" s="9"/>
      <c r="G5768" s="9"/>
      <c r="H5768" s="9"/>
      <c r="I5768" s="9"/>
    </row>
    <row r="5769" spans="1:9" ht="14.25" customHeight="1" x14ac:dyDescent="0.3">
      <c r="A5769" s="10"/>
      <c r="C5769" s="8"/>
      <c r="D5769" s="9"/>
      <c r="E5769" s="9"/>
      <c r="F5769" s="9"/>
      <c r="G5769" s="9"/>
      <c r="H5769" s="9"/>
      <c r="I5769" s="9"/>
    </row>
    <row r="5770" spans="1:9" ht="14.25" customHeight="1" x14ac:dyDescent="0.3">
      <c r="A5770" s="10"/>
      <c r="C5770" s="8"/>
      <c r="D5770" s="9"/>
      <c r="E5770" s="9"/>
      <c r="F5770" s="9"/>
      <c r="G5770" s="9"/>
      <c r="H5770" s="9"/>
      <c r="I5770" s="9"/>
    </row>
    <row r="5771" spans="1:9" ht="14.25" customHeight="1" x14ac:dyDescent="0.3">
      <c r="A5771" s="10"/>
      <c r="C5771" s="8"/>
      <c r="D5771" s="9"/>
      <c r="E5771" s="9"/>
      <c r="F5771" s="9"/>
      <c r="G5771" s="9"/>
      <c r="H5771" s="9"/>
      <c r="I5771" s="9"/>
    </row>
    <row r="5772" spans="1:9" ht="14.25" customHeight="1" x14ac:dyDescent="0.3">
      <c r="A5772" s="10"/>
      <c r="C5772" s="8"/>
      <c r="D5772" s="9"/>
      <c r="E5772" s="9"/>
      <c r="F5772" s="9"/>
      <c r="G5772" s="9"/>
      <c r="H5772" s="9"/>
      <c r="I5772" s="9"/>
    </row>
    <row r="5773" spans="1:9" ht="14.25" customHeight="1" x14ac:dyDescent="0.3">
      <c r="A5773" s="10"/>
      <c r="C5773" s="8"/>
      <c r="D5773" s="9"/>
      <c r="E5773" s="9"/>
      <c r="F5773" s="9"/>
      <c r="G5773" s="9"/>
      <c r="H5773" s="9"/>
      <c r="I5773" s="9"/>
    </row>
    <row r="5774" spans="1:9" ht="14.25" customHeight="1" x14ac:dyDescent="0.3">
      <c r="A5774" s="10"/>
      <c r="C5774" s="8"/>
      <c r="D5774" s="9"/>
      <c r="E5774" s="9"/>
      <c r="F5774" s="9"/>
      <c r="G5774" s="9"/>
      <c r="H5774" s="9"/>
      <c r="I5774" s="9"/>
    </row>
    <row r="5775" spans="1:9" ht="14.25" customHeight="1" x14ac:dyDescent="0.3">
      <c r="A5775" s="10"/>
      <c r="C5775" s="8"/>
      <c r="D5775" s="9"/>
      <c r="E5775" s="9"/>
      <c r="F5775" s="9"/>
      <c r="G5775" s="9"/>
      <c r="H5775" s="9"/>
      <c r="I5775" s="9"/>
    </row>
    <row r="5776" spans="1:9" ht="14.25" customHeight="1" x14ac:dyDescent="0.3">
      <c r="A5776" s="10"/>
      <c r="C5776" s="8"/>
      <c r="D5776" s="9"/>
      <c r="E5776" s="9"/>
      <c r="F5776" s="9"/>
      <c r="G5776" s="9"/>
      <c r="H5776" s="9"/>
      <c r="I5776" s="9"/>
    </row>
    <row r="5777" spans="1:9" ht="14.25" customHeight="1" x14ac:dyDescent="0.3">
      <c r="A5777" s="10"/>
      <c r="C5777" s="8"/>
      <c r="D5777" s="9"/>
      <c r="E5777" s="9"/>
      <c r="F5777" s="9"/>
      <c r="G5777" s="9"/>
      <c r="H5777" s="9"/>
      <c r="I5777" s="9"/>
    </row>
    <row r="5778" spans="1:9" ht="14.25" customHeight="1" x14ac:dyDescent="0.3">
      <c r="A5778" s="10"/>
      <c r="C5778" s="8"/>
      <c r="D5778" s="9"/>
      <c r="E5778" s="9"/>
      <c r="F5778" s="9"/>
      <c r="G5778" s="9"/>
      <c r="H5778" s="9"/>
      <c r="I5778" s="9"/>
    </row>
    <row r="5779" spans="1:9" ht="14.25" customHeight="1" x14ac:dyDescent="0.3">
      <c r="A5779" s="10"/>
      <c r="C5779" s="8"/>
      <c r="D5779" s="9"/>
      <c r="E5779" s="9"/>
      <c r="F5779" s="9"/>
      <c r="G5779" s="9"/>
      <c r="H5779" s="9"/>
      <c r="I5779" s="9"/>
    </row>
    <row r="5780" spans="1:9" ht="14.25" customHeight="1" x14ac:dyDescent="0.3">
      <c r="A5780" s="10"/>
      <c r="C5780" s="8"/>
      <c r="D5780" s="9"/>
      <c r="E5780" s="9"/>
      <c r="F5780" s="9"/>
      <c r="G5780" s="9"/>
      <c r="H5780" s="9"/>
      <c r="I5780" s="9"/>
    </row>
    <row r="5781" spans="1:9" ht="14.25" customHeight="1" x14ac:dyDescent="0.3">
      <c r="A5781" s="10"/>
      <c r="C5781" s="8"/>
      <c r="D5781" s="9"/>
      <c r="E5781" s="9"/>
      <c r="F5781" s="9"/>
      <c r="G5781" s="9"/>
      <c r="H5781" s="9"/>
      <c r="I5781" s="9"/>
    </row>
    <row r="5782" spans="1:9" ht="14.25" customHeight="1" x14ac:dyDescent="0.3">
      <c r="A5782" s="10"/>
      <c r="C5782" s="8"/>
      <c r="D5782" s="9"/>
      <c r="E5782" s="9"/>
      <c r="F5782" s="9"/>
      <c r="G5782" s="9"/>
      <c r="H5782" s="9"/>
      <c r="I5782" s="9"/>
    </row>
    <row r="5783" spans="1:9" ht="14.25" customHeight="1" x14ac:dyDescent="0.3">
      <c r="A5783" s="10"/>
      <c r="C5783" s="8"/>
      <c r="D5783" s="9"/>
      <c r="E5783" s="9"/>
      <c r="F5783" s="9"/>
      <c r="G5783" s="9"/>
      <c r="H5783" s="9"/>
      <c r="I5783" s="9"/>
    </row>
    <row r="5784" spans="1:9" ht="14.25" customHeight="1" x14ac:dyDescent="0.3">
      <c r="A5784" s="10"/>
      <c r="C5784" s="8"/>
      <c r="D5784" s="9"/>
      <c r="E5784" s="9"/>
      <c r="F5784" s="9"/>
      <c r="G5784" s="9"/>
      <c r="H5784" s="9"/>
      <c r="I5784" s="9"/>
    </row>
    <row r="5785" spans="1:9" ht="14.25" customHeight="1" x14ac:dyDescent="0.3">
      <c r="A5785" s="10"/>
      <c r="C5785" s="8"/>
      <c r="D5785" s="9"/>
      <c r="E5785" s="9"/>
      <c r="F5785" s="9"/>
      <c r="G5785" s="9"/>
      <c r="H5785" s="9"/>
      <c r="I5785" s="9"/>
    </row>
    <row r="5786" spans="1:9" ht="14.25" customHeight="1" x14ac:dyDescent="0.3">
      <c r="A5786" s="10"/>
      <c r="C5786" s="8"/>
      <c r="D5786" s="9"/>
      <c r="E5786" s="9"/>
      <c r="F5786" s="9"/>
      <c r="G5786" s="9"/>
      <c r="H5786" s="9"/>
      <c r="I5786" s="9"/>
    </row>
    <row r="5787" spans="1:9" ht="14.25" customHeight="1" x14ac:dyDescent="0.3">
      <c r="A5787" s="10"/>
      <c r="C5787" s="8"/>
      <c r="D5787" s="9"/>
      <c r="E5787" s="9"/>
      <c r="F5787" s="9"/>
      <c r="G5787" s="9"/>
      <c r="H5787" s="9"/>
      <c r="I5787" s="9"/>
    </row>
    <row r="5788" spans="1:9" ht="14.25" customHeight="1" x14ac:dyDescent="0.3">
      <c r="A5788" s="10"/>
      <c r="C5788" s="8"/>
      <c r="D5788" s="9"/>
      <c r="E5788" s="9"/>
      <c r="F5788" s="9"/>
      <c r="G5788" s="9"/>
      <c r="H5788" s="9"/>
      <c r="I5788" s="9"/>
    </row>
    <row r="5789" spans="1:9" ht="14.25" customHeight="1" x14ac:dyDescent="0.3">
      <c r="A5789" s="10"/>
      <c r="C5789" s="8"/>
      <c r="D5789" s="9"/>
      <c r="E5789" s="9"/>
      <c r="F5789" s="9"/>
      <c r="G5789" s="9"/>
      <c r="H5789" s="9"/>
      <c r="I5789" s="9"/>
    </row>
    <row r="5790" spans="1:9" ht="14.25" customHeight="1" x14ac:dyDescent="0.3">
      <c r="A5790" s="10"/>
      <c r="C5790" s="8"/>
      <c r="D5790" s="9"/>
      <c r="E5790" s="9"/>
      <c r="F5790" s="9"/>
      <c r="G5790" s="9"/>
      <c r="H5790" s="9"/>
      <c r="I5790" s="9"/>
    </row>
    <row r="5791" spans="1:9" ht="14.25" customHeight="1" x14ac:dyDescent="0.3">
      <c r="A5791" s="10"/>
      <c r="C5791" s="8"/>
      <c r="D5791" s="9"/>
      <c r="E5791" s="9"/>
      <c r="F5791" s="9"/>
      <c r="G5791" s="9"/>
      <c r="H5791" s="9"/>
      <c r="I5791" s="9"/>
    </row>
    <row r="5792" spans="1:9" ht="14.25" customHeight="1" x14ac:dyDescent="0.3">
      <c r="A5792" s="10"/>
      <c r="C5792" s="8"/>
      <c r="D5792" s="9"/>
      <c r="E5792" s="9"/>
      <c r="F5792" s="9"/>
      <c r="G5792" s="9"/>
      <c r="H5792" s="9"/>
      <c r="I5792" s="9"/>
    </row>
    <row r="5793" spans="1:9" ht="14.25" customHeight="1" x14ac:dyDescent="0.3">
      <c r="A5793" s="10"/>
      <c r="C5793" s="8"/>
      <c r="D5793" s="9"/>
      <c r="E5793" s="9"/>
      <c r="F5793" s="9"/>
      <c r="G5793" s="9"/>
      <c r="H5793" s="9"/>
      <c r="I5793" s="9"/>
    </row>
    <row r="5794" spans="1:9" ht="14.25" customHeight="1" x14ac:dyDescent="0.3">
      <c r="A5794" s="10"/>
      <c r="C5794" s="8"/>
      <c r="D5794" s="9"/>
      <c r="E5794" s="9"/>
      <c r="F5794" s="9"/>
      <c r="G5794" s="9"/>
      <c r="H5794" s="9"/>
      <c r="I5794" s="9"/>
    </row>
    <row r="5795" spans="1:9" ht="14.25" customHeight="1" x14ac:dyDescent="0.3">
      <c r="A5795" s="10"/>
      <c r="C5795" s="8"/>
      <c r="D5795" s="9"/>
      <c r="E5795" s="9"/>
      <c r="F5795" s="9"/>
      <c r="G5795" s="9"/>
      <c r="H5795" s="9"/>
      <c r="I5795" s="9"/>
    </row>
    <row r="5796" spans="1:9" ht="14.25" customHeight="1" x14ac:dyDescent="0.3">
      <c r="A5796" s="10"/>
      <c r="C5796" s="8"/>
      <c r="D5796" s="9"/>
      <c r="E5796" s="9"/>
      <c r="F5796" s="9"/>
      <c r="G5796" s="9"/>
      <c r="H5796" s="9"/>
      <c r="I5796" s="9"/>
    </row>
    <row r="5797" spans="1:9" ht="14.25" customHeight="1" x14ac:dyDescent="0.3">
      <c r="A5797" s="10"/>
      <c r="C5797" s="8"/>
      <c r="D5797" s="9"/>
      <c r="E5797" s="9"/>
      <c r="F5797" s="9"/>
      <c r="G5797" s="9"/>
      <c r="H5797" s="9"/>
      <c r="I5797" s="9"/>
    </row>
    <row r="5798" spans="1:9" ht="14.25" customHeight="1" x14ac:dyDescent="0.3">
      <c r="A5798" s="10"/>
      <c r="C5798" s="8"/>
      <c r="D5798" s="9"/>
      <c r="E5798" s="9"/>
      <c r="F5798" s="9"/>
      <c r="G5798" s="9"/>
      <c r="H5798" s="9"/>
      <c r="I5798" s="9"/>
    </row>
    <row r="5799" spans="1:9" ht="14.25" customHeight="1" x14ac:dyDescent="0.3">
      <c r="A5799" s="10"/>
      <c r="C5799" s="8"/>
      <c r="D5799" s="9"/>
      <c r="E5799" s="9"/>
      <c r="F5799" s="9"/>
      <c r="G5799" s="9"/>
      <c r="H5799" s="9"/>
      <c r="I5799" s="9"/>
    </row>
    <row r="5800" spans="1:9" ht="14.25" customHeight="1" x14ac:dyDescent="0.3">
      <c r="A5800" s="10"/>
      <c r="C5800" s="8"/>
      <c r="D5800" s="9"/>
      <c r="E5800" s="9"/>
      <c r="F5800" s="9"/>
      <c r="G5800" s="9"/>
      <c r="H5800" s="9"/>
      <c r="I5800" s="9"/>
    </row>
    <row r="5801" spans="1:9" ht="14.25" customHeight="1" x14ac:dyDescent="0.3">
      <c r="A5801" s="10"/>
      <c r="C5801" s="8"/>
      <c r="D5801" s="9"/>
      <c r="E5801" s="9"/>
      <c r="F5801" s="9"/>
      <c r="G5801" s="9"/>
      <c r="H5801" s="9"/>
      <c r="I5801" s="9"/>
    </row>
    <row r="5802" spans="1:9" ht="14.25" customHeight="1" x14ac:dyDescent="0.3">
      <c r="A5802" s="10"/>
      <c r="C5802" s="8"/>
      <c r="D5802" s="9"/>
      <c r="E5802" s="9"/>
      <c r="F5802" s="9"/>
      <c r="G5802" s="9"/>
      <c r="H5802" s="9"/>
      <c r="I5802" s="9"/>
    </row>
    <row r="5803" spans="1:9" ht="14.25" customHeight="1" x14ac:dyDescent="0.3">
      <c r="A5803" s="10"/>
      <c r="C5803" s="8"/>
      <c r="D5803" s="9"/>
      <c r="E5803" s="9"/>
      <c r="F5803" s="9"/>
      <c r="G5803" s="9"/>
      <c r="H5803" s="9"/>
      <c r="I5803" s="9"/>
    </row>
    <row r="5804" spans="1:9" ht="14.25" customHeight="1" x14ac:dyDescent="0.3">
      <c r="A5804" s="10"/>
      <c r="C5804" s="8"/>
      <c r="D5804" s="9"/>
      <c r="E5804" s="9"/>
      <c r="F5804" s="9"/>
      <c r="G5804" s="9"/>
      <c r="H5804" s="9"/>
      <c r="I5804" s="9"/>
    </row>
    <row r="5805" spans="1:9" ht="14.25" customHeight="1" x14ac:dyDescent="0.3">
      <c r="A5805" s="10"/>
      <c r="C5805" s="8"/>
      <c r="D5805" s="9"/>
      <c r="E5805" s="9"/>
      <c r="F5805" s="9"/>
      <c r="G5805" s="9"/>
      <c r="H5805" s="9"/>
      <c r="I5805" s="9"/>
    </row>
    <row r="5806" spans="1:9" ht="14.25" customHeight="1" x14ac:dyDescent="0.3">
      <c r="A5806" s="10"/>
      <c r="C5806" s="8"/>
      <c r="D5806" s="9"/>
      <c r="E5806" s="9"/>
      <c r="F5806" s="9"/>
      <c r="G5806" s="9"/>
      <c r="H5806" s="9"/>
      <c r="I5806" s="9"/>
    </row>
    <row r="5807" spans="1:9" ht="14.25" customHeight="1" x14ac:dyDescent="0.3">
      <c r="A5807" s="10"/>
      <c r="C5807" s="8"/>
      <c r="D5807" s="9"/>
      <c r="E5807" s="9"/>
      <c r="F5807" s="9"/>
      <c r="G5807" s="9"/>
      <c r="H5807" s="9"/>
      <c r="I5807" s="9"/>
    </row>
    <row r="5808" spans="1:9" ht="14.25" customHeight="1" x14ac:dyDescent="0.3">
      <c r="A5808" s="10"/>
      <c r="C5808" s="8"/>
      <c r="D5808" s="9"/>
      <c r="E5808" s="9"/>
      <c r="F5808" s="9"/>
      <c r="G5808" s="9"/>
      <c r="H5808" s="9"/>
      <c r="I5808" s="9"/>
    </row>
    <row r="5809" spans="1:9" ht="14.25" customHeight="1" x14ac:dyDescent="0.3">
      <c r="A5809" s="10"/>
      <c r="C5809" s="8"/>
      <c r="D5809" s="9"/>
      <c r="E5809" s="9"/>
      <c r="F5809" s="9"/>
      <c r="G5809" s="9"/>
      <c r="H5809" s="9"/>
      <c r="I5809" s="9"/>
    </row>
    <row r="5810" spans="1:9" ht="14.25" customHeight="1" x14ac:dyDescent="0.3">
      <c r="A5810" s="10"/>
      <c r="C5810" s="8"/>
      <c r="D5810" s="9"/>
      <c r="E5810" s="9"/>
      <c r="F5810" s="9"/>
      <c r="G5810" s="9"/>
      <c r="H5810" s="9"/>
      <c r="I5810" s="9"/>
    </row>
    <row r="5811" spans="1:9" ht="14.25" customHeight="1" x14ac:dyDescent="0.3">
      <c r="A5811" s="10"/>
      <c r="C5811" s="8"/>
      <c r="D5811" s="9"/>
      <c r="E5811" s="9"/>
      <c r="F5811" s="9"/>
      <c r="G5811" s="9"/>
      <c r="H5811" s="9"/>
      <c r="I5811" s="9"/>
    </row>
    <row r="5812" spans="1:9" ht="14.25" customHeight="1" x14ac:dyDescent="0.3">
      <c r="A5812" s="10"/>
      <c r="C5812" s="8"/>
      <c r="D5812" s="9"/>
      <c r="E5812" s="9"/>
      <c r="F5812" s="9"/>
      <c r="G5812" s="9"/>
      <c r="H5812" s="9"/>
      <c r="I5812" s="9"/>
    </row>
    <row r="5813" spans="1:9" ht="14.25" customHeight="1" x14ac:dyDescent="0.3">
      <c r="A5813" s="10"/>
      <c r="C5813" s="8"/>
      <c r="D5813" s="9"/>
      <c r="E5813" s="9"/>
      <c r="F5813" s="9"/>
      <c r="G5813" s="9"/>
      <c r="H5813" s="9"/>
      <c r="I5813" s="9"/>
    </row>
    <row r="5814" spans="1:9" ht="14.25" customHeight="1" x14ac:dyDescent="0.3">
      <c r="A5814" s="10"/>
      <c r="C5814" s="8"/>
      <c r="D5814" s="9"/>
      <c r="E5814" s="9"/>
      <c r="F5814" s="9"/>
      <c r="G5814" s="9"/>
      <c r="H5814" s="9"/>
      <c r="I5814" s="9"/>
    </row>
    <row r="5815" spans="1:9" ht="14.25" customHeight="1" x14ac:dyDescent="0.3">
      <c r="A5815" s="10"/>
      <c r="C5815" s="8"/>
      <c r="D5815" s="9"/>
      <c r="E5815" s="9"/>
      <c r="F5815" s="9"/>
      <c r="G5815" s="9"/>
      <c r="H5815" s="9"/>
      <c r="I5815" s="9"/>
    </row>
    <row r="5816" spans="1:9" ht="14.25" customHeight="1" x14ac:dyDescent="0.3">
      <c r="A5816" s="10"/>
      <c r="C5816" s="8"/>
      <c r="D5816" s="9"/>
      <c r="E5816" s="9"/>
      <c r="F5816" s="9"/>
      <c r="G5816" s="9"/>
      <c r="H5816" s="9"/>
      <c r="I5816" s="9"/>
    </row>
    <row r="5817" spans="1:9" ht="14.25" customHeight="1" x14ac:dyDescent="0.3">
      <c r="A5817" s="10"/>
      <c r="C5817" s="8"/>
      <c r="D5817" s="9"/>
      <c r="E5817" s="9"/>
      <c r="F5817" s="9"/>
      <c r="G5817" s="9"/>
      <c r="H5817" s="9"/>
      <c r="I5817" s="9"/>
    </row>
    <row r="5818" spans="1:9" ht="14.25" customHeight="1" x14ac:dyDescent="0.3">
      <c r="A5818" s="10"/>
      <c r="C5818" s="8"/>
      <c r="D5818" s="9"/>
      <c r="E5818" s="9"/>
      <c r="F5818" s="9"/>
      <c r="G5818" s="9"/>
      <c r="H5818" s="9"/>
      <c r="I5818" s="9"/>
    </row>
    <row r="5819" spans="1:9" ht="14.25" customHeight="1" x14ac:dyDescent="0.3">
      <c r="A5819" s="10"/>
      <c r="C5819" s="8"/>
      <c r="D5819" s="9"/>
      <c r="E5819" s="9"/>
      <c r="F5819" s="9"/>
      <c r="G5819" s="9"/>
      <c r="H5819" s="9"/>
      <c r="I5819" s="9"/>
    </row>
    <row r="5820" spans="1:9" ht="14.25" customHeight="1" x14ac:dyDescent="0.3">
      <c r="A5820" s="10"/>
      <c r="C5820" s="8"/>
      <c r="D5820" s="9"/>
      <c r="E5820" s="9"/>
      <c r="F5820" s="9"/>
      <c r="G5820" s="9"/>
      <c r="H5820" s="9"/>
      <c r="I5820" s="9"/>
    </row>
    <row r="5821" spans="1:9" ht="14.25" customHeight="1" x14ac:dyDescent="0.3">
      <c r="A5821" s="10"/>
      <c r="C5821" s="8"/>
      <c r="D5821" s="9"/>
      <c r="E5821" s="9"/>
      <c r="F5821" s="9"/>
      <c r="G5821" s="9"/>
      <c r="H5821" s="9"/>
      <c r="I5821" s="9"/>
    </row>
    <row r="5822" spans="1:9" ht="14.25" customHeight="1" x14ac:dyDescent="0.3">
      <c r="A5822" s="10"/>
      <c r="C5822" s="8"/>
      <c r="D5822" s="9"/>
      <c r="E5822" s="9"/>
      <c r="F5822" s="9"/>
      <c r="G5822" s="9"/>
      <c r="H5822" s="9"/>
      <c r="I5822" s="9"/>
    </row>
    <row r="5823" spans="1:9" ht="14.25" customHeight="1" x14ac:dyDescent="0.3">
      <c r="A5823" s="10"/>
      <c r="C5823" s="8"/>
      <c r="D5823" s="9"/>
      <c r="E5823" s="9"/>
      <c r="F5823" s="9"/>
      <c r="G5823" s="9"/>
      <c r="H5823" s="9"/>
      <c r="I5823" s="9"/>
    </row>
    <row r="5824" spans="1:9" ht="14.25" customHeight="1" x14ac:dyDescent="0.3">
      <c r="A5824" s="10"/>
      <c r="C5824" s="8"/>
      <c r="D5824" s="9"/>
      <c r="E5824" s="9"/>
      <c r="F5824" s="9"/>
      <c r="G5824" s="9"/>
      <c r="H5824" s="9"/>
      <c r="I5824" s="9"/>
    </row>
    <row r="5825" spans="1:9" ht="14.25" customHeight="1" x14ac:dyDescent="0.3">
      <c r="A5825" s="10"/>
      <c r="C5825" s="8"/>
      <c r="D5825" s="9"/>
      <c r="E5825" s="9"/>
      <c r="F5825" s="9"/>
      <c r="G5825" s="9"/>
      <c r="H5825" s="9"/>
      <c r="I5825" s="9"/>
    </row>
    <row r="5826" spans="1:9" ht="14.25" customHeight="1" x14ac:dyDescent="0.3">
      <c r="A5826" s="10"/>
      <c r="C5826" s="8"/>
      <c r="D5826" s="9"/>
      <c r="E5826" s="9"/>
      <c r="F5826" s="9"/>
      <c r="G5826" s="9"/>
      <c r="H5826" s="9"/>
      <c r="I5826" s="9"/>
    </row>
    <row r="5827" spans="1:9" ht="14.25" customHeight="1" x14ac:dyDescent="0.3">
      <c r="A5827" s="10"/>
      <c r="C5827" s="8"/>
      <c r="D5827" s="9"/>
      <c r="E5827" s="9"/>
      <c r="F5827" s="9"/>
      <c r="G5827" s="9"/>
      <c r="H5827" s="9"/>
      <c r="I5827" s="9"/>
    </row>
    <row r="5828" spans="1:9" ht="14.25" customHeight="1" x14ac:dyDescent="0.3">
      <c r="A5828" s="10"/>
      <c r="C5828" s="8"/>
      <c r="D5828" s="9"/>
      <c r="E5828" s="9"/>
      <c r="F5828" s="9"/>
      <c r="G5828" s="9"/>
      <c r="H5828" s="9"/>
      <c r="I5828" s="9"/>
    </row>
    <row r="5829" spans="1:9" ht="14.25" customHeight="1" x14ac:dyDescent="0.3">
      <c r="A5829" s="10"/>
      <c r="C5829" s="8"/>
      <c r="D5829" s="9"/>
      <c r="E5829" s="9"/>
      <c r="F5829" s="9"/>
      <c r="G5829" s="9"/>
      <c r="H5829" s="9"/>
      <c r="I5829" s="9"/>
    </row>
    <row r="5830" spans="1:9" ht="14.25" customHeight="1" x14ac:dyDescent="0.3">
      <c r="A5830" s="10"/>
      <c r="C5830" s="8"/>
      <c r="D5830" s="9"/>
      <c r="E5830" s="9"/>
      <c r="F5830" s="9"/>
      <c r="G5830" s="9"/>
      <c r="H5830" s="9"/>
      <c r="I5830" s="9"/>
    </row>
    <row r="5831" spans="1:9" ht="14.25" customHeight="1" x14ac:dyDescent="0.3">
      <c r="A5831" s="10"/>
      <c r="C5831" s="8"/>
      <c r="D5831" s="9"/>
      <c r="E5831" s="9"/>
      <c r="F5831" s="9"/>
      <c r="G5831" s="9"/>
      <c r="H5831" s="9"/>
      <c r="I5831" s="9"/>
    </row>
    <row r="5832" spans="1:9" ht="14.25" customHeight="1" x14ac:dyDescent="0.3">
      <c r="A5832" s="10"/>
      <c r="C5832" s="8"/>
      <c r="D5832" s="9"/>
      <c r="E5832" s="9"/>
      <c r="F5832" s="9"/>
      <c r="G5832" s="9"/>
      <c r="H5832" s="9"/>
      <c r="I5832" s="9"/>
    </row>
    <row r="5833" spans="1:9" ht="14.25" customHeight="1" x14ac:dyDescent="0.3">
      <c r="A5833" s="10"/>
      <c r="C5833" s="8"/>
      <c r="D5833" s="9"/>
      <c r="E5833" s="9"/>
      <c r="F5833" s="9"/>
      <c r="G5833" s="9"/>
      <c r="H5833" s="9"/>
      <c r="I5833" s="9"/>
    </row>
    <row r="5834" spans="1:9" ht="14.25" customHeight="1" x14ac:dyDescent="0.3">
      <c r="A5834" s="10"/>
      <c r="C5834" s="8"/>
      <c r="D5834" s="9"/>
      <c r="E5834" s="9"/>
      <c r="F5834" s="9"/>
      <c r="G5834" s="9"/>
      <c r="H5834" s="9"/>
      <c r="I5834" s="9"/>
    </row>
    <row r="5835" spans="1:9" ht="14.25" customHeight="1" x14ac:dyDescent="0.3">
      <c r="A5835" s="10"/>
      <c r="C5835" s="8"/>
      <c r="D5835" s="9"/>
      <c r="E5835" s="9"/>
      <c r="F5835" s="9"/>
      <c r="G5835" s="9"/>
      <c r="H5835" s="9"/>
      <c r="I5835" s="9"/>
    </row>
    <row r="5836" spans="1:9" ht="14.25" customHeight="1" x14ac:dyDescent="0.3">
      <c r="A5836" s="10"/>
      <c r="C5836" s="8"/>
      <c r="D5836" s="9"/>
      <c r="E5836" s="9"/>
      <c r="F5836" s="9"/>
      <c r="G5836" s="9"/>
      <c r="H5836" s="9"/>
      <c r="I5836" s="9"/>
    </row>
    <row r="5837" spans="1:9" ht="14.25" customHeight="1" x14ac:dyDescent="0.3">
      <c r="A5837" s="10"/>
      <c r="C5837" s="8"/>
      <c r="D5837" s="9"/>
      <c r="E5837" s="9"/>
      <c r="F5837" s="9"/>
      <c r="G5837" s="9"/>
      <c r="H5837" s="9"/>
      <c r="I5837" s="9"/>
    </row>
    <row r="5838" spans="1:9" ht="14.25" customHeight="1" x14ac:dyDescent="0.3">
      <c r="A5838" s="10"/>
      <c r="C5838" s="8"/>
      <c r="D5838" s="9"/>
      <c r="E5838" s="9"/>
      <c r="F5838" s="9"/>
      <c r="G5838" s="9"/>
      <c r="H5838" s="9"/>
      <c r="I5838" s="9"/>
    </row>
    <row r="5839" spans="1:9" ht="14.25" customHeight="1" x14ac:dyDescent="0.3">
      <c r="A5839" s="10"/>
      <c r="C5839" s="8"/>
      <c r="D5839" s="9"/>
      <c r="E5839" s="9"/>
      <c r="F5839" s="9"/>
      <c r="G5839" s="9"/>
      <c r="H5839" s="9"/>
      <c r="I5839" s="9"/>
    </row>
    <row r="5840" spans="1:9" ht="14.25" customHeight="1" x14ac:dyDescent="0.3">
      <c r="A5840" s="10"/>
      <c r="C5840" s="8"/>
      <c r="D5840" s="9"/>
      <c r="E5840" s="9"/>
      <c r="F5840" s="9"/>
      <c r="G5840" s="9"/>
      <c r="H5840" s="9"/>
      <c r="I5840" s="9"/>
    </row>
    <row r="5841" spans="1:9" ht="14.25" customHeight="1" x14ac:dyDescent="0.3">
      <c r="A5841" s="10"/>
      <c r="C5841" s="8"/>
      <c r="D5841" s="9"/>
      <c r="E5841" s="9"/>
      <c r="F5841" s="9"/>
      <c r="G5841" s="9"/>
      <c r="H5841" s="9"/>
      <c r="I5841" s="9"/>
    </row>
    <row r="5842" spans="1:9" ht="14.25" customHeight="1" x14ac:dyDescent="0.3">
      <c r="A5842" s="10"/>
      <c r="C5842" s="8"/>
      <c r="D5842" s="9"/>
      <c r="E5842" s="9"/>
      <c r="F5842" s="9"/>
      <c r="G5842" s="9"/>
      <c r="H5842" s="9"/>
      <c r="I5842" s="9"/>
    </row>
    <row r="5843" spans="1:9" ht="14.25" customHeight="1" x14ac:dyDescent="0.3">
      <c r="A5843" s="10"/>
      <c r="C5843" s="8"/>
      <c r="D5843" s="9"/>
      <c r="E5843" s="9"/>
      <c r="F5843" s="9"/>
      <c r="G5843" s="9"/>
      <c r="H5843" s="9"/>
      <c r="I5843" s="9"/>
    </row>
    <row r="5844" spans="1:9" ht="14.25" customHeight="1" x14ac:dyDescent="0.3">
      <c r="A5844" s="10"/>
      <c r="C5844" s="8"/>
      <c r="D5844" s="9"/>
      <c r="E5844" s="9"/>
      <c r="F5844" s="9"/>
      <c r="G5844" s="9"/>
      <c r="H5844" s="9"/>
      <c r="I5844" s="9"/>
    </row>
    <row r="5845" spans="1:9" ht="14.25" customHeight="1" x14ac:dyDescent="0.3">
      <c r="A5845" s="10"/>
      <c r="C5845" s="8"/>
      <c r="D5845" s="9"/>
      <c r="E5845" s="9"/>
      <c r="F5845" s="9"/>
      <c r="G5845" s="9"/>
      <c r="H5845" s="9"/>
      <c r="I5845" s="9"/>
    </row>
    <row r="5846" spans="1:9" ht="14.25" customHeight="1" x14ac:dyDescent="0.3">
      <c r="A5846" s="10"/>
      <c r="C5846" s="8"/>
      <c r="D5846" s="9"/>
      <c r="E5846" s="9"/>
      <c r="F5846" s="9"/>
      <c r="G5846" s="9"/>
      <c r="H5846" s="9"/>
      <c r="I5846" s="9"/>
    </row>
    <row r="5847" spans="1:9" ht="14.25" customHeight="1" x14ac:dyDescent="0.3">
      <c r="A5847" s="10"/>
      <c r="C5847" s="8"/>
      <c r="D5847" s="9"/>
      <c r="E5847" s="9"/>
      <c r="F5847" s="9"/>
      <c r="G5847" s="9"/>
      <c r="H5847" s="9"/>
      <c r="I5847" s="9"/>
    </row>
    <row r="5848" spans="1:9" ht="14.25" customHeight="1" x14ac:dyDescent="0.3">
      <c r="A5848" s="10"/>
      <c r="C5848" s="8"/>
      <c r="D5848" s="9"/>
      <c r="E5848" s="9"/>
      <c r="F5848" s="9"/>
      <c r="G5848" s="9"/>
      <c r="H5848" s="9"/>
      <c r="I5848" s="9"/>
    </row>
    <row r="5849" spans="1:9" ht="14.25" customHeight="1" x14ac:dyDescent="0.3">
      <c r="A5849" s="10"/>
      <c r="C5849" s="8"/>
      <c r="D5849" s="9"/>
      <c r="E5849" s="9"/>
      <c r="F5849" s="9"/>
      <c r="G5849" s="9"/>
      <c r="H5849" s="9"/>
      <c r="I5849" s="9"/>
    </row>
    <row r="5850" spans="1:9" ht="14.25" customHeight="1" x14ac:dyDescent="0.3">
      <c r="A5850" s="10"/>
      <c r="C5850" s="8"/>
      <c r="D5850" s="9"/>
      <c r="E5850" s="9"/>
      <c r="F5850" s="9"/>
      <c r="G5850" s="9"/>
      <c r="H5850" s="9"/>
      <c r="I5850" s="9"/>
    </row>
    <row r="5851" spans="1:9" ht="14.25" customHeight="1" x14ac:dyDescent="0.3">
      <c r="A5851" s="10"/>
      <c r="C5851" s="8"/>
      <c r="D5851" s="9"/>
      <c r="E5851" s="9"/>
      <c r="F5851" s="9"/>
      <c r="G5851" s="9"/>
      <c r="H5851" s="9"/>
      <c r="I5851" s="9"/>
    </row>
    <row r="5852" spans="1:9" ht="14.25" customHeight="1" x14ac:dyDescent="0.3">
      <c r="A5852" s="10"/>
      <c r="C5852" s="8"/>
      <c r="D5852" s="9"/>
      <c r="E5852" s="9"/>
      <c r="F5852" s="9"/>
      <c r="G5852" s="9"/>
      <c r="H5852" s="9"/>
      <c r="I5852" s="9"/>
    </row>
    <row r="5853" spans="1:9" ht="14.25" customHeight="1" x14ac:dyDescent="0.3">
      <c r="A5853" s="10"/>
      <c r="C5853" s="8"/>
      <c r="D5853" s="9"/>
      <c r="E5853" s="9"/>
      <c r="F5853" s="9"/>
      <c r="G5853" s="9"/>
      <c r="H5853" s="9"/>
      <c r="I5853" s="9"/>
    </row>
    <row r="5854" spans="1:9" ht="14.25" customHeight="1" x14ac:dyDescent="0.3">
      <c r="A5854" s="10"/>
      <c r="C5854" s="8"/>
      <c r="D5854" s="9"/>
      <c r="E5854" s="9"/>
      <c r="F5854" s="9"/>
      <c r="G5854" s="9"/>
      <c r="H5854" s="9"/>
      <c r="I5854" s="9"/>
    </row>
    <row r="5855" spans="1:9" ht="14.25" customHeight="1" x14ac:dyDescent="0.3">
      <c r="A5855" s="10"/>
      <c r="C5855" s="8"/>
      <c r="D5855" s="9"/>
      <c r="E5855" s="9"/>
      <c r="F5855" s="9"/>
      <c r="G5855" s="9"/>
      <c r="H5855" s="9"/>
      <c r="I5855" s="9"/>
    </row>
    <row r="5856" spans="1:9" ht="14.25" customHeight="1" x14ac:dyDescent="0.3">
      <c r="A5856" s="10"/>
      <c r="C5856" s="8"/>
      <c r="D5856" s="9"/>
      <c r="E5856" s="9"/>
      <c r="F5856" s="9"/>
      <c r="G5856" s="9"/>
      <c r="H5856" s="9"/>
      <c r="I5856" s="9"/>
    </row>
    <row r="5857" spans="1:9" ht="14.25" customHeight="1" x14ac:dyDescent="0.3">
      <c r="A5857" s="10"/>
      <c r="C5857" s="8"/>
      <c r="D5857" s="9"/>
      <c r="E5857" s="9"/>
      <c r="F5857" s="9"/>
      <c r="G5857" s="9"/>
      <c r="H5857" s="9"/>
      <c r="I5857" s="9"/>
    </row>
    <row r="5858" spans="1:9" ht="14.25" customHeight="1" x14ac:dyDescent="0.3">
      <c r="A5858" s="10"/>
      <c r="C5858" s="8"/>
      <c r="D5858" s="9"/>
      <c r="E5858" s="9"/>
      <c r="F5858" s="9"/>
      <c r="G5858" s="9"/>
      <c r="H5858" s="9"/>
      <c r="I5858" s="9"/>
    </row>
    <row r="5859" spans="1:9" ht="14.25" customHeight="1" x14ac:dyDescent="0.3">
      <c r="A5859" s="10"/>
      <c r="C5859" s="8"/>
      <c r="D5859" s="9"/>
      <c r="E5859" s="9"/>
      <c r="F5859" s="9"/>
      <c r="G5859" s="9"/>
      <c r="H5859" s="9"/>
      <c r="I5859" s="9"/>
    </row>
    <row r="5860" spans="1:9" ht="14.25" customHeight="1" x14ac:dyDescent="0.3">
      <c r="A5860" s="10"/>
      <c r="C5860" s="8"/>
      <c r="D5860" s="9"/>
      <c r="E5860" s="9"/>
      <c r="F5860" s="9"/>
      <c r="G5860" s="9"/>
      <c r="H5860" s="9"/>
      <c r="I5860" s="9"/>
    </row>
    <row r="5861" spans="1:9" ht="14.25" customHeight="1" x14ac:dyDescent="0.3">
      <c r="A5861" s="10"/>
      <c r="C5861" s="8"/>
      <c r="D5861" s="9"/>
      <c r="E5861" s="9"/>
      <c r="F5861" s="9"/>
      <c r="G5861" s="9"/>
      <c r="H5861" s="9"/>
      <c r="I5861" s="9"/>
    </row>
    <row r="5862" spans="1:9" ht="14.25" customHeight="1" x14ac:dyDescent="0.3">
      <c r="A5862" s="10"/>
      <c r="C5862" s="8"/>
      <c r="D5862" s="9"/>
      <c r="E5862" s="9"/>
      <c r="F5862" s="9"/>
      <c r="G5862" s="9"/>
      <c r="H5862" s="9"/>
      <c r="I5862" s="9"/>
    </row>
    <row r="5863" spans="1:9" ht="14.25" customHeight="1" x14ac:dyDescent="0.3">
      <c r="A5863" s="10"/>
      <c r="C5863" s="8"/>
      <c r="D5863" s="9"/>
      <c r="E5863" s="9"/>
      <c r="F5863" s="9"/>
      <c r="G5863" s="9"/>
      <c r="H5863" s="9"/>
      <c r="I5863" s="9"/>
    </row>
    <row r="5864" spans="1:9" ht="14.25" customHeight="1" x14ac:dyDescent="0.3">
      <c r="A5864" s="10"/>
      <c r="C5864" s="8"/>
      <c r="D5864" s="9"/>
      <c r="E5864" s="9"/>
      <c r="F5864" s="9"/>
      <c r="G5864" s="9"/>
      <c r="H5864" s="9"/>
      <c r="I5864" s="9"/>
    </row>
    <row r="5865" spans="1:9" ht="14.25" customHeight="1" x14ac:dyDescent="0.3">
      <c r="A5865" s="10"/>
      <c r="C5865" s="8"/>
      <c r="D5865" s="9"/>
      <c r="E5865" s="9"/>
      <c r="F5865" s="9"/>
      <c r="G5865" s="9"/>
      <c r="H5865" s="9"/>
      <c r="I5865" s="9"/>
    </row>
    <row r="5866" spans="1:9" ht="14.25" customHeight="1" x14ac:dyDescent="0.3">
      <c r="A5866" s="10"/>
      <c r="C5866" s="8"/>
      <c r="D5866" s="9"/>
      <c r="E5866" s="9"/>
      <c r="F5866" s="9"/>
      <c r="G5866" s="9"/>
      <c r="H5866" s="9"/>
      <c r="I5866" s="9"/>
    </row>
    <row r="5867" spans="1:9" ht="14.25" customHeight="1" x14ac:dyDescent="0.3">
      <c r="A5867" s="10"/>
      <c r="C5867" s="8"/>
      <c r="D5867" s="9"/>
      <c r="E5867" s="9"/>
      <c r="F5867" s="9"/>
      <c r="G5867" s="9"/>
      <c r="H5867" s="9"/>
      <c r="I5867" s="9"/>
    </row>
    <row r="5868" spans="1:9" ht="14.25" customHeight="1" x14ac:dyDescent="0.3">
      <c r="A5868" s="10"/>
      <c r="C5868" s="8"/>
      <c r="D5868" s="9"/>
      <c r="E5868" s="9"/>
      <c r="F5868" s="9"/>
      <c r="G5868" s="9"/>
      <c r="H5868" s="9"/>
      <c r="I5868" s="9"/>
    </row>
    <row r="5869" spans="1:9" ht="14.25" customHeight="1" x14ac:dyDescent="0.3">
      <c r="A5869" s="10"/>
      <c r="C5869" s="8"/>
      <c r="D5869" s="9"/>
      <c r="E5869" s="9"/>
      <c r="F5869" s="9"/>
      <c r="G5869" s="9"/>
      <c r="H5869" s="9"/>
      <c r="I5869" s="9"/>
    </row>
    <row r="5870" spans="1:9" ht="14.25" customHeight="1" x14ac:dyDescent="0.3">
      <c r="A5870" s="10"/>
      <c r="C5870" s="8"/>
      <c r="D5870" s="9"/>
      <c r="E5870" s="9"/>
      <c r="F5870" s="9"/>
      <c r="G5870" s="9"/>
      <c r="H5870" s="9"/>
      <c r="I5870" s="9"/>
    </row>
    <row r="5871" spans="1:9" ht="14.25" customHeight="1" x14ac:dyDescent="0.3">
      <c r="A5871" s="10"/>
      <c r="C5871" s="8"/>
      <c r="D5871" s="9"/>
      <c r="E5871" s="9"/>
      <c r="F5871" s="9"/>
      <c r="G5871" s="9"/>
      <c r="H5871" s="9"/>
      <c r="I5871" s="9"/>
    </row>
    <row r="5872" spans="1:9" ht="14.25" customHeight="1" x14ac:dyDescent="0.3">
      <c r="A5872" s="10"/>
      <c r="C5872" s="8"/>
      <c r="D5872" s="9"/>
      <c r="E5872" s="9"/>
      <c r="F5872" s="9"/>
      <c r="G5872" s="9"/>
      <c r="H5872" s="9"/>
      <c r="I5872" s="9"/>
    </row>
    <row r="5873" spans="1:9" ht="14.25" customHeight="1" x14ac:dyDescent="0.3">
      <c r="A5873" s="10"/>
      <c r="C5873" s="8"/>
      <c r="D5873" s="9"/>
      <c r="E5873" s="9"/>
      <c r="F5873" s="9"/>
      <c r="G5873" s="9"/>
      <c r="H5873" s="9"/>
      <c r="I5873" s="9"/>
    </row>
    <row r="5874" spans="1:9" ht="14.25" customHeight="1" x14ac:dyDescent="0.3">
      <c r="A5874" s="10"/>
      <c r="C5874" s="8"/>
      <c r="D5874" s="9"/>
      <c r="E5874" s="9"/>
      <c r="F5874" s="9"/>
      <c r="G5874" s="9"/>
      <c r="H5874" s="9"/>
      <c r="I5874" s="9"/>
    </row>
    <row r="5875" spans="1:9" ht="14.25" customHeight="1" x14ac:dyDescent="0.3">
      <c r="A5875" s="10"/>
      <c r="C5875" s="8"/>
      <c r="D5875" s="9"/>
      <c r="E5875" s="9"/>
      <c r="F5875" s="9"/>
      <c r="G5875" s="9"/>
      <c r="H5875" s="9"/>
      <c r="I5875" s="9"/>
    </row>
    <row r="5876" spans="1:9" ht="14.25" customHeight="1" x14ac:dyDescent="0.3">
      <c r="A5876" s="10"/>
      <c r="C5876" s="8"/>
      <c r="D5876" s="9"/>
      <c r="E5876" s="9"/>
      <c r="F5876" s="9"/>
      <c r="G5876" s="9"/>
      <c r="H5876" s="9"/>
      <c r="I5876" s="9"/>
    </row>
    <row r="5877" spans="1:9" ht="14.25" customHeight="1" x14ac:dyDescent="0.3">
      <c r="A5877" s="10"/>
      <c r="C5877" s="8"/>
      <c r="D5877" s="9"/>
      <c r="E5877" s="9"/>
      <c r="F5877" s="9"/>
      <c r="G5877" s="9"/>
      <c r="H5877" s="9"/>
      <c r="I5877" s="9"/>
    </row>
    <row r="5878" spans="1:9" ht="14.25" customHeight="1" x14ac:dyDescent="0.3">
      <c r="A5878" s="10"/>
      <c r="C5878" s="8"/>
      <c r="D5878" s="9"/>
      <c r="E5878" s="9"/>
      <c r="F5878" s="9"/>
      <c r="G5878" s="9"/>
      <c r="H5878" s="9"/>
      <c r="I5878" s="9"/>
    </row>
    <row r="5879" spans="1:9" ht="14.25" customHeight="1" x14ac:dyDescent="0.3">
      <c r="A5879" s="10"/>
      <c r="C5879" s="8"/>
      <c r="D5879" s="9"/>
      <c r="E5879" s="9"/>
      <c r="F5879" s="9"/>
      <c r="G5879" s="9"/>
      <c r="H5879" s="9"/>
      <c r="I5879" s="9"/>
    </row>
    <row r="5880" spans="1:9" ht="14.25" customHeight="1" x14ac:dyDescent="0.3">
      <c r="A5880" s="10"/>
      <c r="C5880" s="8"/>
      <c r="D5880" s="9"/>
      <c r="E5880" s="9"/>
      <c r="F5880" s="9"/>
      <c r="G5880" s="9"/>
      <c r="H5880" s="9"/>
      <c r="I5880" s="9"/>
    </row>
    <row r="5881" spans="1:9" ht="14.25" customHeight="1" x14ac:dyDescent="0.3">
      <c r="A5881" s="10"/>
      <c r="C5881" s="8"/>
      <c r="D5881" s="9"/>
      <c r="E5881" s="9"/>
      <c r="F5881" s="9"/>
      <c r="G5881" s="9"/>
      <c r="H5881" s="9"/>
      <c r="I5881" s="9"/>
    </row>
    <row r="5882" spans="1:9" ht="14.25" customHeight="1" x14ac:dyDescent="0.3">
      <c r="A5882" s="10"/>
      <c r="C5882" s="8"/>
      <c r="D5882" s="9"/>
      <c r="E5882" s="9"/>
      <c r="F5882" s="9"/>
      <c r="G5882" s="9"/>
      <c r="H5882" s="9"/>
      <c r="I5882" s="9"/>
    </row>
    <row r="5883" spans="1:9" ht="14.25" customHeight="1" x14ac:dyDescent="0.3">
      <c r="A5883" s="10"/>
      <c r="C5883" s="8"/>
      <c r="D5883" s="9"/>
      <c r="E5883" s="9"/>
      <c r="F5883" s="9"/>
      <c r="G5883" s="9"/>
      <c r="H5883" s="9"/>
      <c r="I5883" s="9"/>
    </row>
    <row r="5884" spans="1:9" ht="14.25" customHeight="1" x14ac:dyDescent="0.3">
      <c r="A5884" s="10"/>
      <c r="C5884" s="8"/>
      <c r="D5884" s="9"/>
      <c r="E5884" s="9"/>
      <c r="F5884" s="9"/>
      <c r="G5884" s="9"/>
      <c r="H5884" s="9"/>
      <c r="I5884" s="9"/>
    </row>
    <row r="5885" spans="1:9" ht="14.25" customHeight="1" x14ac:dyDescent="0.3">
      <c r="A5885" s="10"/>
      <c r="C5885" s="8"/>
      <c r="D5885" s="9"/>
      <c r="E5885" s="9"/>
      <c r="F5885" s="9"/>
      <c r="G5885" s="9"/>
      <c r="H5885" s="9"/>
      <c r="I5885" s="9"/>
    </row>
    <row r="5886" spans="1:9" ht="14.25" customHeight="1" x14ac:dyDescent="0.3">
      <c r="A5886" s="10"/>
      <c r="C5886" s="8"/>
      <c r="D5886" s="9"/>
      <c r="E5886" s="9"/>
      <c r="F5886" s="9"/>
      <c r="G5886" s="9"/>
      <c r="H5886" s="9"/>
      <c r="I5886" s="9"/>
    </row>
    <row r="5887" spans="1:9" ht="14.25" customHeight="1" x14ac:dyDescent="0.3">
      <c r="A5887" s="10"/>
      <c r="C5887" s="8"/>
      <c r="D5887" s="9"/>
      <c r="E5887" s="9"/>
      <c r="F5887" s="9"/>
      <c r="G5887" s="9"/>
      <c r="H5887" s="9"/>
      <c r="I5887" s="9"/>
    </row>
    <row r="5888" spans="1:9" ht="14.25" customHeight="1" x14ac:dyDescent="0.3">
      <c r="A5888" s="10"/>
      <c r="C5888" s="8"/>
      <c r="D5888" s="9"/>
      <c r="E5888" s="9"/>
      <c r="F5888" s="9"/>
      <c r="G5888" s="9"/>
      <c r="H5888" s="9"/>
      <c r="I5888" s="9"/>
    </row>
    <row r="5889" spans="1:9" ht="14.25" customHeight="1" x14ac:dyDescent="0.3">
      <c r="A5889" s="10"/>
      <c r="C5889" s="8"/>
      <c r="D5889" s="9"/>
      <c r="E5889" s="9"/>
      <c r="F5889" s="9"/>
      <c r="G5889" s="9"/>
      <c r="H5889" s="9"/>
      <c r="I5889" s="9"/>
    </row>
    <row r="5890" spans="1:9" ht="14.25" customHeight="1" x14ac:dyDescent="0.3">
      <c r="A5890" s="10"/>
      <c r="C5890" s="8"/>
      <c r="D5890" s="9"/>
      <c r="E5890" s="9"/>
      <c r="F5890" s="9"/>
      <c r="G5890" s="9"/>
      <c r="H5890" s="9"/>
      <c r="I5890" s="9"/>
    </row>
    <row r="5891" spans="1:9" ht="14.25" customHeight="1" x14ac:dyDescent="0.3">
      <c r="A5891" s="10"/>
      <c r="C5891" s="8"/>
      <c r="D5891" s="9"/>
      <c r="E5891" s="9"/>
      <c r="F5891" s="9"/>
      <c r="G5891" s="9"/>
      <c r="H5891" s="9"/>
      <c r="I5891" s="9"/>
    </row>
    <row r="5892" spans="1:9" ht="14.25" customHeight="1" x14ac:dyDescent="0.3">
      <c r="A5892" s="10"/>
      <c r="C5892" s="8"/>
      <c r="D5892" s="9"/>
      <c r="E5892" s="9"/>
      <c r="F5892" s="9"/>
      <c r="G5892" s="9"/>
      <c r="H5892" s="9"/>
      <c r="I5892" s="9"/>
    </row>
    <row r="5893" spans="1:9" ht="14.25" customHeight="1" x14ac:dyDescent="0.3">
      <c r="A5893" s="10"/>
      <c r="C5893" s="8"/>
      <c r="D5893" s="9"/>
      <c r="E5893" s="9"/>
      <c r="F5893" s="9"/>
      <c r="G5893" s="9"/>
      <c r="H5893" s="9"/>
      <c r="I5893" s="9"/>
    </row>
    <row r="5894" spans="1:9" ht="14.25" customHeight="1" x14ac:dyDescent="0.3">
      <c r="A5894" s="10"/>
      <c r="C5894" s="8"/>
      <c r="D5894" s="9"/>
      <c r="E5894" s="9"/>
      <c r="F5894" s="9"/>
      <c r="G5894" s="9"/>
      <c r="H5894" s="9"/>
      <c r="I5894" s="9"/>
    </row>
    <row r="5895" spans="1:9" ht="14.25" customHeight="1" x14ac:dyDescent="0.3">
      <c r="A5895" s="10"/>
      <c r="C5895" s="8"/>
      <c r="D5895" s="9"/>
      <c r="E5895" s="9"/>
      <c r="F5895" s="9"/>
      <c r="G5895" s="9"/>
      <c r="H5895" s="9"/>
      <c r="I5895" s="9"/>
    </row>
    <row r="5896" spans="1:9" ht="14.25" customHeight="1" x14ac:dyDescent="0.3">
      <c r="A5896" s="10"/>
      <c r="C5896" s="8"/>
      <c r="D5896" s="9"/>
      <c r="E5896" s="9"/>
      <c r="F5896" s="9"/>
      <c r="G5896" s="9"/>
      <c r="H5896" s="9"/>
      <c r="I5896" s="9"/>
    </row>
    <row r="5897" spans="1:9" ht="14.25" customHeight="1" x14ac:dyDescent="0.3">
      <c r="A5897" s="10"/>
      <c r="C5897" s="8"/>
      <c r="D5897" s="9"/>
      <c r="E5897" s="9"/>
      <c r="F5897" s="9"/>
      <c r="G5897" s="9"/>
      <c r="H5897" s="9"/>
      <c r="I5897" s="9"/>
    </row>
    <row r="5898" spans="1:9" ht="14.25" customHeight="1" x14ac:dyDescent="0.3">
      <c r="A5898" s="10"/>
      <c r="C5898" s="8"/>
      <c r="D5898" s="9"/>
      <c r="E5898" s="9"/>
      <c r="F5898" s="9"/>
      <c r="G5898" s="9"/>
      <c r="H5898" s="9"/>
      <c r="I5898" s="9"/>
    </row>
    <row r="5899" spans="1:9" ht="14.25" customHeight="1" x14ac:dyDescent="0.3">
      <c r="A5899" s="10"/>
      <c r="C5899" s="8"/>
      <c r="D5899" s="9"/>
      <c r="E5899" s="9"/>
      <c r="F5899" s="9"/>
      <c r="G5899" s="9"/>
      <c r="H5899" s="9"/>
      <c r="I5899" s="9"/>
    </row>
    <row r="5900" spans="1:9" ht="14.25" customHeight="1" x14ac:dyDescent="0.3">
      <c r="A5900" s="10"/>
      <c r="C5900" s="8"/>
      <c r="D5900" s="9"/>
      <c r="E5900" s="9"/>
      <c r="F5900" s="9"/>
      <c r="G5900" s="9"/>
      <c r="H5900" s="9"/>
      <c r="I5900" s="9"/>
    </row>
    <row r="5901" spans="1:9" ht="14.25" customHeight="1" x14ac:dyDescent="0.3">
      <c r="A5901" s="10"/>
      <c r="C5901" s="8"/>
      <c r="D5901" s="9"/>
      <c r="E5901" s="9"/>
      <c r="F5901" s="9"/>
      <c r="G5901" s="9"/>
      <c r="H5901" s="9"/>
      <c r="I5901" s="9"/>
    </row>
    <row r="5902" spans="1:9" ht="14.25" customHeight="1" x14ac:dyDescent="0.3">
      <c r="A5902" s="10"/>
      <c r="C5902" s="8"/>
      <c r="D5902" s="9"/>
      <c r="E5902" s="9"/>
      <c r="F5902" s="9"/>
      <c r="G5902" s="9"/>
      <c r="H5902" s="9"/>
      <c r="I5902" s="9"/>
    </row>
    <row r="5903" spans="1:9" ht="14.25" customHeight="1" x14ac:dyDescent="0.3">
      <c r="A5903" s="10"/>
      <c r="C5903" s="8"/>
      <c r="D5903" s="9"/>
      <c r="E5903" s="9"/>
      <c r="F5903" s="9"/>
      <c r="G5903" s="9"/>
      <c r="H5903" s="9"/>
      <c r="I5903" s="9"/>
    </row>
    <row r="5904" spans="1:9" ht="14.25" customHeight="1" x14ac:dyDescent="0.3">
      <c r="A5904" s="10"/>
      <c r="C5904" s="8"/>
      <c r="D5904" s="9"/>
      <c r="E5904" s="9"/>
      <c r="F5904" s="9"/>
      <c r="G5904" s="9"/>
      <c r="H5904" s="9"/>
      <c r="I5904" s="9"/>
    </row>
    <row r="5905" spans="1:9" ht="14.25" customHeight="1" x14ac:dyDescent="0.3">
      <c r="A5905" s="10"/>
      <c r="C5905" s="8"/>
      <c r="D5905" s="9"/>
      <c r="E5905" s="9"/>
      <c r="F5905" s="9"/>
      <c r="G5905" s="9"/>
      <c r="H5905" s="9"/>
      <c r="I5905" s="9"/>
    </row>
    <row r="5906" spans="1:9" ht="14.25" customHeight="1" x14ac:dyDescent="0.3">
      <c r="A5906" s="10"/>
      <c r="C5906" s="8"/>
      <c r="D5906" s="9"/>
      <c r="E5906" s="9"/>
      <c r="F5906" s="9"/>
      <c r="G5906" s="9"/>
      <c r="H5906" s="9"/>
      <c r="I5906" s="9"/>
    </row>
    <row r="5907" spans="1:9" ht="14.25" customHeight="1" x14ac:dyDescent="0.3">
      <c r="A5907" s="10"/>
      <c r="C5907" s="8"/>
      <c r="D5907" s="9"/>
      <c r="E5907" s="9"/>
      <c r="F5907" s="9"/>
      <c r="G5907" s="9"/>
      <c r="H5907" s="9"/>
      <c r="I5907" s="9"/>
    </row>
    <row r="5908" spans="1:9" ht="14.25" customHeight="1" x14ac:dyDescent="0.3">
      <c r="A5908" s="10"/>
      <c r="C5908" s="8"/>
      <c r="D5908" s="9"/>
      <c r="E5908" s="9"/>
      <c r="F5908" s="9"/>
      <c r="G5908" s="9"/>
      <c r="H5908" s="9"/>
      <c r="I5908" s="9"/>
    </row>
    <row r="5909" spans="1:9" ht="14.25" customHeight="1" x14ac:dyDescent="0.3">
      <c r="A5909" s="10"/>
      <c r="C5909" s="8"/>
      <c r="D5909" s="9"/>
      <c r="E5909" s="9"/>
      <c r="F5909" s="9"/>
      <c r="G5909" s="9"/>
      <c r="H5909" s="9"/>
      <c r="I5909" s="9"/>
    </row>
    <row r="5910" spans="1:9" ht="14.25" customHeight="1" x14ac:dyDescent="0.3">
      <c r="A5910" s="10"/>
      <c r="C5910" s="8"/>
      <c r="D5910" s="9"/>
      <c r="E5910" s="9"/>
      <c r="F5910" s="9"/>
      <c r="G5910" s="9"/>
      <c r="H5910" s="9"/>
      <c r="I5910" s="9"/>
    </row>
    <row r="5911" spans="1:9" ht="14.25" customHeight="1" x14ac:dyDescent="0.3">
      <c r="A5911" s="10"/>
      <c r="C5911" s="8"/>
      <c r="D5911" s="9"/>
      <c r="E5911" s="9"/>
      <c r="F5911" s="9"/>
      <c r="G5911" s="9"/>
      <c r="H5911" s="9"/>
      <c r="I5911" s="9"/>
    </row>
    <row r="5912" spans="1:9" ht="14.25" customHeight="1" x14ac:dyDescent="0.3">
      <c r="A5912" s="10"/>
      <c r="C5912" s="8"/>
      <c r="D5912" s="9"/>
      <c r="E5912" s="9"/>
      <c r="F5912" s="9"/>
      <c r="G5912" s="9"/>
      <c r="H5912" s="9"/>
      <c r="I5912" s="9"/>
    </row>
    <row r="5913" spans="1:9" ht="14.25" customHeight="1" x14ac:dyDescent="0.3">
      <c r="A5913" s="10"/>
      <c r="C5913" s="8"/>
      <c r="D5913" s="9"/>
      <c r="E5913" s="9"/>
      <c r="F5913" s="9"/>
      <c r="G5913" s="9"/>
      <c r="H5913" s="9"/>
      <c r="I5913" s="9"/>
    </row>
    <row r="5914" spans="1:9" ht="14.25" customHeight="1" x14ac:dyDescent="0.3">
      <c r="A5914" s="10"/>
      <c r="C5914" s="8"/>
      <c r="D5914" s="9"/>
      <c r="E5914" s="9"/>
      <c r="F5914" s="9"/>
      <c r="G5914" s="9"/>
      <c r="H5914" s="9"/>
      <c r="I5914" s="9"/>
    </row>
    <row r="5915" spans="1:9" ht="14.25" customHeight="1" x14ac:dyDescent="0.3">
      <c r="A5915" s="10"/>
      <c r="C5915" s="8"/>
      <c r="D5915" s="9"/>
      <c r="E5915" s="9"/>
      <c r="F5915" s="9"/>
      <c r="G5915" s="9"/>
      <c r="H5915" s="9"/>
      <c r="I5915" s="9"/>
    </row>
    <row r="5916" spans="1:9" ht="14.25" customHeight="1" x14ac:dyDescent="0.3">
      <c r="A5916" s="10"/>
      <c r="C5916" s="8"/>
      <c r="D5916" s="9"/>
      <c r="E5916" s="9"/>
      <c r="F5916" s="9"/>
      <c r="G5916" s="9"/>
      <c r="H5916" s="9"/>
      <c r="I5916" s="9"/>
    </row>
    <row r="5917" spans="1:9" ht="14.25" customHeight="1" x14ac:dyDescent="0.3">
      <c r="A5917" s="10"/>
      <c r="C5917" s="8"/>
      <c r="D5917" s="9"/>
      <c r="E5917" s="9"/>
      <c r="F5917" s="9"/>
      <c r="G5917" s="9"/>
      <c r="H5917" s="9"/>
      <c r="I5917" s="9"/>
    </row>
    <row r="5918" spans="1:9" ht="14.25" customHeight="1" x14ac:dyDescent="0.3">
      <c r="A5918" s="10"/>
      <c r="C5918" s="8"/>
      <c r="D5918" s="9"/>
      <c r="E5918" s="9"/>
      <c r="F5918" s="9"/>
      <c r="G5918" s="9"/>
      <c r="H5918" s="9"/>
      <c r="I5918" s="9"/>
    </row>
    <row r="5919" spans="1:9" ht="14.25" customHeight="1" x14ac:dyDescent="0.3">
      <c r="A5919" s="10"/>
      <c r="C5919" s="8"/>
      <c r="D5919" s="9"/>
      <c r="E5919" s="9"/>
      <c r="F5919" s="9"/>
      <c r="G5919" s="9"/>
      <c r="H5919" s="9"/>
      <c r="I5919" s="9"/>
    </row>
    <row r="5920" spans="1:9" ht="14.25" customHeight="1" x14ac:dyDescent="0.3">
      <c r="A5920" s="10"/>
      <c r="C5920" s="8"/>
      <c r="D5920" s="9"/>
      <c r="E5920" s="9"/>
      <c r="F5920" s="9"/>
      <c r="G5920" s="9"/>
      <c r="H5920" s="9"/>
      <c r="I5920" s="9"/>
    </row>
    <row r="5921" spans="1:9" ht="14.25" customHeight="1" x14ac:dyDescent="0.3">
      <c r="A5921" s="10"/>
      <c r="C5921" s="8"/>
      <c r="D5921" s="9"/>
      <c r="E5921" s="9"/>
      <c r="F5921" s="9"/>
      <c r="G5921" s="9"/>
      <c r="H5921" s="9"/>
      <c r="I5921" s="9"/>
    </row>
    <row r="5922" spans="1:9" ht="14.25" customHeight="1" x14ac:dyDescent="0.3">
      <c r="A5922" s="10"/>
      <c r="C5922" s="8"/>
      <c r="D5922" s="9"/>
      <c r="E5922" s="9"/>
      <c r="F5922" s="9"/>
      <c r="G5922" s="9"/>
      <c r="H5922" s="9"/>
      <c r="I5922" s="9"/>
    </row>
    <row r="5923" spans="1:9" ht="14.25" customHeight="1" x14ac:dyDescent="0.3">
      <c r="A5923" s="10"/>
      <c r="C5923" s="8"/>
      <c r="D5923" s="9"/>
      <c r="E5923" s="9"/>
      <c r="F5923" s="9"/>
      <c r="G5923" s="9"/>
      <c r="H5923" s="9"/>
      <c r="I5923" s="9"/>
    </row>
    <row r="5924" spans="1:9" ht="14.25" customHeight="1" x14ac:dyDescent="0.3">
      <c r="A5924" s="10"/>
      <c r="C5924" s="8"/>
      <c r="D5924" s="9"/>
      <c r="E5924" s="9"/>
      <c r="F5924" s="9"/>
      <c r="G5924" s="9"/>
      <c r="H5924" s="9"/>
      <c r="I5924" s="9"/>
    </row>
    <row r="5925" spans="1:9" ht="14.25" customHeight="1" x14ac:dyDescent="0.3">
      <c r="A5925" s="10"/>
      <c r="C5925" s="8"/>
      <c r="D5925" s="9"/>
      <c r="E5925" s="9"/>
      <c r="F5925" s="9"/>
      <c r="G5925" s="9"/>
      <c r="H5925" s="9"/>
      <c r="I5925" s="9"/>
    </row>
    <row r="5926" spans="1:9" ht="14.25" customHeight="1" x14ac:dyDescent="0.3">
      <c r="A5926" s="10"/>
      <c r="C5926" s="8"/>
      <c r="D5926" s="9"/>
      <c r="E5926" s="9"/>
      <c r="F5926" s="9"/>
      <c r="G5926" s="9"/>
      <c r="H5926" s="9"/>
      <c r="I5926" s="9"/>
    </row>
    <row r="5927" spans="1:9" ht="14.25" customHeight="1" x14ac:dyDescent="0.3">
      <c r="A5927" s="10"/>
      <c r="C5927" s="8"/>
      <c r="D5927" s="9"/>
      <c r="E5927" s="9"/>
      <c r="F5927" s="9"/>
      <c r="G5927" s="9"/>
      <c r="H5927" s="9"/>
      <c r="I5927" s="9"/>
    </row>
    <row r="5928" spans="1:9" ht="14.25" customHeight="1" x14ac:dyDescent="0.3">
      <c r="A5928" s="10"/>
      <c r="C5928" s="8"/>
      <c r="D5928" s="9"/>
      <c r="E5928" s="9"/>
      <c r="F5928" s="9"/>
      <c r="G5928" s="9"/>
      <c r="H5928" s="9"/>
      <c r="I5928" s="9"/>
    </row>
    <row r="5929" spans="1:9" ht="14.25" customHeight="1" x14ac:dyDescent="0.3">
      <c r="A5929" s="10"/>
      <c r="C5929" s="8"/>
      <c r="D5929" s="9"/>
      <c r="E5929" s="9"/>
      <c r="F5929" s="9"/>
      <c r="G5929" s="9"/>
      <c r="H5929" s="9"/>
      <c r="I5929" s="9"/>
    </row>
    <row r="5930" spans="1:9" ht="14.25" customHeight="1" x14ac:dyDescent="0.3">
      <c r="A5930" s="10"/>
      <c r="C5930" s="8"/>
      <c r="D5930" s="9"/>
      <c r="E5930" s="9"/>
      <c r="F5930" s="9"/>
      <c r="G5930" s="9"/>
      <c r="H5930" s="9"/>
      <c r="I5930" s="9"/>
    </row>
    <row r="5931" spans="1:9" ht="14.25" customHeight="1" x14ac:dyDescent="0.3">
      <c r="A5931" s="10"/>
      <c r="C5931" s="8"/>
      <c r="D5931" s="9"/>
      <c r="E5931" s="9"/>
      <c r="F5931" s="9"/>
      <c r="G5931" s="9"/>
      <c r="H5931" s="9"/>
      <c r="I5931" s="9"/>
    </row>
    <row r="5932" spans="1:9" ht="14.25" customHeight="1" x14ac:dyDescent="0.3">
      <c r="A5932" s="10"/>
      <c r="C5932" s="8"/>
      <c r="D5932" s="9"/>
      <c r="E5932" s="9"/>
      <c r="F5932" s="9"/>
      <c r="G5932" s="9"/>
      <c r="H5932" s="9"/>
      <c r="I5932" s="9"/>
    </row>
    <row r="5933" spans="1:9" ht="14.25" customHeight="1" x14ac:dyDescent="0.3">
      <c r="A5933" s="10"/>
      <c r="C5933" s="8"/>
      <c r="D5933" s="9"/>
      <c r="E5933" s="9"/>
      <c r="F5933" s="9"/>
      <c r="G5933" s="9"/>
      <c r="H5933" s="9"/>
      <c r="I5933" s="9"/>
    </row>
    <row r="5934" spans="1:9" ht="14.25" customHeight="1" x14ac:dyDescent="0.3">
      <c r="A5934" s="10"/>
      <c r="C5934" s="8"/>
      <c r="D5934" s="9"/>
      <c r="E5934" s="9"/>
      <c r="F5934" s="9"/>
      <c r="G5934" s="9"/>
      <c r="H5934" s="9"/>
      <c r="I5934" s="9"/>
    </row>
    <row r="5935" spans="1:9" ht="14.25" customHeight="1" x14ac:dyDescent="0.3">
      <c r="A5935" s="10"/>
      <c r="C5935" s="8"/>
      <c r="D5935" s="9"/>
      <c r="E5935" s="9"/>
      <c r="F5935" s="9"/>
      <c r="G5935" s="9"/>
      <c r="H5935" s="9"/>
      <c r="I5935" s="9"/>
    </row>
    <row r="5936" spans="1:9" ht="14.25" customHeight="1" x14ac:dyDescent="0.3">
      <c r="A5936" s="10"/>
      <c r="C5936" s="8"/>
      <c r="D5936" s="9"/>
      <c r="E5936" s="9"/>
      <c r="F5936" s="9"/>
      <c r="G5936" s="9"/>
      <c r="H5936" s="9"/>
      <c r="I5936" s="9"/>
    </row>
    <row r="5937" spans="1:9" ht="14.25" customHeight="1" x14ac:dyDescent="0.3">
      <c r="A5937" s="10"/>
      <c r="C5937" s="8"/>
      <c r="D5937" s="9"/>
      <c r="E5937" s="9"/>
      <c r="F5937" s="9"/>
      <c r="G5937" s="9"/>
      <c r="H5937" s="9"/>
      <c r="I5937" s="9"/>
    </row>
    <row r="5938" spans="1:9" ht="14.25" customHeight="1" x14ac:dyDescent="0.3">
      <c r="A5938" s="10"/>
      <c r="C5938" s="8"/>
      <c r="D5938" s="9"/>
      <c r="E5938" s="9"/>
      <c r="F5938" s="9"/>
      <c r="G5938" s="9"/>
      <c r="H5938" s="9"/>
      <c r="I5938" s="9"/>
    </row>
    <row r="5939" spans="1:9" ht="14.25" customHeight="1" x14ac:dyDescent="0.3">
      <c r="A5939" s="10"/>
      <c r="C5939" s="8"/>
      <c r="D5939" s="9"/>
      <c r="E5939" s="9"/>
      <c r="F5939" s="9"/>
      <c r="G5939" s="9"/>
      <c r="H5939" s="9"/>
      <c r="I5939" s="9"/>
    </row>
    <row r="5940" spans="1:9" ht="14.25" customHeight="1" x14ac:dyDescent="0.3">
      <c r="A5940" s="10"/>
      <c r="C5940" s="8"/>
      <c r="D5940" s="9"/>
      <c r="E5940" s="9"/>
      <c r="F5940" s="9"/>
      <c r="G5940" s="9"/>
      <c r="H5940" s="9"/>
      <c r="I5940" s="9"/>
    </row>
    <row r="5941" spans="1:9" ht="14.25" customHeight="1" x14ac:dyDescent="0.3">
      <c r="A5941" s="10"/>
      <c r="C5941" s="8"/>
      <c r="D5941" s="9"/>
      <c r="E5941" s="9"/>
      <c r="F5941" s="9"/>
      <c r="G5941" s="9"/>
      <c r="H5941" s="9"/>
      <c r="I5941" s="9"/>
    </row>
    <row r="5942" spans="1:9" ht="14.25" customHeight="1" x14ac:dyDescent="0.3">
      <c r="A5942" s="10"/>
      <c r="C5942" s="8"/>
      <c r="D5942" s="9"/>
      <c r="E5942" s="9"/>
      <c r="F5942" s="9"/>
      <c r="G5942" s="9"/>
      <c r="H5942" s="9"/>
      <c r="I5942" s="9"/>
    </row>
    <row r="5943" spans="1:9" ht="14.25" customHeight="1" x14ac:dyDescent="0.3">
      <c r="A5943" s="10"/>
      <c r="C5943" s="8"/>
      <c r="D5943" s="9"/>
      <c r="E5943" s="9"/>
      <c r="F5943" s="9"/>
      <c r="G5943" s="9"/>
      <c r="H5943" s="9"/>
      <c r="I5943" s="9"/>
    </row>
    <row r="5944" spans="1:9" ht="14.25" customHeight="1" x14ac:dyDescent="0.3">
      <c r="A5944" s="10"/>
      <c r="C5944" s="8"/>
      <c r="D5944" s="9"/>
      <c r="E5944" s="9"/>
      <c r="F5944" s="9"/>
      <c r="G5944" s="9"/>
      <c r="H5944" s="9"/>
      <c r="I5944" s="9"/>
    </row>
    <row r="5945" spans="1:9" ht="14.25" customHeight="1" x14ac:dyDescent="0.3">
      <c r="A5945" s="10"/>
      <c r="C5945" s="8"/>
      <c r="D5945" s="9"/>
      <c r="E5945" s="9"/>
      <c r="F5945" s="9"/>
      <c r="G5945" s="9"/>
      <c r="H5945" s="9"/>
      <c r="I5945" s="9"/>
    </row>
    <row r="5946" spans="1:9" ht="14.25" customHeight="1" x14ac:dyDescent="0.3">
      <c r="A5946" s="10"/>
      <c r="C5946" s="8"/>
      <c r="D5946" s="9"/>
      <c r="E5946" s="9"/>
      <c r="F5946" s="9"/>
      <c r="G5946" s="9"/>
      <c r="H5946" s="9"/>
      <c r="I5946" s="9"/>
    </row>
    <row r="5947" spans="1:9" ht="14.25" customHeight="1" x14ac:dyDescent="0.3">
      <c r="A5947" s="10"/>
      <c r="C5947" s="8"/>
      <c r="D5947" s="9"/>
      <c r="E5947" s="9"/>
      <c r="F5947" s="9"/>
      <c r="G5947" s="9"/>
      <c r="H5947" s="9"/>
      <c r="I5947" s="9"/>
    </row>
    <row r="5948" spans="1:9" ht="14.25" customHeight="1" x14ac:dyDescent="0.3">
      <c r="A5948" s="10"/>
      <c r="C5948" s="8"/>
      <c r="D5948" s="9"/>
      <c r="E5948" s="9"/>
      <c r="F5948" s="9"/>
      <c r="G5948" s="9"/>
      <c r="H5948" s="9"/>
      <c r="I5948" s="9"/>
    </row>
    <row r="5949" spans="1:9" ht="14.25" customHeight="1" x14ac:dyDescent="0.3">
      <c r="A5949" s="10"/>
      <c r="C5949" s="8"/>
      <c r="D5949" s="9"/>
      <c r="E5949" s="9"/>
      <c r="F5949" s="9"/>
      <c r="G5949" s="9"/>
      <c r="H5949" s="9"/>
      <c r="I5949" s="9"/>
    </row>
    <row r="5950" spans="1:9" ht="14.25" customHeight="1" x14ac:dyDescent="0.3">
      <c r="A5950" s="10"/>
      <c r="C5950" s="8"/>
      <c r="D5950" s="9"/>
      <c r="E5950" s="9"/>
      <c r="F5950" s="9"/>
      <c r="G5950" s="9"/>
      <c r="H5950" s="9"/>
      <c r="I5950" s="9"/>
    </row>
    <row r="5951" spans="1:9" ht="14.25" customHeight="1" x14ac:dyDescent="0.3">
      <c r="A5951" s="10"/>
      <c r="C5951" s="8"/>
      <c r="D5951" s="9"/>
      <c r="E5951" s="9"/>
      <c r="F5951" s="9"/>
      <c r="G5951" s="9"/>
      <c r="H5951" s="9"/>
      <c r="I5951" s="9"/>
    </row>
    <row r="5952" spans="1:9" ht="14.25" customHeight="1" x14ac:dyDescent="0.3">
      <c r="A5952" s="10"/>
      <c r="C5952" s="8"/>
      <c r="D5952" s="9"/>
      <c r="E5952" s="9"/>
      <c r="F5952" s="9"/>
      <c r="G5952" s="9"/>
      <c r="H5952" s="9"/>
      <c r="I5952" s="9"/>
    </row>
    <row r="5953" spans="1:9" ht="14.25" customHeight="1" x14ac:dyDescent="0.3">
      <c r="A5953" s="10"/>
      <c r="C5953" s="8"/>
      <c r="D5953" s="9"/>
      <c r="E5953" s="9"/>
      <c r="F5953" s="9"/>
      <c r="G5953" s="9"/>
      <c r="H5953" s="9"/>
      <c r="I5953" s="9"/>
    </row>
    <row r="5954" spans="1:9" ht="14.25" customHeight="1" x14ac:dyDescent="0.3">
      <c r="A5954" s="10"/>
      <c r="C5954" s="8"/>
      <c r="D5954" s="9"/>
      <c r="E5954" s="9"/>
      <c r="F5954" s="9"/>
      <c r="G5954" s="9"/>
      <c r="H5954" s="9"/>
      <c r="I5954" s="9"/>
    </row>
    <row r="5955" spans="1:9" ht="14.25" customHeight="1" x14ac:dyDescent="0.3">
      <c r="A5955" s="10"/>
      <c r="C5955" s="8"/>
      <c r="D5955" s="9"/>
      <c r="E5955" s="9"/>
      <c r="F5955" s="9"/>
      <c r="G5955" s="9"/>
      <c r="H5955" s="9"/>
      <c r="I5955" s="9"/>
    </row>
    <row r="5956" spans="1:9" ht="14.25" customHeight="1" x14ac:dyDescent="0.3">
      <c r="A5956" s="10"/>
      <c r="C5956" s="8"/>
      <c r="D5956" s="9"/>
      <c r="E5956" s="9"/>
      <c r="F5956" s="9"/>
      <c r="G5956" s="9"/>
      <c r="H5956" s="9"/>
      <c r="I5956" s="9"/>
    </row>
    <row r="5957" spans="1:9" ht="14.25" customHeight="1" x14ac:dyDescent="0.3">
      <c r="A5957" s="10"/>
      <c r="C5957" s="8"/>
      <c r="D5957" s="9"/>
      <c r="E5957" s="9"/>
      <c r="F5957" s="9"/>
      <c r="G5957" s="9"/>
      <c r="H5957" s="9"/>
      <c r="I5957" s="9"/>
    </row>
    <row r="5958" spans="1:9" ht="14.25" customHeight="1" x14ac:dyDescent="0.3">
      <c r="A5958" s="10"/>
      <c r="C5958" s="8"/>
      <c r="D5958" s="9"/>
      <c r="E5958" s="9"/>
      <c r="F5958" s="9"/>
      <c r="G5958" s="9"/>
      <c r="H5958" s="9"/>
      <c r="I5958" s="9"/>
    </row>
    <row r="5959" spans="1:9" ht="14.25" customHeight="1" x14ac:dyDescent="0.3">
      <c r="A5959" s="10"/>
      <c r="C5959" s="8"/>
      <c r="D5959" s="9"/>
      <c r="E5959" s="9"/>
      <c r="F5959" s="9"/>
      <c r="G5959" s="9"/>
      <c r="H5959" s="9"/>
      <c r="I5959" s="9"/>
    </row>
    <row r="5960" spans="1:9" ht="14.25" customHeight="1" x14ac:dyDescent="0.3">
      <c r="A5960" s="10"/>
      <c r="C5960" s="8"/>
      <c r="D5960" s="9"/>
      <c r="E5960" s="9"/>
      <c r="F5960" s="9"/>
      <c r="G5960" s="9"/>
      <c r="H5960" s="9"/>
      <c r="I5960" s="9"/>
    </row>
    <row r="5961" spans="1:9" ht="14.25" customHeight="1" x14ac:dyDescent="0.3">
      <c r="A5961" s="10"/>
      <c r="C5961" s="8"/>
      <c r="D5961" s="9"/>
      <c r="E5961" s="9"/>
      <c r="F5961" s="9"/>
      <c r="G5961" s="9"/>
      <c r="H5961" s="9"/>
      <c r="I5961" s="9"/>
    </row>
    <row r="5962" spans="1:9" ht="14.25" customHeight="1" x14ac:dyDescent="0.3">
      <c r="A5962" s="10"/>
      <c r="C5962" s="8"/>
      <c r="D5962" s="9"/>
      <c r="E5962" s="9"/>
      <c r="F5962" s="9"/>
      <c r="G5962" s="9"/>
      <c r="H5962" s="9"/>
      <c r="I5962" s="9"/>
    </row>
    <row r="5963" spans="1:9" ht="14.25" customHeight="1" x14ac:dyDescent="0.3">
      <c r="A5963" s="10"/>
      <c r="C5963" s="8"/>
      <c r="D5963" s="9"/>
      <c r="E5963" s="9"/>
      <c r="F5963" s="9"/>
      <c r="G5963" s="9"/>
      <c r="H5963" s="9"/>
      <c r="I5963" s="9"/>
    </row>
    <row r="5964" spans="1:9" ht="14.25" customHeight="1" x14ac:dyDescent="0.3">
      <c r="A5964" s="10"/>
      <c r="C5964" s="8"/>
      <c r="D5964" s="9"/>
      <c r="E5964" s="9"/>
      <c r="F5964" s="9"/>
      <c r="G5964" s="9"/>
      <c r="H5964" s="9"/>
      <c r="I5964" s="9"/>
    </row>
    <row r="5965" spans="1:9" ht="14.25" customHeight="1" x14ac:dyDescent="0.3">
      <c r="A5965" s="10"/>
      <c r="C5965" s="8"/>
      <c r="D5965" s="9"/>
      <c r="E5965" s="9"/>
      <c r="F5965" s="9"/>
      <c r="G5965" s="9"/>
      <c r="H5965" s="9"/>
      <c r="I5965" s="9"/>
    </row>
    <row r="5966" spans="1:9" ht="14.25" customHeight="1" x14ac:dyDescent="0.3">
      <c r="A5966" s="10"/>
      <c r="C5966" s="8"/>
      <c r="D5966" s="9"/>
      <c r="E5966" s="9"/>
      <c r="F5966" s="9"/>
      <c r="G5966" s="9"/>
      <c r="H5966" s="9"/>
      <c r="I5966" s="9"/>
    </row>
    <row r="5967" spans="1:9" ht="14.25" customHeight="1" x14ac:dyDescent="0.3">
      <c r="A5967" s="10"/>
      <c r="C5967" s="8"/>
      <c r="D5967" s="9"/>
      <c r="E5967" s="9"/>
      <c r="F5967" s="9"/>
      <c r="G5967" s="9"/>
      <c r="H5967" s="9"/>
      <c r="I5967" s="9"/>
    </row>
    <row r="5968" spans="1:9" ht="14.25" customHeight="1" x14ac:dyDescent="0.3">
      <c r="A5968" s="10"/>
      <c r="C5968" s="8"/>
      <c r="D5968" s="9"/>
      <c r="E5968" s="9"/>
      <c r="F5968" s="9"/>
      <c r="G5968" s="9"/>
      <c r="H5968" s="9"/>
      <c r="I5968" s="9"/>
    </row>
    <row r="5969" spans="1:9" ht="14.25" customHeight="1" x14ac:dyDescent="0.3">
      <c r="A5969" s="10"/>
      <c r="C5969" s="8"/>
      <c r="D5969" s="9"/>
      <c r="E5969" s="9"/>
      <c r="F5969" s="9"/>
      <c r="G5969" s="9"/>
      <c r="H5969" s="9"/>
      <c r="I5969" s="9"/>
    </row>
    <row r="5970" spans="1:9" ht="14.25" customHeight="1" x14ac:dyDescent="0.3">
      <c r="A5970" s="10"/>
      <c r="C5970" s="8"/>
      <c r="D5970" s="9"/>
      <c r="E5970" s="9"/>
      <c r="F5970" s="9"/>
      <c r="G5970" s="9"/>
      <c r="H5970" s="9"/>
      <c r="I5970" s="9"/>
    </row>
    <row r="5971" spans="1:9" ht="14.25" customHeight="1" x14ac:dyDescent="0.3">
      <c r="A5971" s="10"/>
      <c r="C5971" s="8"/>
      <c r="D5971" s="9"/>
      <c r="E5971" s="9"/>
      <c r="F5971" s="9"/>
      <c r="G5971" s="9"/>
      <c r="H5971" s="9"/>
      <c r="I5971" s="9"/>
    </row>
    <row r="5972" spans="1:9" ht="14.25" customHeight="1" x14ac:dyDescent="0.3">
      <c r="A5972" s="10"/>
      <c r="C5972" s="8"/>
      <c r="D5972" s="9"/>
      <c r="E5972" s="9"/>
      <c r="F5972" s="9"/>
      <c r="G5972" s="9"/>
      <c r="H5972" s="9"/>
      <c r="I5972" s="9"/>
    </row>
    <row r="5973" spans="1:9" ht="14.25" customHeight="1" x14ac:dyDescent="0.3">
      <c r="A5973" s="10"/>
      <c r="C5973" s="8"/>
      <c r="D5973" s="9"/>
      <c r="E5973" s="9"/>
      <c r="F5973" s="9"/>
      <c r="G5973" s="9"/>
      <c r="H5973" s="9"/>
      <c r="I5973" s="9"/>
    </row>
    <row r="5974" spans="1:9" ht="14.25" customHeight="1" x14ac:dyDescent="0.3">
      <c r="A5974" s="10"/>
      <c r="C5974" s="8"/>
      <c r="D5974" s="9"/>
      <c r="E5974" s="9"/>
      <c r="F5974" s="9"/>
      <c r="G5974" s="9"/>
      <c r="H5974" s="9"/>
      <c r="I5974" s="9"/>
    </row>
    <row r="5975" spans="1:9" ht="14.25" customHeight="1" x14ac:dyDescent="0.3">
      <c r="A5975" s="10"/>
      <c r="C5975" s="8"/>
      <c r="D5975" s="9"/>
      <c r="E5975" s="9"/>
      <c r="F5975" s="9"/>
      <c r="G5975" s="9"/>
      <c r="H5975" s="9"/>
      <c r="I5975" s="9"/>
    </row>
    <row r="5976" spans="1:9" ht="14.25" customHeight="1" x14ac:dyDescent="0.3">
      <c r="A5976" s="10"/>
      <c r="C5976" s="8"/>
      <c r="D5976" s="9"/>
      <c r="E5976" s="9"/>
      <c r="F5976" s="9"/>
      <c r="G5976" s="9"/>
      <c r="H5976" s="9"/>
      <c r="I5976" s="9"/>
    </row>
    <row r="5977" spans="1:9" ht="14.25" customHeight="1" x14ac:dyDescent="0.3">
      <c r="A5977" s="10"/>
      <c r="C5977" s="8"/>
      <c r="D5977" s="9"/>
      <c r="E5977" s="9"/>
      <c r="F5977" s="9"/>
      <c r="G5977" s="9"/>
      <c r="H5977" s="9"/>
      <c r="I5977" s="9"/>
    </row>
    <row r="5978" spans="1:9" ht="14.25" customHeight="1" x14ac:dyDescent="0.3">
      <c r="A5978" s="10"/>
      <c r="C5978" s="8"/>
      <c r="D5978" s="9"/>
      <c r="E5978" s="9"/>
      <c r="F5978" s="9"/>
      <c r="G5978" s="9"/>
      <c r="H5978" s="9"/>
      <c r="I5978" s="9"/>
    </row>
    <row r="5979" spans="1:9" ht="14.25" customHeight="1" x14ac:dyDescent="0.3">
      <c r="A5979" s="10"/>
      <c r="C5979" s="8"/>
      <c r="D5979" s="9"/>
      <c r="E5979" s="9"/>
      <c r="F5979" s="9"/>
      <c r="G5979" s="9"/>
      <c r="H5979" s="9"/>
      <c r="I5979" s="9"/>
    </row>
    <row r="5980" spans="1:9" ht="14.25" customHeight="1" x14ac:dyDescent="0.3">
      <c r="A5980" s="10"/>
      <c r="C5980" s="8"/>
      <c r="D5980" s="9"/>
      <c r="E5980" s="9"/>
      <c r="F5980" s="9"/>
      <c r="G5980" s="9"/>
      <c r="H5980" s="9"/>
      <c r="I5980" s="9"/>
    </row>
    <row r="5981" spans="1:9" ht="14.25" customHeight="1" x14ac:dyDescent="0.3">
      <c r="A5981" s="10"/>
      <c r="C5981" s="8"/>
      <c r="D5981" s="9"/>
      <c r="E5981" s="9"/>
      <c r="F5981" s="9"/>
      <c r="G5981" s="9"/>
      <c r="H5981" s="9"/>
      <c r="I5981" s="9"/>
    </row>
    <row r="5982" spans="1:9" ht="14.25" customHeight="1" x14ac:dyDescent="0.3">
      <c r="A5982" s="10"/>
      <c r="C5982" s="8"/>
      <c r="D5982" s="9"/>
      <c r="E5982" s="9"/>
      <c r="F5982" s="9"/>
      <c r="G5982" s="9"/>
      <c r="H5982" s="9"/>
      <c r="I5982" s="9"/>
    </row>
    <row r="5983" spans="1:9" ht="14.25" customHeight="1" x14ac:dyDescent="0.3">
      <c r="A5983" s="10"/>
      <c r="C5983" s="8"/>
      <c r="D5983" s="9"/>
      <c r="E5983" s="9"/>
      <c r="F5983" s="9"/>
      <c r="G5983" s="9"/>
      <c r="H5983" s="9"/>
      <c r="I5983" s="9"/>
    </row>
    <row r="5984" spans="1:9" ht="14.25" customHeight="1" x14ac:dyDescent="0.3">
      <c r="A5984" s="10"/>
      <c r="C5984" s="8"/>
      <c r="D5984" s="9"/>
      <c r="E5984" s="9"/>
      <c r="F5984" s="9"/>
      <c r="G5984" s="9"/>
      <c r="H5984" s="9"/>
      <c r="I5984" s="9"/>
    </row>
    <row r="5985" spans="1:9" ht="14.25" customHeight="1" x14ac:dyDescent="0.3">
      <c r="A5985" s="10"/>
      <c r="C5985" s="8"/>
      <c r="D5985" s="9"/>
      <c r="E5985" s="9"/>
      <c r="F5985" s="9"/>
      <c r="G5985" s="9"/>
      <c r="H5985" s="9"/>
      <c r="I5985" s="9"/>
    </row>
    <row r="5986" spans="1:9" ht="14.25" customHeight="1" x14ac:dyDescent="0.3">
      <c r="A5986" s="10"/>
      <c r="C5986" s="8"/>
      <c r="D5986" s="9"/>
      <c r="E5986" s="9"/>
      <c r="F5986" s="9"/>
      <c r="G5986" s="9"/>
      <c r="H5986" s="9"/>
      <c r="I5986" s="9"/>
    </row>
    <row r="5987" spans="1:9" ht="14.25" customHeight="1" x14ac:dyDescent="0.3">
      <c r="A5987" s="10"/>
      <c r="C5987" s="8"/>
      <c r="D5987" s="9"/>
      <c r="E5987" s="9"/>
      <c r="F5987" s="9"/>
      <c r="G5987" s="9"/>
      <c r="H5987" s="9"/>
      <c r="I5987" s="9"/>
    </row>
    <row r="5988" spans="1:9" ht="14.25" customHeight="1" x14ac:dyDescent="0.3">
      <c r="A5988" s="10"/>
      <c r="C5988" s="8"/>
      <c r="D5988" s="9"/>
      <c r="E5988" s="9"/>
      <c r="F5988" s="9"/>
      <c r="G5988" s="9"/>
      <c r="H5988" s="9"/>
      <c r="I5988" s="9"/>
    </row>
    <row r="5989" spans="1:9" ht="14.25" customHeight="1" x14ac:dyDescent="0.3">
      <c r="A5989" s="10"/>
      <c r="C5989" s="8"/>
      <c r="D5989" s="9"/>
      <c r="E5989" s="9"/>
      <c r="F5989" s="9"/>
      <c r="G5989" s="9"/>
      <c r="H5989" s="9"/>
      <c r="I5989" s="9"/>
    </row>
    <row r="5990" spans="1:9" ht="14.25" customHeight="1" x14ac:dyDescent="0.3">
      <c r="A5990" s="10"/>
      <c r="C5990" s="8"/>
      <c r="D5990" s="9"/>
      <c r="E5990" s="9"/>
      <c r="F5990" s="9"/>
      <c r="G5990" s="9"/>
      <c r="H5990" s="9"/>
      <c r="I5990" s="9"/>
    </row>
    <row r="5991" spans="1:9" ht="14.25" customHeight="1" x14ac:dyDescent="0.3">
      <c r="A5991" s="10"/>
      <c r="C5991" s="8"/>
      <c r="D5991" s="9"/>
      <c r="E5991" s="9"/>
      <c r="F5991" s="9"/>
      <c r="G5991" s="9"/>
      <c r="H5991" s="9"/>
      <c r="I5991" s="9"/>
    </row>
    <row r="5992" spans="1:9" ht="14.25" customHeight="1" x14ac:dyDescent="0.3">
      <c r="A5992" s="10"/>
      <c r="C5992" s="8"/>
      <c r="D5992" s="9"/>
      <c r="E5992" s="9"/>
      <c r="F5992" s="9"/>
      <c r="G5992" s="9"/>
      <c r="H5992" s="9"/>
      <c r="I5992" s="9"/>
    </row>
    <row r="5993" spans="1:9" ht="14.25" customHeight="1" x14ac:dyDescent="0.3">
      <c r="A5993" s="10"/>
      <c r="C5993" s="8"/>
      <c r="D5993" s="9"/>
      <c r="E5993" s="9"/>
      <c r="F5993" s="9"/>
      <c r="G5993" s="9"/>
      <c r="H5993" s="9"/>
      <c r="I5993" s="9"/>
    </row>
    <row r="5994" spans="1:9" ht="14.25" customHeight="1" x14ac:dyDescent="0.3">
      <c r="A5994" s="10"/>
      <c r="C5994" s="8"/>
      <c r="D5994" s="9"/>
      <c r="E5994" s="9"/>
      <c r="F5994" s="9"/>
      <c r="G5994" s="9"/>
      <c r="H5994" s="9"/>
      <c r="I5994" s="9"/>
    </row>
    <row r="5995" spans="1:9" ht="14.25" customHeight="1" x14ac:dyDescent="0.3">
      <c r="A5995" s="10"/>
      <c r="C5995" s="8"/>
      <c r="D5995" s="9"/>
      <c r="E5995" s="9"/>
      <c r="F5995" s="9"/>
      <c r="G5995" s="9"/>
      <c r="H5995" s="9"/>
      <c r="I5995" s="9"/>
    </row>
    <row r="5996" spans="1:9" ht="14.25" customHeight="1" x14ac:dyDescent="0.3">
      <c r="A5996" s="10"/>
      <c r="C5996" s="8"/>
      <c r="D5996" s="9"/>
      <c r="E5996" s="9"/>
      <c r="F5996" s="9"/>
      <c r="G5996" s="9"/>
      <c r="H5996" s="9"/>
      <c r="I5996" s="9"/>
    </row>
    <row r="5997" spans="1:9" ht="14.25" customHeight="1" x14ac:dyDescent="0.3">
      <c r="A5997" s="10"/>
      <c r="C5997" s="8"/>
      <c r="D5997" s="9"/>
      <c r="E5997" s="9"/>
      <c r="F5997" s="9"/>
      <c r="G5997" s="9"/>
      <c r="H5997" s="9"/>
      <c r="I5997" s="9"/>
    </row>
    <row r="5998" spans="1:9" ht="14.25" customHeight="1" x14ac:dyDescent="0.3">
      <c r="A5998" s="10"/>
      <c r="C5998" s="8"/>
      <c r="D5998" s="9"/>
      <c r="E5998" s="9"/>
      <c r="F5998" s="9"/>
      <c r="G5998" s="9"/>
      <c r="H5998" s="9"/>
      <c r="I5998" s="9"/>
    </row>
    <row r="5999" spans="1:9" ht="14.25" customHeight="1" x14ac:dyDescent="0.3">
      <c r="A5999" s="10"/>
      <c r="C5999" s="8"/>
      <c r="D5999" s="9"/>
      <c r="E5999" s="9"/>
      <c r="F5999" s="9"/>
      <c r="G5999" s="9"/>
      <c r="H5999" s="9"/>
      <c r="I5999" s="9"/>
    </row>
    <row r="6000" spans="1:9" ht="14.25" customHeight="1" x14ac:dyDescent="0.3">
      <c r="A6000" s="10"/>
      <c r="C6000" s="8"/>
      <c r="D6000" s="9"/>
      <c r="E6000" s="9"/>
      <c r="F6000" s="9"/>
      <c r="G6000" s="9"/>
      <c r="H6000" s="9"/>
      <c r="I6000" s="9"/>
    </row>
    <row r="6001" spans="1:9" ht="14.25" customHeight="1" x14ac:dyDescent="0.3">
      <c r="A6001" s="10"/>
      <c r="C6001" s="8"/>
      <c r="D6001" s="9"/>
      <c r="E6001" s="9"/>
      <c r="F6001" s="9"/>
      <c r="G6001" s="9"/>
      <c r="H6001" s="9"/>
      <c r="I6001" s="9"/>
    </row>
    <row r="6002" spans="1:9" ht="14.25" customHeight="1" x14ac:dyDescent="0.3">
      <c r="A6002" s="10"/>
      <c r="C6002" s="8"/>
      <c r="D6002" s="9"/>
      <c r="E6002" s="9"/>
      <c r="F6002" s="9"/>
      <c r="G6002" s="9"/>
      <c r="H6002" s="9"/>
      <c r="I6002" s="9"/>
    </row>
    <row r="6003" spans="1:9" ht="14.25" customHeight="1" x14ac:dyDescent="0.3">
      <c r="A6003" s="10"/>
      <c r="C6003" s="8"/>
      <c r="D6003" s="9"/>
      <c r="E6003" s="9"/>
      <c r="F6003" s="9"/>
      <c r="G6003" s="9"/>
      <c r="H6003" s="9"/>
      <c r="I6003" s="9"/>
    </row>
    <row r="6004" spans="1:9" ht="14.25" customHeight="1" x14ac:dyDescent="0.3">
      <c r="A6004" s="10"/>
      <c r="C6004" s="8"/>
      <c r="D6004" s="9"/>
      <c r="E6004" s="9"/>
      <c r="F6004" s="9"/>
      <c r="G6004" s="9"/>
      <c r="H6004" s="9"/>
      <c r="I6004" s="9"/>
    </row>
    <row r="6005" spans="1:9" ht="14.25" customHeight="1" x14ac:dyDescent="0.3">
      <c r="A6005" s="10"/>
      <c r="C6005" s="8"/>
      <c r="D6005" s="9"/>
      <c r="E6005" s="9"/>
      <c r="F6005" s="9"/>
      <c r="G6005" s="9"/>
      <c r="H6005" s="9"/>
      <c r="I6005" s="9"/>
    </row>
    <row r="6006" spans="1:9" ht="14.25" customHeight="1" x14ac:dyDescent="0.3">
      <c r="A6006" s="10"/>
      <c r="C6006" s="8"/>
      <c r="D6006" s="9"/>
      <c r="E6006" s="9"/>
      <c r="F6006" s="9"/>
      <c r="G6006" s="9"/>
      <c r="H6006" s="9"/>
      <c r="I6006" s="9"/>
    </row>
    <row r="6007" spans="1:9" ht="14.25" customHeight="1" x14ac:dyDescent="0.3">
      <c r="A6007" s="10"/>
      <c r="C6007" s="8"/>
      <c r="D6007" s="9"/>
      <c r="E6007" s="9"/>
      <c r="F6007" s="9"/>
      <c r="G6007" s="9"/>
      <c r="H6007" s="9"/>
      <c r="I6007" s="9"/>
    </row>
    <row r="6008" spans="1:9" ht="14.25" customHeight="1" x14ac:dyDescent="0.3">
      <c r="A6008" s="10"/>
      <c r="C6008" s="8"/>
      <c r="D6008" s="9"/>
      <c r="E6008" s="9"/>
      <c r="F6008" s="9"/>
      <c r="G6008" s="9"/>
      <c r="H6008" s="9"/>
      <c r="I6008" s="9"/>
    </row>
    <row r="6009" spans="1:9" ht="14.25" customHeight="1" x14ac:dyDescent="0.3">
      <c r="A6009" s="10"/>
      <c r="C6009" s="8"/>
      <c r="D6009" s="9"/>
      <c r="E6009" s="9"/>
      <c r="F6009" s="9"/>
      <c r="G6009" s="9"/>
      <c r="H6009" s="9"/>
      <c r="I6009" s="9"/>
    </row>
    <row r="6010" spans="1:9" ht="14.25" customHeight="1" x14ac:dyDescent="0.3">
      <c r="A6010" s="10"/>
      <c r="C6010" s="8"/>
      <c r="D6010" s="9"/>
      <c r="E6010" s="9"/>
      <c r="F6010" s="9"/>
      <c r="G6010" s="9"/>
      <c r="H6010" s="9"/>
      <c r="I6010" s="9"/>
    </row>
    <row r="6011" spans="1:9" ht="14.25" customHeight="1" x14ac:dyDescent="0.3">
      <c r="A6011" s="10"/>
      <c r="C6011" s="8"/>
      <c r="D6011" s="9"/>
      <c r="E6011" s="9"/>
      <c r="F6011" s="9"/>
      <c r="G6011" s="9"/>
      <c r="H6011" s="9"/>
      <c r="I6011" s="9"/>
    </row>
    <row r="6012" spans="1:9" ht="14.25" customHeight="1" x14ac:dyDescent="0.3">
      <c r="A6012" s="10"/>
      <c r="C6012" s="8"/>
      <c r="D6012" s="9"/>
      <c r="E6012" s="9"/>
      <c r="F6012" s="9"/>
      <c r="G6012" s="9"/>
      <c r="H6012" s="9"/>
      <c r="I6012" s="9"/>
    </row>
    <row r="6013" spans="1:9" ht="14.25" customHeight="1" x14ac:dyDescent="0.3">
      <c r="A6013" s="10"/>
      <c r="C6013" s="8"/>
      <c r="D6013" s="9"/>
      <c r="E6013" s="9"/>
      <c r="F6013" s="9"/>
      <c r="G6013" s="9"/>
      <c r="H6013" s="9"/>
      <c r="I6013" s="9"/>
    </row>
    <row r="6014" spans="1:9" ht="14.25" customHeight="1" x14ac:dyDescent="0.3">
      <c r="A6014" s="10"/>
      <c r="C6014" s="8"/>
      <c r="D6014" s="9"/>
      <c r="E6014" s="9"/>
      <c r="F6014" s="9"/>
      <c r="G6014" s="9"/>
      <c r="H6014" s="9"/>
      <c r="I6014" s="9"/>
    </row>
    <row r="6015" spans="1:9" ht="14.25" customHeight="1" x14ac:dyDescent="0.3">
      <c r="A6015" s="10"/>
      <c r="C6015" s="8"/>
      <c r="D6015" s="9"/>
      <c r="E6015" s="9"/>
      <c r="F6015" s="9"/>
      <c r="G6015" s="9"/>
      <c r="H6015" s="9"/>
      <c r="I6015" s="9"/>
    </row>
    <row r="6016" spans="1:9" ht="14.25" customHeight="1" x14ac:dyDescent="0.3">
      <c r="A6016" s="10"/>
      <c r="C6016" s="8"/>
      <c r="D6016" s="9"/>
      <c r="E6016" s="9"/>
      <c r="F6016" s="9"/>
      <c r="G6016" s="9"/>
      <c r="H6016" s="9"/>
      <c r="I6016" s="9"/>
    </row>
    <row r="6017" spans="1:9" ht="14.25" customHeight="1" x14ac:dyDescent="0.3">
      <c r="A6017" s="10"/>
      <c r="C6017" s="8"/>
      <c r="D6017" s="9"/>
      <c r="E6017" s="9"/>
      <c r="F6017" s="9"/>
      <c r="G6017" s="9"/>
      <c r="H6017" s="9"/>
      <c r="I6017" s="9"/>
    </row>
    <row r="6018" spans="1:9" ht="14.25" customHeight="1" x14ac:dyDescent="0.3">
      <c r="A6018" s="10"/>
      <c r="C6018" s="8"/>
      <c r="D6018" s="9"/>
      <c r="E6018" s="9"/>
      <c r="F6018" s="9"/>
      <c r="G6018" s="9"/>
      <c r="H6018" s="9"/>
      <c r="I6018" s="9"/>
    </row>
    <row r="6019" spans="1:9" ht="14.25" customHeight="1" x14ac:dyDescent="0.3">
      <c r="A6019" s="10"/>
      <c r="C6019" s="8"/>
      <c r="D6019" s="9"/>
      <c r="E6019" s="9"/>
      <c r="F6019" s="9"/>
      <c r="G6019" s="9"/>
      <c r="H6019" s="9"/>
      <c r="I6019" s="9"/>
    </row>
    <row r="6020" spans="1:9" ht="14.25" customHeight="1" x14ac:dyDescent="0.3">
      <c r="A6020" s="10"/>
      <c r="C6020" s="8"/>
      <c r="D6020" s="9"/>
      <c r="E6020" s="9"/>
      <c r="F6020" s="9"/>
      <c r="G6020" s="9"/>
      <c r="H6020" s="9"/>
      <c r="I6020" s="9"/>
    </row>
    <row r="6021" spans="1:9" ht="14.25" customHeight="1" x14ac:dyDescent="0.3">
      <c r="A6021" s="10"/>
      <c r="C6021" s="8"/>
      <c r="D6021" s="9"/>
      <c r="E6021" s="9"/>
      <c r="F6021" s="9"/>
      <c r="G6021" s="9"/>
      <c r="H6021" s="9"/>
      <c r="I6021" s="9"/>
    </row>
    <row r="6022" spans="1:9" ht="14.25" customHeight="1" x14ac:dyDescent="0.3">
      <c r="A6022" s="10"/>
      <c r="C6022" s="8"/>
      <c r="D6022" s="9"/>
      <c r="E6022" s="9"/>
      <c r="F6022" s="9"/>
      <c r="G6022" s="9"/>
      <c r="H6022" s="9"/>
      <c r="I6022" s="9"/>
    </row>
    <row r="6023" spans="1:9" ht="14.25" customHeight="1" x14ac:dyDescent="0.3">
      <c r="A6023" s="10"/>
      <c r="C6023" s="8"/>
      <c r="D6023" s="9"/>
      <c r="E6023" s="9"/>
      <c r="F6023" s="9"/>
      <c r="G6023" s="9"/>
      <c r="H6023" s="9"/>
      <c r="I6023" s="9"/>
    </row>
    <row r="6024" spans="1:9" ht="14.25" customHeight="1" x14ac:dyDescent="0.3">
      <c r="A6024" s="10"/>
      <c r="C6024" s="8"/>
      <c r="D6024" s="9"/>
      <c r="E6024" s="9"/>
      <c r="F6024" s="9"/>
      <c r="G6024" s="9"/>
      <c r="H6024" s="9"/>
      <c r="I6024" s="9"/>
    </row>
    <row r="6025" spans="1:9" ht="14.25" customHeight="1" x14ac:dyDescent="0.3">
      <c r="A6025" s="10"/>
      <c r="C6025" s="8"/>
      <c r="D6025" s="9"/>
      <c r="E6025" s="9"/>
      <c r="F6025" s="9"/>
      <c r="G6025" s="9"/>
      <c r="H6025" s="9"/>
      <c r="I6025" s="9"/>
    </row>
    <row r="6026" spans="1:9" ht="14.25" customHeight="1" x14ac:dyDescent="0.3">
      <c r="A6026" s="10"/>
      <c r="C6026" s="8"/>
      <c r="D6026" s="9"/>
      <c r="E6026" s="9"/>
      <c r="F6026" s="9"/>
      <c r="G6026" s="9"/>
      <c r="H6026" s="9"/>
      <c r="I6026" s="9"/>
    </row>
    <row r="6027" spans="1:9" ht="14.25" customHeight="1" x14ac:dyDescent="0.3">
      <c r="A6027" s="10"/>
      <c r="C6027" s="8"/>
      <c r="D6027" s="9"/>
      <c r="E6027" s="9"/>
      <c r="F6027" s="9"/>
      <c r="G6027" s="9"/>
      <c r="H6027" s="9"/>
      <c r="I6027" s="9"/>
    </row>
    <row r="6028" spans="1:9" ht="14.25" customHeight="1" x14ac:dyDescent="0.3">
      <c r="A6028" s="10"/>
      <c r="C6028" s="8"/>
      <c r="D6028" s="9"/>
      <c r="E6028" s="9"/>
      <c r="F6028" s="9"/>
      <c r="G6028" s="9"/>
      <c r="H6028" s="9"/>
      <c r="I6028" s="9"/>
    </row>
    <row r="6029" spans="1:9" ht="14.25" customHeight="1" x14ac:dyDescent="0.3">
      <c r="A6029" s="10"/>
      <c r="C6029" s="8"/>
      <c r="D6029" s="9"/>
      <c r="E6029" s="9"/>
      <c r="F6029" s="9"/>
      <c r="G6029" s="9"/>
      <c r="H6029" s="9"/>
      <c r="I6029" s="9"/>
    </row>
    <row r="6030" spans="1:9" ht="14.25" customHeight="1" x14ac:dyDescent="0.3">
      <c r="A6030" s="10"/>
      <c r="C6030" s="8"/>
      <c r="D6030" s="9"/>
      <c r="E6030" s="9"/>
      <c r="F6030" s="9"/>
      <c r="G6030" s="9"/>
      <c r="H6030" s="9"/>
      <c r="I6030" s="9"/>
    </row>
    <row r="6031" spans="1:9" ht="14.25" customHeight="1" x14ac:dyDescent="0.3">
      <c r="A6031" s="10"/>
      <c r="C6031" s="8"/>
      <c r="D6031" s="9"/>
      <c r="E6031" s="9"/>
      <c r="F6031" s="9"/>
      <c r="G6031" s="9"/>
      <c r="H6031" s="9"/>
      <c r="I6031" s="9"/>
    </row>
    <row r="6032" spans="1:9" ht="14.25" customHeight="1" x14ac:dyDescent="0.3">
      <c r="A6032" s="10"/>
      <c r="C6032" s="8"/>
      <c r="D6032" s="9"/>
      <c r="E6032" s="9"/>
      <c r="F6032" s="9"/>
      <c r="G6032" s="9"/>
      <c r="H6032" s="9"/>
      <c r="I6032" s="9"/>
    </row>
    <row r="6033" spans="1:9" ht="14.25" customHeight="1" x14ac:dyDescent="0.3">
      <c r="A6033" s="10"/>
      <c r="C6033" s="8"/>
      <c r="D6033" s="9"/>
      <c r="E6033" s="9"/>
      <c r="F6033" s="9"/>
      <c r="G6033" s="9"/>
      <c r="H6033" s="9"/>
      <c r="I6033" s="9"/>
    </row>
    <row r="6034" spans="1:9" ht="14.25" customHeight="1" x14ac:dyDescent="0.3">
      <c r="A6034" s="10"/>
      <c r="C6034" s="8"/>
      <c r="D6034" s="9"/>
      <c r="E6034" s="9"/>
      <c r="F6034" s="9"/>
      <c r="G6034" s="9"/>
      <c r="H6034" s="9"/>
      <c r="I6034" s="9"/>
    </row>
    <row r="6035" spans="1:9" ht="14.25" customHeight="1" x14ac:dyDescent="0.3">
      <c r="A6035" s="10"/>
      <c r="C6035" s="8"/>
      <c r="D6035" s="9"/>
      <c r="E6035" s="9"/>
      <c r="F6035" s="9"/>
      <c r="G6035" s="9"/>
      <c r="H6035" s="9"/>
      <c r="I6035" s="9"/>
    </row>
    <row r="6036" spans="1:9" ht="14.25" customHeight="1" x14ac:dyDescent="0.3">
      <c r="A6036" s="10"/>
      <c r="C6036" s="8"/>
      <c r="D6036" s="9"/>
      <c r="E6036" s="9"/>
      <c r="F6036" s="9"/>
      <c r="G6036" s="9"/>
      <c r="H6036" s="9"/>
      <c r="I6036" s="9"/>
    </row>
    <row r="6037" spans="1:9" ht="14.25" customHeight="1" x14ac:dyDescent="0.3">
      <c r="A6037" s="10"/>
      <c r="C6037" s="8"/>
      <c r="D6037" s="9"/>
      <c r="E6037" s="9"/>
      <c r="F6037" s="9"/>
      <c r="G6037" s="9"/>
      <c r="H6037" s="9"/>
      <c r="I6037" s="9"/>
    </row>
    <row r="6038" spans="1:9" ht="14.25" customHeight="1" x14ac:dyDescent="0.3">
      <c r="A6038" s="10"/>
      <c r="C6038" s="8"/>
      <c r="D6038" s="9"/>
      <c r="E6038" s="9"/>
      <c r="F6038" s="9"/>
      <c r="G6038" s="9"/>
      <c r="H6038" s="9"/>
      <c r="I6038" s="9"/>
    </row>
    <row r="6039" spans="1:9" ht="14.25" customHeight="1" x14ac:dyDescent="0.3">
      <c r="A6039" s="10"/>
      <c r="C6039" s="8"/>
      <c r="D6039" s="9"/>
      <c r="E6039" s="9"/>
      <c r="F6039" s="9"/>
      <c r="G6039" s="9"/>
      <c r="H6039" s="9"/>
      <c r="I6039" s="9"/>
    </row>
    <row r="6040" spans="1:9" ht="14.25" customHeight="1" x14ac:dyDescent="0.3">
      <c r="A6040" s="10"/>
      <c r="C6040" s="8"/>
      <c r="D6040" s="9"/>
      <c r="E6040" s="9"/>
      <c r="F6040" s="9"/>
      <c r="G6040" s="9"/>
      <c r="H6040" s="9"/>
      <c r="I6040" s="9"/>
    </row>
    <row r="6041" spans="1:9" ht="14.25" customHeight="1" x14ac:dyDescent="0.3">
      <c r="A6041" s="10"/>
      <c r="C6041" s="8"/>
      <c r="D6041" s="9"/>
      <c r="E6041" s="9"/>
      <c r="F6041" s="9"/>
      <c r="G6041" s="9"/>
      <c r="H6041" s="9"/>
      <c r="I6041" s="9"/>
    </row>
    <row r="6042" spans="1:9" ht="14.25" customHeight="1" x14ac:dyDescent="0.3">
      <c r="A6042" s="10"/>
      <c r="C6042" s="8"/>
      <c r="D6042" s="9"/>
      <c r="E6042" s="9"/>
      <c r="F6042" s="9"/>
      <c r="G6042" s="9"/>
      <c r="H6042" s="9"/>
      <c r="I6042" s="9"/>
    </row>
    <row r="6043" spans="1:9" ht="14.25" customHeight="1" x14ac:dyDescent="0.3">
      <c r="A6043" s="10"/>
      <c r="C6043" s="8"/>
      <c r="D6043" s="9"/>
      <c r="E6043" s="9"/>
      <c r="F6043" s="9"/>
      <c r="G6043" s="9"/>
      <c r="H6043" s="9"/>
      <c r="I6043" s="9"/>
    </row>
    <row r="6044" spans="1:9" ht="14.25" customHeight="1" x14ac:dyDescent="0.3">
      <c r="A6044" s="10"/>
      <c r="C6044" s="8"/>
      <c r="D6044" s="9"/>
      <c r="E6044" s="9"/>
      <c r="F6044" s="9"/>
      <c r="G6044" s="9"/>
      <c r="H6044" s="9"/>
      <c r="I6044" s="9"/>
    </row>
    <row r="6045" spans="1:9" ht="14.25" customHeight="1" x14ac:dyDescent="0.3">
      <c r="A6045" s="10"/>
      <c r="C6045" s="8"/>
      <c r="D6045" s="9"/>
      <c r="E6045" s="9"/>
      <c r="F6045" s="9"/>
      <c r="G6045" s="9"/>
      <c r="H6045" s="9"/>
      <c r="I6045" s="9"/>
    </row>
    <row r="6046" spans="1:9" ht="14.25" customHeight="1" x14ac:dyDescent="0.3">
      <c r="A6046" s="10"/>
      <c r="C6046" s="8"/>
      <c r="D6046" s="9"/>
      <c r="E6046" s="9"/>
      <c r="F6046" s="9"/>
      <c r="G6046" s="9"/>
      <c r="H6046" s="9"/>
      <c r="I6046" s="9"/>
    </row>
    <row r="6047" spans="1:9" ht="14.25" customHeight="1" x14ac:dyDescent="0.3">
      <c r="A6047" s="10"/>
      <c r="C6047" s="8"/>
      <c r="D6047" s="9"/>
      <c r="E6047" s="9"/>
      <c r="F6047" s="9"/>
      <c r="G6047" s="9"/>
      <c r="H6047" s="9"/>
      <c r="I6047" s="9"/>
    </row>
    <row r="6048" spans="1:9" ht="14.25" customHeight="1" x14ac:dyDescent="0.3">
      <c r="A6048" s="10"/>
      <c r="C6048" s="8"/>
      <c r="D6048" s="9"/>
      <c r="E6048" s="9"/>
      <c r="F6048" s="9"/>
      <c r="G6048" s="9"/>
      <c r="H6048" s="9"/>
      <c r="I6048" s="9"/>
    </row>
    <row r="6049" spans="1:9" ht="14.25" customHeight="1" x14ac:dyDescent="0.3">
      <c r="A6049" s="10"/>
      <c r="C6049" s="8"/>
      <c r="D6049" s="9"/>
      <c r="E6049" s="9"/>
      <c r="F6049" s="9"/>
      <c r="G6049" s="9"/>
      <c r="H6049" s="9"/>
      <c r="I6049" s="9"/>
    </row>
    <row r="6050" spans="1:9" ht="14.25" customHeight="1" x14ac:dyDescent="0.3">
      <c r="A6050" s="10"/>
      <c r="C6050" s="8"/>
      <c r="D6050" s="9"/>
      <c r="E6050" s="9"/>
      <c r="F6050" s="9"/>
      <c r="G6050" s="9"/>
      <c r="H6050" s="9"/>
      <c r="I6050" s="9"/>
    </row>
    <row r="6051" spans="1:9" ht="14.25" customHeight="1" x14ac:dyDescent="0.3">
      <c r="A6051" s="10"/>
      <c r="C6051" s="8"/>
      <c r="D6051" s="9"/>
      <c r="E6051" s="9"/>
      <c r="F6051" s="9"/>
      <c r="G6051" s="9"/>
      <c r="H6051" s="9"/>
      <c r="I6051" s="9"/>
    </row>
    <row r="6052" spans="1:9" ht="14.25" customHeight="1" x14ac:dyDescent="0.3">
      <c r="A6052" s="10"/>
      <c r="C6052" s="8"/>
      <c r="D6052" s="9"/>
      <c r="E6052" s="9"/>
      <c r="F6052" s="9"/>
      <c r="G6052" s="9"/>
      <c r="H6052" s="9"/>
      <c r="I6052" s="9"/>
    </row>
    <row r="6053" spans="1:9" ht="14.25" customHeight="1" x14ac:dyDescent="0.3">
      <c r="A6053" s="10"/>
      <c r="C6053" s="8"/>
      <c r="D6053" s="9"/>
      <c r="E6053" s="9"/>
      <c r="F6053" s="9"/>
      <c r="G6053" s="9"/>
      <c r="H6053" s="9"/>
      <c r="I6053" s="9"/>
    </row>
    <row r="6054" spans="1:9" ht="14.25" customHeight="1" x14ac:dyDescent="0.3">
      <c r="A6054" s="10"/>
      <c r="C6054" s="8"/>
      <c r="D6054" s="9"/>
      <c r="E6054" s="9"/>
      <c r="F6054" s="9"/>
      <c r="G6054" s="9"/>
      <c r="H6054" s="9"/>
      <c r="I6054" s="9"/>
    </row>
    <row r="6055" spans="1:9" ht="14.25" customHeight="1" x14ac:dyDescent="0.3">
      <c r="A6055" s="10"/>
      <c r="C6055" s="8"/>
      <c r="D6055" s="9"/>
      <c r="E6055" s="9"/>
      <c r="F6055" s="9"/>
      <c r="G6055" s="9"/>
      <c r="H6055" s="9"/>
      <c r="I6055" s="9"/>
    </row>
    <row r="6056" spans="1:9" ht="14.25" customHeight="1" x14ac:dyDescent="0.3">
      <c r="A6056" s="10"/>
      <c r="C6056" s="8"/>
      <c r="D6056" s="9"/>
      <c r="E6056" s="9"/>
      <c r="F6056" s="9"/>
      <c r="G6056" s="9"/>
      <c r="H6056" s="9"/>
      <c r="I6056" s="9"/>
    </row>
    <row r="6057" spans="1:9" ht="14.25" customHeight="1" x14ac:dyDescent="0.3">
      <c r="A6057" s="10"/>
      <c r="C6057" s="8"/>
      <c r="D6057" s="9"/>
      <c r="E6057" s="9"/>
      <c r="F6057" s="9"/>
      <c r="G6057" s="9"/>
      <c r="H6057" s="9"/>
      <c r="I6057" s="9"/>
    </row>
    <row r="6058" spans="1:9" ht="14.25" customHeight="1" x14ac:dyDescent="0.3">
      <c r="A6058" s="10"/>
      <c r="C6058" s="8"/>
      <c r="D6058" s="9"/>
      <c r="E6058" s="9"/>
      <c r="F6058" s="9"/>
      <c r="G6058" s="9"/>
      <c r="H6058" s="9"/>
      <c r="I6058" s="9"/>
    </row>
    <row r="6059" spans="1:9" ht="14.25" customHeight="1" x14ac:dyDescent="0.3">
      <c r="A6059" s="10"/>
      <c r="C6059" s="8"/>
      <c r="D6059" s="9"/>
      <c r="E6059" s="9"/>
      <c r="F6059" s="9"/>
      <c r="G6059" s="9"/>
      <c r="H6059" s="9"/>
      <c r="I6059" s="9"/>
    </row>
    <row r="6060" spans="1:9" ht="14.25" customHeight="1" x14ac:dyDescent="0.3">
      <c r="A6060" s="10"/>
      <c r="C6060" s="8"/>
      <c r="D6060" s="9"/>
      <c r="E6060" s="9"/>
      <c r="F6060" s="9"/>
      <c r="G6060" s="9"/>
      <c r="H6060" s="9"/>
      <c r="I6060" s="9"/>
    </row>
    <row r="6061" spans="1:9" ht="14.25" customHeight="1" x14ac:dyDescent="0.3">
      <c r="A6061" s="10"/>
      <c r="C6061" s="8"/>
      <c r="D6061" s="9"/>
      <c r="E6061" s="9"/>
      <c r="F6061" s="9"/>
      <c r="G6061" s="9"/>
      <c r="H6061" s="9"/>
      <c r="I6061" s="9"/>
    </row>
    <row r="6062" spans="1:9" ht="14.25" customHeight="1" x14ac:dyDescent="0.3">
      <c r="A6062" s="10"/>
      <c r="C6062" s="8"/>
      <c r="D6062" s="9"/>
      <c r="E6062" s="9"/>
      <c r="F6062" s="9"/>
      <c r="G6062" s="9"/>
      <c r="H6062" s="9"/>
      <c r="I6062" s="9"/>
    </row>
    <row r="6063" spans="1:9" ht="14.25" customHeight="1" x14ac:dyDescent="0.3">
      <c r="A6063" s="10"/>
      <c r="C6063" s="8"/>
      <c r="D6063" s="9"/>
      <c r="E6063" s="9"/>
      <c r="F6063" s="9"/>
      <c r="G6063" s="9"/>
      <c r="H6063" s="9"/>
      <c r="I6063" s="9"/>
    </row>
    <row r="6064" spans="1:9" ht="14.25" customHeight="1" x14ac:dyDescent="0.3">
      <c r="A6064" s="10"/>
      <c r="C6064" s="8"/>
      <c r="D6064" s="9"/>
      <c r="E6064" s="9"/>
      <c r="F6064" s="9"/>
      <c r="G6064" s="9"/>
      <c r="H6064" s="9"/>
      <c r="I6064" s="9"/>
    </row>
    <row r="6065" spans="1:9" ht="14.25" customHeight="1" x14ac:dyDescent="0.3">
      <c r="A6065" s="10"/>
      <c r="C6065" s="8"/>
      <c r="D6065" s="9"/>
      <c r="E6065" s="9"/>
      <c r="F6065" s="9"/>
      <c r="G6065" s="9"/>
      <c r="H6065" s="9"/>
      <c r="I6065" s="9"/>
    </row>
    <row r="6066" spans="1:9" ht="14.25" customHeight="1" x14ac:dyDescent="0.3">
      <c r="A6066" s="10"/>
      <c r="C6066" s="8"/>
      <c r="D6066" s="9"/>
      <c r="E6066" s="9"/>
      <c r="F6066" s="9"/>
      <c r="G6066" s="9"/>
      <c r="H6066" s="9"/>
      <c r="I6066" s="9"/>
    </row>
    <row r="6067" spans="1:9" ht="14.25" customHeight="1" x14ac:dyDescent="0.3">
      <c r="A6067" s="10"/>
      <c r="C6067" s="8"/>
      <c r="D6067" s="9"/>
      <c r="E6067" s="9"/>
      <c r="F6067" s="9"/>
      <c r="G6067" s="9"/>
      <c r="H6067" s="9"/>
      <c r="I6067" s="9"/>
    </row>
    <row r="6068" spans="1:9" ht="14.25" customHeight="1" x14ac:dyDescent="0.3">
      <c r="A6068" s="10"/>
      <c r="C6068" s="8"/>
      <c r="D6068" s="9"/>
      <c r="E6068" s="9"/>
      <c r="F6068" s="9"/>
      <c r="G6068" s="9"/>
      <c r="H6068" s="9"/>
      <c r="I6068" s="9"/>
    </row>
    <row r="6069" spans="1:9" ht="14.25" customHeight="1" x14ac:dyDescent="0.3">
      <c r="A6069" s="10"/>
      <c r="C6069" s="8"/>
      <c r="D6069" s="9"/>
      <c r="E6069" s="9"/>
      <c r="F6069" s="9"/>
      <c r="G6069" s="9"/>
      <c r="H6069" s="9"/>
      <c r="I6069" s="9"/>
    </row>
    <row r="6070" spans="1:9" ht="14.25" customHeight="1" x14ac:dyDescent="0.3">
      <c r="A6070" s="10"/>
      <c r="C6070" s="8"/>
      <c r="D6070" s="9"/>
      <c r="E6070" s="9"/>
      <c r="F6070" s="9"/>
      <c r="G6070" s="9"/>
      <c r="H6070" s="9"/>
      <c r="I6070" s="9"/>
    </row>
    <row r="6071" spans="1:9" ht="14.25" customHeight="1" x14ac:dyDescent="0.3">
      <c r="A6071" s="10"/>
      <c r="C6071" s="8"/>
      <c r="D6071" s="9"/>
      <c r="E6071" s="9"/>
      <c r="F6071" s="9"/>
      <c r="G6071" s="9"/>
      <c r="H6071" s="9"/>
      <c r="I6071" s="9"/>
    </row>
    <row r="6072" spans="1:9" ht="14.25" customHeight="1" x14ac:dyDescent="0.3">
      <c r="A6072" s="10"/>
      <c r="C6072" s="8"/>
      <c r="D6072" s="9"/>
      <c r="E6072" s="9"/>
      <c r="F6072" s="9"/>
      <c r="G6072" s="9"/>
      <c r="H6072" s="9"/>
      <c r="I6072" s="9"/>
    </row>
    <row r="6073" spans="1:9" ht="14.25" customHeight="1" x14ac:dyDescent="0.3">
      <c r="A6073" s="10"/>
      <c r="C6073" s="8"/>
      <c r="D6073" s="9"/>
      <c r="E6073" s="9"/>
      <c r="F6073" s="9"/>
      <c r="G6073" s="9"/>
      <c r="H6073" s="9"/>
      <c r="I6073" s="9"/>
    </row>
    <row r="6074" spans="1:9" ht="14.25" customHeight="1" x14ac:dyDescent="0.3">
      <c r="A6074" s="10"/>
      <c r="C6074" s="8"/>
      <c r="D6074" s="9"/>
      <c r="E6074" s="9"/>
      <c r="F6074" s="9"/>
      <c r="G6074" s="9"/>
      <c r="H6074" s="9"/>
      <c r="I6074" s="9"/>
    </row>
    <row r="6075" spans="1:9" ht="14.25" customHeight="1" x14ac:dyDescent="0.3">
      <c r="A6075" s="10"/>
      <c r="C6075" s="8"/>
      <c r="D6075" s="9"/>
      <c r="E6075" s="9"/>
      <c r="F6075" s="9"/>
      <c r="G6075" s="9"/>
      <c r="H6075" s="9"/>
      <c r="I6075" s="9"/>
    </row>
    <row r="6076" spans="1:9" ht="14.25" customHeight="1" x14ac:dyDescent="0.3">
      <c r="A6076" s="10"/>
      <c r="C6076" s="8"/>
      <c r="D6076" s="9"/>
      <c r="E6076" s="9"/>
      <c r="F6076" s="9"/>
      <c r="G6076" s="9"/>
      <c r="H6076" s="9"/>
      <c r="I6076" s="9"/>
    </row>
    <row r="6077" spans="1:9" ht="14.25" customHeight="1" x14ac:dyDescent="0.3">
      <c r="A6077" s="10"/>
      <c r="C6077" s="8"/>
      <c r="D6077" s="9"/>
      <c r="E6077" s="9"/>
      <c r="F6077" s="9"/>
      <c r="G6077" s="9"/>
      <c r="H6077" s="9"/>
      <c r="I6077" s="9"/>
    </row>
    <row r="6078" spans="1:9" ht="14.25" customHeight="1" x14ac:dyDescent="0.3">
      <c r="A6078" s="10"/>
      <c r="C6078" s="8"/>
      <c r="D6078" s="9"/>
      <c r="E6078" s="9"/>
      <c r="F6078" s="9"/>
      <c r="G6078" s="9"/>
      <c r="H6078" s="9"/>
      <c r="I6078" s="9"/>
    </row>
    <row r="6079" spans="1:9" ht="14.25" customHeight="1" x14ac:dyDescent="0.3">
      <c r="A6079" s="10"/>
      <c r="C6079" s="8"/>
      <c r="D6079" s="9"/>
      <c r="E6079" s="9"/>
      <c r="F6079" s="9"/>
      <c r="G6079" s="9"/>
      <c r="H6079" s="9"/>
      <c r="I6079" s="9"/>
    </row>
    <row r="6080" spans="1:9" ht="14.25" customHeight="1" x14ac:dyDescent="0.3">
      <c r="A6080" s="10"/>
      <c r="C6080" s="8"/>
      <c r="D6080" s="9"/>
      <c r="E6080" s="9"/>
      <c r="F6080" s="9"/>
      <c r="G6080" s="9"/>
      <c r="H6080" s="9"/>
      <c r="I6080" s="9"/>
    </row>
    <row r="6081" spans="1:9" ht="14.25" customHeight="1" x14ac:dyDescent="0.3">
      <c r="A6081" s="10"/>
      <c r="C6081" s="8"/>
      <c r="D6081" s="9"/>
      <c r="E6081" s="9"/>
      <c r="F6081" s="9"/>
      <c r="G6081" s="9"/>
      <c r="H6081" s="9"/>
      <c r="I6081" s="9"/>
    </row>
    <row r="6082" spans="1:9" ht="14.25" customHeight="1" x14ac:dyDescent="0.3">
      <c r="A6082" s="10"/>
      <c r="C6082" s="8"/>
      <c r="D6082" s="9"/>
      <c r="E6082" s="9"/>
      <c r="F6082" s="9"/>
      <c r="G6082" s="9"/>
      <c r="H6082" s="9"/>
      <c r="I6082" s="9"/>
    </row>
    <row r="6083" spans="1:9" ht="14.25" customHeight="1" x14ac:dyDescent="0.3">
      <c r="A6083" s="10"/>
      <c r="C6083" s="8"/>
      <c r="D6083" s="9"/>
      <c r="E6083" s="9"/>
      <c r="F6083" s="9"/>
      <c r="G6083" s="9"/>
      <c r="H6083" s="9"/>
      <c r="I6083" s="9"/>
    </row>
    <row r="6084" spans="1:9" ht="14.25" customHeight="1" x14ac:dyDescent="0.3">
      <c r="A6084" s="10"/>
      <c r="C6084" s="8"/>
      <c r="D6084" s="9"/>
      <c r="E6084" s="9"/>
      <c r="F6084" s="9"/>
      <c r="G6084" s="9"/>
      <c r="H6084" s="9"/>
      <c r="I6084" s="9"/>
    </row>
    <row r="6085" spans="1:9" ht="14.25" customHeight="1" x14ac:dyDescent="0.3">
      <c r="A6085" s="10"/>
      <c r="C6085" s="8"/>
      <c r="D6085" s="9"/>
      <c r="E6085" s="9"/>
      <c r="F6085" s="9"/>
      <c r="G6085" s="9"/>
      <c r="H6085" s="9"/>
      <c r="I6085" s="9"/>
    </row>
    <row r="6086" spans="1:9" ht="14.25" customHeight="1" x14ac:dyDescent="0.3">
      <c r="A6086" s="10"/>
      <c r="C6086" s="8"/>
      <c r="D6086" s="9"/>
      <c r="E6086" s="9"/>
      <c r="F6086" s="9"/>
      <c r="G6086" s="9"/>
      <c r="H6086" s="9"/>
      <c r="I6086" s="9"/>
    </row>
    <row r="6087" spans="1:9" ht="14.25" customHeight="1" x14ac:dyDescent="0.3">
      <c r="A6087" s="10"/>
      <c r="C6087" s="8"/>
      <c r="D6087" s="9"/>
      <c r="E6087" s="9"/>
      <c r="F6087" s="9"/>
      <c r="G6087" s="9"/>
      <c r="H6087" s="9"/>
      <c r="I6087" s="9"/>
    </row>
    <row r="6088" spans="1:9" ht="14.25" customHeight="1" x14ac:dyDescent="0.3">
      <c r="A6088" s="10"/>
      <c r="C6088" s="8"/>
      <c r="D6088" s="9"/>
      <c r="E6088" s="9"/>
      <c r="F6088" s="9"/>
      <c r="G6088" s="9"/>
      <c r="H6088" s="9"/>
      <c r="I6088" s="9"/>
    </row>
    <row r="6089" spans="1:9" ht="14.25" customHeight="1" x14ac:dyDescent="0.3">
      <c r="A6089" s="10"/>
      <c r="C6089" s="8"/>
      <c r="D6089" s="9"/>
      <c r="E6089" s="9"/>
      <c r="F6089" s="9"/>
      <c r="G6089" s="9"/>
      <c r="H6089" s="9"/>
      <c r="I6089" s="9"/>
    </row>
    <row r="6090" spans="1:9" ht="14.25" customHeight="1" x14ac:dyDescent="0.3">
      <c r="A6090" s="10"/>
      <c r="C6090" s="8"/>
      <c r="D6090" s="9"/>
      <c r="E6090" s="9"/>
      <c r="F6090" s="9"/>
      <c r="G6090" s="9"/>
      <c r="H6090" s="9"/>
      <c r="I6090" s="9"/>
    </row>
    <row r="6091" spans="1:9" ht="14.25" customHeight="1" x14ac:dyDescent="0.3">
      <c r="A6091" s="10"/>
      <c r="C6091" s="8"/>
      <c r="D6091" s="9"/>
      <c r="E6091" s="9"/>
      <c r="F6091" s="9"/>
      <c r="G6091" s="9"/>
      <c r="H6091" s="9"/>
      <c r="I6091" s="9"/>
    </row>
    <row r="6092" spans="1:9" ht="14.25" customHeight="1" x14ac:dyDescent="0.3">
      <c r="A6092" s="10"/>
      <c r="C6092" s="8"/>
      <c r="D6092" s="9"/>
      <c r="E6092" s="9"/>
      <c r="F6092" s="9"/>
      <c r="G6092" s="9"/>
      <c r="H6092" s="9"/>
      <c r="I6092" s="9"/>
    </row>
    <row r="6093" spans="1:9" ht="14.25" customHeight="1" x14ac:dyDescent="0.3">
      <c r="A6093" s="10"/>
      <c r="C6093" s="8"/>
      <c r="D6093" s="9"/>
      <c r="E6093" s="9"/>
      <c r="F6093" s="9"/>
      <c r="G6093" s="9"/>
      <c r="H6093" s="9"/>
      <c r="I6093" s="9"/>
    </row>
    <row r="6094" spans="1:9" ht="14.25" customHeight="1" x14ac:dyDescent="0.3">
      <c r="A6094" s="10"/>
      <c r="C6094" s="8"/>
      <c r="D6094" s="9"/>
      <c r="E6094" s="9"/>
      <c r="F6094" s="9"/>
      <c r="G6094" s="9"/>
      <c r="H6094" s="9"/>
      <c r="I6094" s="9"/>
    </row>
    <row r="6095" spans="1:9" ht="14.25" customHeight="1" x14ac:dyDescent="0.3">
      <c r="A6095" s="10"/>
      <c r="C6095" s="8"/>
      <c r="D6095" s="9"/>
      <c r="E6095" s="9"/>
      <c r="F6095" s="9"/>
      <c r="G6095" s="9"/>
      <c r="H6095" s="9"/>
      <c r="I6095" s="9"/>
    </row>
    <row r="6096" spans="1:9" ht="14.25" customHeight="1" x14ac:dyDescent="0.3">
      <c r="A6096" s="10"/>
      <c r="C6096" s="8"/>
      <c r="D6096" s="9"/>
      <c r="E6096" s="9"/>
      <c r="F6096" s="9"/>
      <c r="G6096" s="9"/>
      <c r="H6096" s="9"/>
      <c r="I6096" s="9"/>
    </row>
    <row r="6097" spans="1:9" ht="14.25" customHeight="1" x14ac:dyDescent="0.3">
      <c r="A6097" s="10"/>
      <c r="C6097" s="8"/>
      <c r="D6097" s="9"/>
      <c r="E6097" s="9"/>
      <c r="F6097" s="9"/>
      <c r="G6097" s="9"/>
      <c r="H6097" s="9"/>
      <c r="I6097" s="9"/>
    </row>
    <row r="6098" spans="1:9" ht="14.25" customHeight="1" x14ac:dyDescent="0.3">
      <c r="A6098" s="10"/>
      <c r="C6098" s="8"/>
      <c r="D6098" s="9"/>
      <c r="E6098" s="9"/>
      <c r="F6098" s="9"/>
      <c r="G6098" s="9"/>
      <c r="H6098" s="9"/>
      <c r="I6098" s="9"/>
    </row>
    <row r="6099" spans="1:9" ht="14.25" customHeight="1" x14ac:dyDescent="0.3">
      <c r="A6099" s="10"/>
      <c r="C6099" s="8"/>
      <c r="D6099" s="9"/>
      <c r="E6099" s="9"/>
      <c r="F6099" s="9"/>
      <c r="G6099" s="9"/>
      <c r="H6099" s="9"/>
      <c r="I6099" s="9"/>
    </row>
    <row r="6100" spans="1:9" ht="14.25" customHeight="1" x14ac:dyDescent="0.3">
      <c r="A6100" s="10"/>
      <c r="C6100" s="8"/>
      <c r="D6100" s="9"/>
      <c r="E6100" s="9"/>
      <c r="F6100" s="9"/>
      <c r="G6100" s="9"/>
      <c r="H6100" s="9"/>
      <c r="I6100" s="9"/>
    </row>
    <row r="6101" spans="1:9" ht="14.25" customHeight="1" x14ac:dyDescent="0.3">
      <c r="A6101" s="10"/>
      <c r="C6101" s="8"/>
      <c r="D6101" s="9"/>
      <c r="E6101" s="9"/>
      <c r="F6101" s="9"/>
      <c r="G6101" s="9"/>
      <c r="H6101" s="9"/>
      <c r="I6101" s="9"/>
    </row>
    <row r="6102" spans="1:9" ht="14.25" customHeight="1" x14ac:dyDescent="0.3">
      <c r="A6102" s="10"/>
      <c r="C6102" s="8"/>
      <c r="D6102" s="9"/>
      <c r="E6102" s="9"/>
      <c r="F6102" s="9"/>
      <c r="G6102" s="9"/>
      <c r="H6102" s="9"/>
      <c r="I6102" s="9"/>
    </row>
    <row r="6103" spans="1:9" ht="14.25" customHeight="1" x14ac:dyDescent="0.3">
      <c r="A6103" s="10"/>
      <c r="C6103" s="8"/>
      <c r="D6103" s="9"/>
      <c r="E6103" s="9"/>
      <c r="F6103" s="9"/>
      <c r="G6103" s="9"/>
      <c r="H6103" s="9"/>
      <c r="I6103" s="9"/>
    </row>
    <row r="6104" spans="1:9" ht="14.25" customHeight="1" x14ac:dyDescent="0.3">
      <c r="A6104" s="10"/>
      <c r="C6104" s="8"/>
      <c r="D6104" s="9"/>
      <c r="E6104" s="9"/>
      <c r="F6104" s="9"/>
      <c r="G6104" s="9"/>
      <c r="H6104" s="9"/>
      <c r="I6104" s="9"/>
    </row>
    <row r="6105" spans="1:9" ht="14.25" customHeight="1" x14ac:dyDescent="0.3">
      <c r="A6105" s="10"/>
      <c r="C6105" s="8"/>
      <c r="D6105" s="9"/>
      <c r="E6105" s="9"/>
      <c r="F6105" s="9"/>
      <c r="G6105" s="9"/>
      <c r="H6105" s="9"/>
      <c r="I6105" s="9"/>
    </row>
    <row r="6106" spans="1:9" ht="14.25" customHeight="1" x14ac:dyDescent="0.3">
      <c r="A6106" s="10"/>
      <c r="C6106" s="8"/>
      <c r="D6106" s="9"/>
      <c r="E6106" s="9"/>
      <c r="F6106" s="9"/>
      <c r="G6106" s="9"/>
      <c r="H6106" s="9"/>
      <c r="I6106" s="9"/>
    </row>
    <row r="6107" spans="1:9" ht="14.25" customHeight="1" x14ac:dyDescent="0.3">
      <c r="A6107" s="10"/>
      <c r="C6107" s="8"/>
      <c r="D6107" s="9"/>
      <c r="E6107" s="9"/>
      <c r="F6107" s="9"/>
      <c r="G6107" s="9"/>
      <c r="H6107" s="9"/>
      <c r="I6107" s="9"/>
    </row>
    <row r="6108" spans="1:9" ht="14.25" customHeight="1" x14ac:dyDescent="0.3">
      <c r="A6108" s="10"/>
      <c r="C6108" s="8"/>
      <c r="D6108" s="9"/>
      <c r="E6108" s="9"/>
      <c r="F6108" s="9"/>
      <c r="G6108" s="9"/>
      <c r="H6108" s="9"/>
      <c r="I6108" s="9"/>
    </row>
    <row r="6109" spans="1:9" ht="14.25" customHeight="1" x14ac:dyDescent="0.3">
      <c r="A6109" s="10"/>
      <c r="C6109" s="8"/>
      <c r="D6109" s="9"/>
      <c r="E6109" s="9"/>
      <c r="F6109" s="9"/>
      <c r="G6109" s="9"/>
      <c r="H6109" s="9"/>
      <c r="I6109" s="9"/>
    </row>
    <row r="6110" spans="1:9" ht="14.25" customHeight="1" x14ac:dyDescent="0.3">
      <c r="A6110" s="10"/>
      <c r="C6110" s="8"/>
      <c r="D6110" s="9"/>
      <c r="E6110" s="9"/>
      <c r="F6110" s="9"/>
      <c r="G6110" s="9"/>
      <c r="H6110" s="9"/>
      <c r="I6110" s="9"/>
    </row>
    <row r="6111" spans="1:9" ht="14.25" customHeight="1" x14ac:dyDescent="0.3">
      <c r="A6111" s="10"/>
      <c r="C6111" s="8"/>
      <c r="D6111" s="9"/>
      <c r="E6111" s="9"/>
      <c r="F6111" s="9"/>
      <c r="G6111" s="9"/>
      <c r="H6111" s="9"/>
      <c r="I6111" s="9"/>
    </row>
    <row r="6112" spans="1:9" ht="14.25" customHeight="1" x14ac:dyDescent="0.3">
      <c r="A6112" s="10"/>
      <c r="C6112" s="8"/>
      <c r="D6112" s="9"/>
      <c r="E6112" s="9"/>
      <c r="F6112" s="9"/>
      <c r="G6112" s="9"/>
      <c r="H6112" s="9"/>
      <c r="I6112" s="9"/>
    </row>
    <row r="6113" spans="1:9" ht="14.25" customHeight="1" x14ac:dyDescent="0.3">
      <c r="A6113" s="10"/>
      <c r="C6113" s="8"/>
      <c r="D6113" s="9"/>
      <c r="E6113" s="9"/>
      <c r="F6113" s="9"/>
      <c r="G6113" s="9"/>
      <c r="H6113" s="9"/>
      <c r="I6113" s="9"/>
    </row>
    <row r="6114" spans="1:9" ht="14.25" customHeight="1" x14ac:dyDescent="0.3">
      <c r="A6114" s="10"/>
      <c r="C6114" s="8"/>
      <c r="D6114" s="9"/>
      <c r="E6114" s="9"/>
      <c r="F6114" s="9"/>
      <c r="G6114" s="9"/>
      <c r="H6114" s="9"/>
      <c r="I6114" s="9"/>
    </row>
    <row r="6115" spans="1:9" ht="14.25" customHeight="1" x14ac:dyDescent="0.3">
      <c r="A6115" s="10"/>
      <c r="C6115" s="8"/>
      <c r="D6115" s="9"/>
      <c r="E6115" s="9"/>
      <c r="F6115" s="9"/>
      <c r="G6115" s="9"/>
      <c r="H6115" s="9"/>
      <c r="I6115" s="9"/>
    </row>
    <row r="6116" spans="1:9" ht="14.25" customHeight="1" x14ac:dyDescent="0.3">
      <c r="A6116" s="10"/>
      <c r="C6116" s="8"/>
      <c r="D6116" s="9"/>
      <c r="E6116" s="9"/>
      <c r="F6116" s="9"/>
      <c r="G6116" s="9"/>
      <c r="H6116" s="9"/>
      <c r="I6116" s="9"/>
    </row>
    <row r="6117" spans="1:9" ht="14.25" customHeight="1" x14ac:dyDescent="0.3">
      <c r="A6117" s="10"/>
      <c r="C6117" s="8"/>
      <c r="D6117" s="9"/>
      <c r="E6117" s="9"/>
      <c r="F6117" s="9"/>
      <c r="G6117" s="9"/>
      <c r="H6117" s="9"/>
      <c r="I6117" s="9"/>
    </row>
    <row r="6118" spans="1:9" ht="14.25" customHeight="1" x14ac:dyDescent="0.3">
      <c r="A6118" s="10"/>
      <c r="C6118" s="8"/>
      <c r="D6118" s="9"/>
      <c r="E6118" s="9"/>
      <c r="F6118" s="9"/>
      <c r="G6118" s="9"/>
      <c r="H6118" s="9"/>
      <c r="I6118" s="9"/>
    </row>
    <row r="6119" spans="1:9" ht="14.25" customHeight="1" x14ac:dyDescent="0.3">
      <c r="A6119" s="10"/>
      <c r="C6119" s="8"/>
      <c r="D6119" s="9"/>
      <c r="E6119" s="9"/>
      <c r="F6119" s="9"/>
      <c r="G6119" s="9"/>
      <c r="H6119" s="9"/>
      <c r="I6119" s="9"/>
    </row>
    <row r="6120" spans="1:9" ht="14.25" customHeight="1" x14ac:dyDescent="0.3">
      <c r="A6120" s="10"/>
      <c r="C6120" s="8"/>
      <c r="D6120" s="9"/>
      <c r="E6120" s="9"/>
      <c r="F6120" s="9"/>
      <c r="G6120" s="9"/>
      <c r="H6120" s="9"/>
      <c r="I6120" s="9"/>
    </row>
    <row r="6121" spans="1:9" ht="14.25" customHeight="1" x14ac:dyDescent="0.3">
      <c r="A6121" s="10"/>
      <c r="C6121" s="8"/>
      <c r="D6121" s="9"/>
      <c r="E6121" s="9"/>
      <c r="F6121" s="9"/>
      <c r="G6121" s="9"/>
      <c r="H6121" s="9"/>
      <c r="I6121" s="9"/>
    </row>
    <row r="6122" spans="1:9" ht="14.25" customHeight="1" x14ac:dyDescent="0.3">
      <c r="A6122" s="10"/>
      <c r="C6122" s="8"/>
      <c r="D6122" s="9"/>
      <c r="E6122" s="9"/>
      <c r="F6122" s="9"/>
      <c r="G6122" s="9"/>
      <c r="H6122" s="9"/>
      <c r="I6122" s="9"/>
    </row>
    <row r="6123" spans="1:9" ht="14.25" customHeight="1" x14ac:dyDescent="0.3">
      <c r="A6123" s="10"/>
      <c r="C6123" s="8"/>
      <c r="D6123" s="9"/>
      <c r="E6123" s="9"/>
      <c r="F6123" s="9"/>
      <c r="G6123" s="9"/>
      <c r="H6123" s="9"/>
      <c r="I6123" s="9"/>
    </row>
    <row r="6124" spans="1:9" ht="14.25" customHeight="1" x14ac:dyDescent="0.3">
      <c r="A6124" s="10"/>
      <c r="C6124" s="8"/>
      <c r="D6124" s="9"/>
      <c r="E6124" s="9"/>
      <c r="F6124" s="9"/>
      <c r="G6124" s="9"/>
      <c r="H6124" s="9"/>
      <c r="I6124" s="9"/>
    </row>
    <row r="6125" spans="1:9" ht="14.25" customHeight="1" x14ac:dyDescent="0.3">
      <c r="A6125" s="10"/>
      <c r="C6125" s="8"/>
      <c r="D6125" s="9"/>
      <c r="E6125" s="9"/>
      <c r="F6125" s="9"/>
      <c r="G6125" s="9"/>
      <c r="H6125" s="9"/>
      <c r="I6125" s="9"/>
    </row>
    <row r="6126" spans="1:9" ht="14.25" customHeight="1" x14ac:dyDescent="0.3">
      <c r="A6126" s="10"/>
      <c r="C6126" s="8"/>
      <c r="D6126" s="9"/>
      <c r="E6126" s="9"/>
      <c r="F6126" s="9"/>
      <c r="G6126" s="9"/>
      <c r="H6126" s="9"/>
      <c r="I6126" s="9"/>
    </row>
    <row r="6127" spans="1:9" ht="14.25" customHeight="1" x14ac:dyDescent="0.3">
      <c r="A6127" s="10"/>
      <c r="C6127" s="8"/>
      <c r="D6127" s="9"/>
      <c r="E6127" s="9"/>
      <c r="F6127" s="9"/>
      <c r="G6127" s="9"/>
      <c r="H6127" s="9"/>
      <c r="I6127" s="9"/>
    </row>
    <row r="6128" spans="1:9" ht="14.25" customHeight="1" x14ac:dyDescent="0.3">
      <c r="A6128" s="10"/>
      <c r="C6128" s="8"/>
      <c r="D6128" s="9"/>
      <c r="E6128" s="9"/>
      <c r="F6128" s="9"/>
      <c r="G6128" s="9"/>
      <c r="H6128" s="9"/>
      <c r="I6128" s="9"/>
    </row>
    <row r="6129" spans="1:9" ht="14.25" customHeight="1" x14ac:dyDescent="0.3">
      <c r="A6129" s="10"/>
      <c r="C6129" s="8"/>
      <c r="D6129" s="9"/>
      <c r="E6129" s="9"/>
      <c r="F6129" s="9"/>
      <c r="G6129" s="9"/>
      <c r="H6129" s="9"/>
      <c r="I6129" s="9"/>
    </row>
    <row r="6130" spans="1:9" ht="14.25" customHeight="1" x14ac:dyDescent="0.3">
      <c r="A6130" s="10"/>
      <c r="C6130" s="8"/>
      <c r="D6130" s="9"/>
      <c r="E6130" s="9"/>
      <c r="F6130" s="9"/>
      <c r="G6130" s="9"/>
      <c r="H6130" s="9"/>
      <c r="I6130" s="9"/>
    </row>
    <row r="6131" spans="1:9" ht="14.25" customHeight="1" x14ac:dyDescent="0.3">
      <c r="A6131" s="10"/>
      <c r="C6131" s="8"/>
      <c r="D6131" s="9"/>
      <c r="E6131" s="9"/>
      <c r="F6131" s="9"/>
      <c r="G6131" s="9"/>
      <c r="H6131" s="9"/>
      <c r="I6131" s="9"/>
    </row>
    <row r="6132" spans="1:9" ht="14.25" customHeight="1" x14ac:dyDescent="0.3">
      <c r="A6132" s="10"/>
      <c r="C6132" s="8"/>
      <c r="D6132" s="9"/>
      <c r="E6132" s="9"/>
      <c r="F6132" s="9"/>
      <c r="G6132" s="9"/>
      <c r="H6132" s="9"/>
      <c r="I6132" s="9"/>
    </row>
    <row r="6133" spans="1:9" ht="14.25" customHeight="1" x14ac:dyDescent="0.3">
      <c r="A6133" s="10"/>
      <c r="C6133" s="8"/>
      <c r="D6133" s="9"/>
      <c r="E6133" s="9"/>
      <c r="F6133" s="9"/>
      <c r="G6133" s="9"/>
      <c r="H6133" s="9"/>
      <c r="I6133" s="9"/>
    </row>
    <row r="6134" spans="1:9" ht="14.25" customHeight="1" x14ac:dyDescent="0.3">
      <c r="A6134" s="10"/>
      <c r="C6134" s="8"/>
      <c r="D6134" s="9"/>
      <c r="E6134" s="9"/>
      <c r="F6134" s="9"/>
      <c r="G6134" s="9"/>
      <c r="H6134" s="9"/>
      <c r="I6134" s="9"/>
    </row>
    <row r="6135" spans="1:9" ht="14.25" customHeight="1" x14ac:dyDescent="0.3">
      <c r="A6135" s="10"/>
      <c r="C6135" s="8"/>
      <c r="D6135" s="9"/>
      <c r="E6135" s="9"/>
      <c r="F6135" s="9"/>
      <c r="G6135" s="9"/>
      <c r="H6135" s="9"/>
      <c r="I6135" s="9"/>
    </row>
    <row r="6136" spans="1:9" ht="14.25" customHeight="1" x14ac:dyDescent="0.3">
      <c r="A6136" s="10"/>
      <c r="C6136" s="8"/>
      <c r="D6136" s="9"/>
      <c r="E6136" s="9"/>
      <c r="F6136" s="9"/>
      <c r="G6136" s="9"/>
      <c r="H6136" s="9"/>
      <c r="I6136" s="9"/>
    </row>
    <row r="6137" spans="1:9" ht="14.25" customHeight="1" x14ac:dyDescent="0.3">
      <c r="A6137" s="10"/>
      <c r="C6137" s="8"/>
      <c r="D6137" s="9"/>
      <c r="E6137" s="9"/>
      <c r="F6137" s="9"/>
      <c r="G6137" s="9"/>
      <c r="H6137" s="9"/>
      <c r="I6137" s="9"/>
    </row>
    <row r="6138" spans="1:9" ht="14.25" customHeight="1" x14ac:dyDescent="0.3">
      <c r="A6138" s="10"/>
      <c r="C6138" s="8"/>
      <c r="D6138" s="9"/>
      <c r="E6138" s="9"/>
      <c r="F6138" s="9"/>
      <c r="G6138" s="9"/>
      <c r="H6138" s="9"/>
      <c r="I6138" s="9"/>
    </row>
    <row r="6139" spans="1:9" ht="14.25" customHeight="1" x14ac:dyDescent="0.3">
      <c r="A6139" s="10"/>
      <c r="C6139" s="8"/>
      <c r="D6139" s="9"/>
      <c r="E6139" s="9"/>
      <c r="F6139" s="9"/>
      <c r="G6139" s="9"/>
      <c r="H6139" s="9"/>
      <c r="I6139" s="9"/>
    </row>
    <row r="6140" spans="1:9" ht="14.25" customHeight="1" x14ac:dyDescent="0.3">
      <c r="A6140" s="10"/>
      <c r="C6140" s="8"/>
      <c r="D6140" s="9"/>
      <c r="E6140" s="9"/>
      <c r="F6140" s="9"/>
      <c r="G6140" s="9"/>
      <c r="H6140" s="9"/>
      <c r="I6140" s="9"/>
    </row>
    <row r="6141" spans="1:9" ht="14.25" customHeight="1" x14ac:dyDescent="0.3">
      <c r="A6141" s="10"/>
      <c r="C6141" s="8"/>
      <c r="D6141" s="9"/>
      <c r="E6141" s="9"/>
      <c r="F6141" s="9"/>
      <c r="G6141" s="9"/>
      <c r="H6141" s="9"/>
      <c r="I6141" s="9"/>
    </row>
    <row r="6142" spans="1:9" ht="14.25" customHeight="1" x14ac:dyDescent="0.3">
      <c r="A6142" s="10"/>
      <c r="C6142" s="8"/>
      <c r="D6142" s="9"/>
      <c r="E6142" s="9"/>
      <c r="F6142" s="9"/>
      <c r="G6142" s="9"/>
      <c r="H6142" s="9"/>
      <c r="I6142" s="9"/>
    </row>
    <row r="6143" spans="1:9" ht="14.25" customHeight="1" x14ac:dyDescent="0.3">
      <c r="A6143" s="10"/>
      <c r="C6143" s="8"/>
      <c r="D6143" s="9"/>
      <c r="E6143" s="9"/>
      <c r="F6143" s="9"/>
      <c r="G6143" s="9"/>
      <c r="H6143" s="9"/>
      <c r="I6143" s="9"/>
    </row>
    <row r="6144" spans="1:9" ht="14.25" customHeight="1" x14ac:dyDescent="0.3">
      <c r="A6144" s="10"/>
      <c r="C6144" s="8"/>
      <c r="D6144" s="9"/>
      <c r="E6144" s="9"/>
      <c r="F6144" s="9"/>
      <c r="G6144" s="9"/>
      <c r="H6144" s="9"/>
      <c r="I6144" s="9"/>
    </row>
    <row r="6145" spans="1:9" ht="14.25" customHeight="1" x14ac:dyDescent="0.3">
      <c r="A6145" s="10"/>
      <c r="C6145" s="8"/>
      <c r="D6145" s="9"/>
      <c r="E6145" s="9"/>
      <c r="F6145" s="9"/>
      <c r="G6145" s="9"/>
      <c r="H6145" s="9"/>
      <c r="I6145" s="9"/>
    </row>
    <row r="6146" spans="1:9" ht="14.25" customHeight="1" x14ac:dyDescent="0.3">
      <c r="A6146" s="10"/>
      <c r="C6146" s="8"/>
      <c r="D6146" s="9"/>
      <c r="E6146" s="9"/>
      <c r="F6146" s="9"/>
      <c r="G6146" s="9"/>
      <c r="H6146" s="9"/>
      <c r="I6146" s="9"/>
    </row>
    <row r="6147" spans="1:9" ht="14.25" customHeight="1" x14ac:dyDescent="0.3">
      <c r="A6147" s="10"/>
      <c r="C6147" s="8"/>
      <c r="D6147" s="9"/>
      <c r="E6147" s="9"/>
      <c r="F6147" s="9"/>
      <c r="G6147" s="9"/>
      <c r="H6147" s="9"/>
      <c r="I6147" s="9"/>
    </row>
    <row r="6148" spans="1:9" ht="14.25" customHeight="1" x14ac:dyDescent="0.3">
      <c r="A6148" s="10"/>
      <c r="C6148" s="8"/>
      <c r="D6148" s="9"/>
      <c r="E6148" s="9"/>
      <c r="F6148" s="9"/>
      <c r="G6148" s="9"/>
      <c r="H6148" s="9"/>
      <c r="I6148" s="9"/>
    </row>
    <row r="6149" spans="1:9" ht="14.25" customHeight="1" x14ac:dyDescent="0.3">
      <c r="A6149" s="10"/>
      <c r="C6149" s="8"/>
      <c r="D6149" s="9"/>
      <c r="E6149" s="9"/>
      <c r="F6149" s="9"/>
      <c r="G6149" s="9"/>
      <c r="H6149" s="9"/>
      <c r="I6149" s="9"/>
    </row>
    <row r="6150" spans="1:9" ht="14.25" customHeight="1" x14ac:dyDescent="0.3">
      <c r="A6150" s="10"/>
      <c r="C6150" s="8"/>
      <c r="D6150" s="9"/>
      <c r="E6150" s="9"/>
      <c r="F6150" s="9"/>
      <c r="G6150" s="9"/>
      <c r="H6150" s="9"/>
      <c r="I6150" s="9"/>
    </row>
    <row r="6151" spans="1:9" ht="14.25" customHeight="1" x14ac:dyDescent="0.3">
      <c r="A6151" s="10"/>
      <c r="C6151" s="8"/>
      <c r="D6151" s="9"/>
      <c r="E6151" s="9"/>
      <c r="F6151" s="9"/>
      <c r="G6151" s="9"/>
      <c r="H6151" s="9"/>
      <c r="I6151" s="9"/>
    </row>
    <row r="6152" spans="1:9" ht="14.25" customHeight="1" x14ac:dyDescent="0.3">
      <c r="A6152" s="10"/>
      <c r="C6152" s="8"/>
      <c r="D6152" s="9"/>
      <c r="E6152" s="9"/>
      <c r="F6152" s="9"/>
      <c r="G6152" s="9"/>
      <c r="H6152" s="9"/>
      <c r="I6152" s="9"/>
    </row>
    <row r="6153" spans="1:9" ht="14.25" customHeight="1" x14ac:dyDescent="0.3">
      <c r="A6153" s="10"/>
      <c r="C6153" s="8"/>
      <c r="D6153" s="9"/>
      <c r="E6153" s="9"/>
      <c r="F6153" s="9"/>
      <c r="G6153" s="9"/>
      <c r="H6153" s="9"/>
      <c r="I6153" s="9"/>
    </row>
    <row r="6154" spans="1:9" ht="14.25" customHeight="1" x14ac:dyDescent="0.3">
      <c r="A6154" s="10"/>
      <c r="C6154" s="8"/>
      <c r="D6154" s="9"/>
      <c r="E6154" s="9"/>
      <c r="F6154" s="9"/>
      <c r="G6154" s="9"/>
      <c r="H6154" s="9"/>
      <c r="I6154" s="9"/>
    </row>
    <row r="6155" spans="1:9" ht="14.25" customHeight="1" x14ac:dyDescent="0.3">
      <c r="A6155" s="10"/>
      <c r="C6155" s="8"/>
      <c r="D6155" s="9"/>
      <c r="E6155" s="9"/>
      <c r="F6155" s="9"/>
      <c r="G6155" s="9"/>
      <c r="H6155" s="9"/>
      <c r="I6155" s="9"/>
    </row>
    <row r="6156" spans="1:9" ht="14.25" customHeight="1" x14ac:dyDescent="0.3">
      <c r="A6156" s="10"/>
      <c r="C6156" s="8"/>
      <c r="D6156" s="9"/>
      <c r="E6156" s="9"/>
      <c r="F6156" s="9"/>
      <c r="G6156" s="9"/>
      <c r="H6156" s="9"/>
      <c r="I6156" s="9"/>
    </row>
    <row r="6157" spans="1:9" ht="14.25" customHeight="1" x14ac:dyDescent="0.3">
      <c r="A6157" s="10"/>
      <c r="C6157" s="8"/>
      <c r="D6157" s="9"/>
      <c r="E6157" s="9"/>
      <c r="F6157" s="9"/>
      <c r="G6157" s="9"/>
      <c r="H6157" s="9"/>
      <c r="I6157" s="9"/>
    </row>
    <row r="6158" spans="1:9" ht="14.25" customHeight="1" x14ac:dyDescent="0.3">
      <c r="A6158" s="10"/>
      <c r="C6158" s="8"/>
      <c r="D6158" s="9"/>
      <c r="E6158" s="9"/>
      <c r="F6158" s="9"/>
      <c r="G6158" s="9"/>
      <c r="H6158" s="9"/>
      <c r="I6158" s="9"/>
    </row>
    <row r="6159" spans="1:9" ht="14.25" customHeight="1" x14ac:dyDescent="0.3">
      <c r="A6159" s="10"/>
      <c r="C6159" s="8"/>
      <c r="D6159" s="9"/>
      <c r="E6159" s="9"/>
      <c r="F6159" s="9"/>
      <c r="G6159" s="9"/>
      <c r="H6159" s="9"/>
      <c r="I6159" s="9"/>
    </row>
    <row r="6160" spans="1:9" ht="14.25" customHeight="1" x14ac:dyDescent="0.3">
      <c r="A6160" s="10"/>
      <c r="C6160" s="8"/>
      <c r="D6160" s="9"/>
      <c r="E6160" s="9"/>
      <c r="F6160" s="9"/>
      <c r="G6160" s="9"/>
      <c r="H6160" s="9"/>
      <c r="I6160" s="9"/>
    </row>
    <row r="6161" spans="1:9" ht="14.25" customHeight="1" x14ac:dyDescent="0.3">
      <c r="A6161" s="10"/>
      <c r="C6161" s="8"/>
      <c r="D6161" s="9"/>
      <c r="E6161" s="9"/>
      <c r="F6161" s="9"/>
      <c r="G6161" s="9"/>
      <c r="H6161" s="9"/>
      <c r="I6161" s="9"/>
    </row>
    <row r="6162" spans="1:9" ht="14.25" customHeight="1" x14ac:dyDescent="0.3">
      <c r="A6162" s="10"/>
      <c r="C6162" s="8"/>
      <c r="D6162" s="9"/>
      <c r="E6162" s="9"/>
      <c r="F6162" s="9"/>
      <c r="G6162" s="9"/>
      <c r="H6162" s="9"/>
      <c r="I6162" s="9"/>
    </row>
    <row r="6163" spans="1:9" ht="14.25" customHeight="1" x14ac:dyDescent="0.3">
      <c r="A6163" s="10"/>
      <c r="C6163" s="8"/>
      <c r="D6163" s="9"/>
      <c r="E6163" s="9"/>
      <c r="F6163" s="9"/>
      <c r="G6163" s="9"/>
      <c r="H6163" s="9"/>
      <c r="I6163" s="9"/>
    </row>
    <row r="6164" spans="1:9" ht="14.25" customHeight="1" x14ac:dyDescent="0.3">
      <c r="A6164" s="10"/>
      <c r="C6164" s="8"/>
      <c r="D6164" s="9"/>
      <c r="E6164" s="9"/>
      <c r="F6164" s="9"/>
      <c r="G6164" s="9"/>
      <c r="H6164" s="9"/>
      <c r="I6164" s="9"/>
    </row>
    <row r="6165" spans="1:9" ht="14.25" customHeight="1" x14ac:dyDescent="0.3">
      <c r="A6165" s="10"/>
      <c r="C6165" s="8"/>
      <c r="D6165" s="9"/>
      <c r="E6165" s="9"/>
      <c r="F6165" s="9"/>
      <c r="G6165" s="9"/>
      <c r="H6165" s="9"/>
      <c r="I6165" s="9"/>
    </row>
    <row r="6166" spans="1:9" ht="14.25" customHeight="1" x14ac:dyDescent="0.3">
      <c r="A6166" s="10"/>
      <c r="C6166" s="8"/>
      <c r="D6166" s="9"/>
      <c r="E6166" s="9"/>
      <c r="F6166" s="9"/>
      <c r="G6166" s="9"/>
      <c r="H6166" s="9"/>
      <c r="I6166" s="9"/>
    </row>
    <row r="6167" spans="1:9" ht="14.25" customHeight="1" x14ac:dyDescent="0.3">
      <c r="A6167" s="10"/>
      <c r="C6167" s="8"/>
      <c r="D6167" s="9"/>
      <c r="E6167" s="9"/>
      <c r="F6167" s="9"/>
      <c r="G6167" s="9"/>
      <c r="H6167" s="9"/>
      <c r="I6167" s="9"/>
    </row>
    <row r="6168" spans="1:9" ht="14.25" customHeight="1" x14ac:dyDescent="0.3">
      <c r="A6168" s="10"/>
      <c r="C6168" s="8"/>
      <c r="D6168" s="9"/>
      <c r="E6168" s="9"/>
      <c r="F6168" s="9"/>
      <c r="G6168" s="9"/>
      <c r="H6168" s="9"/>
      <c r="I6168" s="9"/>
    </row>
    <row r="6169" spans="1:9" ht="14.25" customHeight="1" x14ac:dyDescent="0.3">
      <c r="A6169" s="10"/>
      <c r="C6169" s="8"/>
      <c r="D6169" s="9"/>
      <c r="E6169" s="9"/>
      <c r="F6169" s="9"/>
      <c r="G6169" s="9"/>
      <c r="H6169" s="9"/>
      <c r="I6169" s="9"/>
    </row>
    <row r="6170" spans="1:9" ht="14.25" customHeight="1" x14ac:dyDescent="0.3">
      <c r="A6170" s="10"/>
      <c r="C6170" s="8"/>
      <c r="D6170" s="9"/>
      <c r="E6170" s="9"/>
      <c r="F6170" s="9"/>
      <c r="G6170" s="9"/>
      <c r="H6170" s="9"/>
      <c r="I6170" s="9"/>
    </row>
    <row r="6171" spans="1:9" ht="14.25" customHeight="1" x14ac:dyDescent="0.3">
      <c r="A6171" s="10"/>
      <c r="C6171" s="8"/>
      <c r="D6171" s="9"/>
      <c r="E6171" s="9"/>
      <c r="F6171" s="9"/>
      <c r="G6171" s="9"/>
      <c r="H6171" s="9"/>
      <c r="I6171" s="9"/>
    </row>
    <row r="6172" spans="1:9" ht="14.25" customHeight="1" x14ac:dyDescent="0.3">
      <c r="A6172" s="10"/>
      <c r="C6172" s="8"/>
      <c r="D6172" s="9"/>
      <c r="E6172" s="9"/>
      <c r="F6172" s="9"/>
      <c r="G6172" s="9"/>
      <c r="H6172" s="9"/>
      <c r="I6172" s="9"/>
    </row>
    <row r="6173" spans="1:9" ht="14.25" customHeight="1" x14ac:dyDescent="0.3">
      <c r="A6173" s="10"/>
      <c r="C6173" s="8"/>
      <c r="D6173" s="9"/>
      <c r="E6173" s="9"/>
      <c r="F6173" s="9"/>
      <c r="G6173" s="9"/>
      <c r="H6173" s="9"/>
      <c r="I6173" s="9"/>
    </row>
    <row r="6174" spans="1:9" ht="14.25" customHeight="1" x14ac:dyDescent="0.3">
      <c r="A6174" s="10"/>
      <c r="C6174" s="8"/>
      <c r="D6174" s="9"/>
      <c r="E6174" s="9"/>
      <c r="F6174" s="9"/>
      <c r="G6174" s="9"/>
      <c r="H6174" s="9"/>
      <c r="I6174" s="9"/>
    </row>
    <row r="6175" spans="1:9" ht="14.25" customHeight="1" x14ac:dyDescent="0.3">
      <c r="A6175" s="10"/>
      <c r="C6175" s="8"/>
      <c r="D6175" s="9"/>
      <c r="E6175" s="9"/>
      <c r="F6175" s="9"/>
      <c r="G6175" s="9"/>
      <c r="H6175" s="9"/>
      <c r="I6175" s="9"/>
    </row>
    <row r="6176" spans="1:9" ht="14.25" customHeight="1" x14ac:dyDescent="0.3">
      <c r="A6176" s="10"/>
      <c r="C6176" s="8"/>
      <c r="D6176" s="9"/>
      <c r="E6176" s="9"/>
      <c r="F6176" s="9"/>
      <c r="G6176" s="9"/>
      <c r="H6176" s="9"/>
      <c r="I6176" s="9"/>
    </row>
    <row r="6177" spans="1:9" ht="14.25" customHeight="1" x14ac:dyDescent="0.3">
      <c r="A6177" s="10"/>
      <c r="C6177" s="8"/>
      <c r="D6177" s="9"/>
      <c r="E6177" s="9"/>
      <c r="F6177" s="9"/>
      <c r="G6177" s="9"/>
      <c r="H6177" s="9"/>
      <c r="I6177" s="9"/>
    </row>
    <row r="6178" spans="1:9" ht="14.25" customHeight="1" x14ac:dyDescent="0.3">
      <c r="A6178" s="10"/>
      <c r="C6178" s="8"/>
      <c r="D6178" s="9"/>
      <c r="E6178" s="9"/>
      <c r="F6178" s="9"/>
      <c r="G6178" s="9"/>
      <c r="H6178" s="9"/>
      <c r="I6178" s="9"/>
    </row>
    <row r="6179" spans="1:9" ht="14.25" customHeight="1" x14ac:dyDescent="0.3">
      <c r="A6179" s="10"/>
      <c r="C6179" s="8"/>
      <c r="D6179" s="9"/>
      <c r="E6179" s="9"/>
      <c r="F6179" s="9"/>
      <c r="G6179" s="9"/>
      <c r="H6179" s="9"/>
      <c r="I6179" s="9"/>
    </row>
    <row r="6180" spans="1:9" ht="14.25" customHeight="1" x14ac:dyDescent="0.3">
      <c r="A6180" s="10"/>
      <c r="C6180" s="8"/>
      <c r="D6180" s="9"/>
      <c r="E6180" s="9"/>
      <c r="F6180" s="9"/>
      <c r="G6180" s="9"/>
      <c r="H6180" s="9"/>
      <c r="I6180" s="9"/>
    </row>
    <row r="6181" spans="1:9" ht="14.25" customHeight="1" x14ac:dyDescent="0.3">
      <c r="A6181" s="10"/>
      <c r="C6181" s="8"/>
      <c r="D6181" s="9"/>
      <c r="E6181" s="9"/>
      <c r="F6181" s="9"/>
      <c r="G6181" s="9"/>
      <c r="H6181" s="9"/>
      <c r="I6181" s="9"/>
    </row>
    <row r="6182" spans="1:9" ht="14.25" customHeight="1" x14ac:dyDescent="0.3">
      <c r="A6182" s="10"/>
      <c r="C6182" s="8"/>
      <c r="D6182" s="9"/>
      <c r="E6182" s="9"/>
      <c r="F6182" s="9"/>
      <c r="G6182" s="9"/>
      <c r="H6182" s="9"/>
      <c r="I6182" s="9"/>
    </row>
    <row r="6183" spans="1:9" ht="14.25" customHeight="1" x14ac:dyDescent="0.3">
      <c r="A6183" s="10"/>
      <c r="C6183" s="8"/>
      <c r="D6183" s="9"/>
      <c r="E6183" s="9"/>
      <c r="F6183" s="9"/>
      <c r="G6183" s="9"/>
      <c r="H6183" s="9"/>
      <c r="I6183" s="9"/>
    </row>
    <row r="6184" spans="1:9" ht="14.25" customHeight="1" x14ac:dyDescent="0.3">
      <c r="A6184" s="10"/>
      <c r="C6184" s="8"/>
      <c r="D6184" s="9"/>
      <c r="E6184" s="9"/>
      <c r="F6184" s="9"/>
      <c r="G6184" s="9"/>
      <c r="H6184" s="9"/>
      <c r="I6184" s="9"/>
    </row>
    <row r="6185" spans="1:9" ht="14.25" customHeight="1" x14ac:dyDescent="0.3">
      <c r="A6185" s="10"/>
      <c r="C6185" s="8"/>
      <c r="D6185" s="9"/>
      <c r="E6185" s="9"/>
      <c r="F6185" s="9"/>
      <c r="G6185" s="9"/>
      <c r="H6185" s="9"/>
      <c r="I6185" s="9"/>
    </row>
    <row r="6186" spans="1:9" ht="14.25" customHeight="1" x14ac:dyDescent="0.3">
      <c r="A6186" s="10"/>
      <c r="C6186" s="8"/>
      <c r="D6186" s="9"/>
      <c r="E6186" s="9"/>
      <c r="F6186" s="9"/>
      <c r="G6186" s="9"/>
      <c r="H6186" s="9"/>
      <c r="I6186" s="9"/>
    </row>
    <row r="6187" spans="1:9" ht="14.25" customHeight="1" x14ac:dyDescent="0.3">
      <c r="A6187" s="10"/>
      <c r="C6187" s="8"/>
      <c r="D6187" s="9"/>
      <c r="E6187" s="9"/>
      <c r="F6187" s="9"/>
      <c r="G6187" s="9"/>
      <c r="H6187" s="9"/>
      <c r="I6187" s="9"/>
    </row>
    <row r="6188" spans="1:9" ht="14.25" customHeight="1" x14ac:dyDescent="0.3">
      <c r="A6188" s="10"/>
      <c r="C6188" s="8"/>
      <c r="D6188" s="9"/>
      <c r="E6188" s="9"/>
      <c r="F6188" s="9"/>
      <c r="G6188" s="9"/>
      <c r="H6188" s="9"/>
      <c r="I6188" s="9"/>
    </row>
    <row r="6189" spans="1:9" ht="14.25" customHeight="1" x14ac:dyDescent="0.3">
      <c r="A6189" s="10"/>
      <c r="C6189" s="8"/>
      <c r="D6189" s="9"/>
      <c r="E6189" s="9"/>
      <c r="F6189" s="9"/>
      <c r="G6189" s="9"/>
      <c r="H6189" s="9"/>
      <c r="I6189" s="9"/>
    </row>
    <row r="6190" spans="1:9" ht="14.25" customHeight="1" x14ac:dyDescent="0.3">
      <c r="A6190" s="10"/>
      <c r="C6190" s="8"/>
      <c r="D6190" s="9"/>
      <c r="E6190" s="9"/>
      <c r="F6190" s="9"/>
      <c r="G6190" s="9"/>
      <c r="H6190" s="9"/>
      <c r="I6190" s="9"/>
    </row>
    <row r="6191" spans="1:9" ht="14.25" customHeight="1" x14ac:dyDescent="0.3">
      <c r="A6191" s="10"/>
      <c r="C6191" s="8"/>
      <c r="D6191" s="9"/>
      <c r="E6191" s="9"/>
      <c r="F6191" s="9"/>
      <c r="G6191" s="9"/>
      <c r="H6191" s="9"/>
      <c r="I6191" s="9"/>
    </row>
    <row r="6192" spans="1:9" ht="14.25" customHeight="1" x14ac:dyDescent="0.3">
      <c r="A6192" s="10"/>
      <c r="C6192" s="8"/>
      <c r="D6192" s="9"/>
      <c r="E6192" s="9"/>
      <c r="F6192" s="9"/>
      <c r="G6192" s="9"/>
      <c r="H6192" s="9"/>
      <c r="I6192" s="9"/>
    </row>
    <row r="6193" spans="1:9" ht="14.25" customHeight="1" x14ac:dyDescent="0.3">
      <c r="A6193" s="10"/>
      <c r="C6193" s="8"/>
      <c r="D6193" s="9"/>
      <c r="E6193" s="9"/>
      <c r="F6193" s="9"/>
      <c r="G6193" s="9"/>
      <c r="H6193" s="9"/>
      <c r="I6193" s="9"/>
    </row>
    <row r="6194" spans="1:9" ht="14.25" customHeight="1" x14ac:dyDescent="0.3">
      <c r="A6194" s="10"/>
      <c r="C6194" s="8"/>
      <c r="D6194" s="9"/>
      <c r="E6194" s="9"/>
      <c r="F6194" s="9"/>
      <c r="G6194" s="9"/>
      <c r="H6194" s="9"/>
      <c r="I6194" s="9"/>
    </row>
    <row r="6195" spans="1:9" ht="14.25" customHeight="1" x14ac:dyDescent="0.3">
      <c r="A6195" s="10"/>
      <c r="C6195" s="8"/>
      <c r="D6195" s="9"/>
      <c r="E6195" s="9"/>
      <c r="F6195" s="9"/>
      <c r="G6195" s="9"/>
      <c r="H6195" s="9"/>
      <c r="I6195" s="9"/>
    </row>
    <row r="6196" spans="1:9" ht="14.25" customHeight="1" x14ac:dyDescent="0.3">
      <c r="A6196" s="10"/>
      <c r="C6196" s="8"/>
      <c r="D6196" s="9"/>
      <c r="E6196" s="9"/>
      <c r="F6196" s="9"/>
      <c r="G6196" s="9"/>
      <c r="H6196" s="9"/>
      <c r="I6196" s="9"/>
    </row>
    <row r="6197" spans="1:9" ht="14.25" customHeight="1" x14ac:dyDescent="0.3">
      <c r="A6197" s="10"/>
      <c r="C6197" s="8"/>
      <c r="D6197" s="9"/>
      <c r="E6197" s="9"/>
      <c r="F6197" s="9"/>
      <c r="G6197" s="9"/>
      <c r="H6197" s="9"/>
      <c r="I6197" s="9"/>
    </row>
    <row r="6198" spans="1:9" ht="14.25" customHeight="1" x14ac:dyDescent="0.3">
      <c r="A6198" s="10"/>
      <c r="C6198" s="8"/>
      <c r="D6198" s="9"/>
      <c r="E6198" s="9"/>
      <c r="F6198" s="9"/>
      <c r="G6198" s="9"/>
      <c r="H6198" s="9"/>
      <c r="I6198" s="9"/>
    </row>
    <row r="6199" spans="1:9" ht="14.25" customHeight="1" x14ac:dyDescent="0.3">
      <c r="A6199" s="10"/>
      <c r="C6199" s="8"/>
      <c r="D6199" s="9"/>
      <c r="E6199" s="9"/>
      <c r="F6199" s="9"/>
      <c r="G6199" s="9"/>
      <c r="H6199" s="9"/>
      <c r="I6199" s="9"/>
    </row>
    <row r="6200" spans="1:9" ht="14.25" customHeight="1" x14ac:dyDescent="0.3">
      <c r="A6200" s="10"/>
      <c r="C6200" s="8"/>
      <c r="D6200" s="9"/>
      <c r="E6200" s="9"/>
      <c r="F6200" s="9"/>
      <c r="G6200" s="9"/>
      <c r="H6200" s="9"/>
      <c r="I6200" s="9"/>
    </row>
    <row r="6201" spans="1:9" ht="14.25" customHeight="1" x14ac:dyDescent="0.3">
      <c r="A6201" s="10"/>
      <c r="C6201" s="8"/>
      <c r="D6201" s="9"/>
      <c r="E6201" s="9"/>
      <c r="F6201" s="9"/>
      <c r="G6201" s="9"/>
      <c r="H6201" s="9"/>
      <c r="I6201" s="9"/>
    </row>
    <row r="6202" spans="1:9" ht="14.25" customHeight="1" x14ac:dyDescent="0.3">
      <c r="A6202" s="10"/>
      <c r="C6202" s="8"/>
      <c r="D6202" s="9"/>
      <c r="E6202" s="9"/>
      <c r="F6202" s="9"/>
      <c r="G6202" s="9"/>
      <c r="H6202" s="9"/>
      <c r="I6202" s="9"/>
    </row>
    <row r="6203" spans="1:9" ht="14.25" customHeight="1" x14ac:dyDescent="0.3">
      <c r="A6203" s="10"/>
      <c r="C6203" s="8"/>
      <c r="D6203" s="9"/>
      <c r="E6203" s="9"/>
      <c r="F6203" s="9"/>
      <c r="G6203" s="9"/>
      <c r="H6203" s="9"/>
      <c r="I6203" s="9"/>
    </row>
    <row r="6204" spans="1:9" ht="14.25" customHeight="1" x14ac:dyDescent="0.3">
      <c r="A6204" s="10"/>
      <c r="C6204" s="8"/>
      <c r="D6204" s="9"/>
      <c r="E6204" s="9"/>
      <c r="F6204" s="9"/>
      <c r="G6204" s="9"/>
      <c r="H6204" s="9"/>
      <c r="I6204" s="9"/>
    </row>
    <row r="6205" spans="1:9" ht="14.25" customHeight="1" x14ac:dyDescent="0.3">
      <c r="A6205" s="10"/>
      <c r="C6205" s="8"/>
      <c r="D6205" s="9"/>
      <c r="E6205" s="9"/>
      <c r="F6205" s="9"/>
      <c r="G6205" s="9"/>
      <c r="H6205" s="9"/>
      <c r="I6205" s="9"/>
    </row>
    <row r="6206" spans="1:9" ht="14.25" customHeight="1" x14ac:dyDescent="0.3">
      <c r="A6206" s="10"/>
      <c r="C6206" s="8"/>
      <c r="D6206" s="9"/>
      <c r="E6206" s="9"/>
      <c r="F6206" s="9"/>
      <c r="G6206" s="9"/>
      <c r="H6206" s="9"/>
      <c r="I6206" s="9"/>
    </row>
    <row r="6207" spans="1:9" ht="14.25" customHeight="1" x14ac:dyDescent="0.3">
      <c r="A6207" s="10"/>
      <c r="C6207" s="8"/>
      <c r="D6207" s="9"/>
      <c r="E6207" s="9"/>
      <c r="F6207" s="9"/>
      <c r="G6207" s="9"/>
      <c r="H6207" s="9"/>
      <c r="I6207" s="9"/>
    </row>
    <row r="6208" spans="1:9" ht="14.25" customHeight="1" x14ac:dyDescent="0.3">
      <c r="A6208" s="10"/>
      <c r="C6208" s="8"/>
      <c r="D6208" s="9"/>
      <c r="E6208" s="9"/>
      <c r="F6208" s="9"/>
      <c r="G6208" s="9"/>
      <c r="H6208" s="9"/>
      <c r="I6208" s="9"/>
    </row>
    <row r="6209" spans="1:9" ht="14.25" customHeight="1" x14ac:dyDescent="0.3">
      <c r="A6209" s="10"/>
      <c r="C6209" s="8"/>
      <c r="D6209" s="9"/>
      <c r="E6209" s="9"/>
      <c r="F6209" s="9"/>
      <c r="G6209" s="9"/>
      <c r="H6209" s="9"/>
      <c r="I6209" s="9"/>
    </row>
    <row r="6210" spans="1:9" ht="14.25" customHeight="1" x14ac:dyDescent="0.3">
      <c r="A6210" s="10"/>
      <c r="C6210" s="8"/>
      <c r="D6210" s="9"/>
      <c r="E6210" s="9"/>
      <c r="F6210" s="9"/>
      <c r="G6210" s="9"/>
      <c r="H6210" s="9"/>
      <c r="I6210" s="9"/>
    </row>
    <row r="6211" spans="1:9" ht="14.25" customHeight="1" x14ac:dyDescent="0.3">
      <c r="A6211" s="10"/>
      <c r="C6211" s="8"/>
      <c r="D6211" s="9"/>
      <c r="E6211" s="9"/>
      <c r="F6211" s="9"/>
      <c r="G6211" s="9"/>
      <c r="H6211" s="9"/>
      <c r="I6211" s="9"/>
    </row>
    <row r="6212" spans="1:9" ht="14.25" customHeight="1" x14ac:dyDescent="0.3">
      <c r="A6212" s="10"/>
      <c r="C6212" s="8"/>
      <c r="D6212" s="9"/>
      <c r="E6212" s="9"/>
      <c r="F6212" s="9"/>
      <c r="G6212" s="9"/>
      <c r="H6212" s="9"/>
      <c r="I6212" s="9"/>
    </row>
    <row r="6213" spans="1:9" ht="14.25" customHeight="1" x14ac:dyDescent="0.3">
      <c r="A6213" s="10"/>
      <c r="C6213" s="8"/>
      <c r="D6213" s="9"/>
      <c r="E6213" s="9"/>
      <c r="F6213" s="9"/>
      <c r="G6213" s="9"/>
      <c r="H6213" s="9"/>
      <c r="I6213" s="9"/>
    </row>
    <row r="6214" spans="1:9" ht="14.25" customHeight="1" x14ac:dyDescent="0.3">
      <c r="A6214" s="10"/>
      <c r="C6214" s="8"/>
      <c r="D6214" s="9"/>
      <c r="E6214" s="9"/>
      <c r="F6214" s="9"/>
      <c r="G6214" s="9"/>
      <c r="H6214" s="9"/>
      <c r="I6214" s="9"/>
    </row>
    <row r="6215" spans="1:9" ht="14.25" customHeight="1" x14ac:dyDescent="0.3">
      <c r="A6215" s="10"/>
      <c r="C6215" s="8"/>
      <c r="D6215" s="9"/>
      <c r="E6215" s="9"/>
      <c r="F6215" s="9"/>
      <c r="G6215" s="9"/>
      <c r="H6215" s="9"/>
      <c r="I6215" s="9"/>
    </row>
    <row r="6216" spans="1:9" ht="14.25" customHeight="1" x14ac:dyDescent="0.3">
      <c r="A6216" s="10"/>
      <c r="C6216" s="8"/>
      <c r="D6216" s="9"/>
      <c r="E6216" s="9"/>
      <c r="F6216" s="9"/>
      <c r="G6216" s="9"/>
      <c r="H6216" s="9"/>
      <c r="I6216" s="9"/>
    </row>
    <row r="6217" spans="1:9" ht="14.25" customHeight="1" x14ac:dyDescent="0.3">
      <c r="A6217" s="10"/>
      <c r="C6217" s="8"/>
      <c r="D6217" s="9"/>
      <c r="E6217" s="9"/>
      <c r="F6217" s="9"/>
      <c r="G6217" s="9"/>
      <c r="H6217" s="9"/>
      <c r="I6217" s="9"/>
    </row>
    <row r="6218" spans="1:9" ht="14.25" customHeight="1" x14ac:dyDescent="0.3">
      <c r="A6218" s="10"/>
      <c r="C6218" s="8"/>
      <c r="D6218" s="9"/>
      <c r="E6218" s="9"/>
      <c r="F6218" s="9"/>
      <c r="G6218" s="9"/>
      <c r="H6218" s="9"/>
      <c r="I6218" s="9"/>
    </row>
    <row r="6219" spans="1:9" ht="14.25" customHeight="1" x14ac:dyDescent="0.3">
      <c r="A6219" s="10"/>
      <c r="C6219" s="8"/>
      <c r="D6219" s="9"/>
      <c r="E6219" s="9"/>
      <c r="F6219" s="9"/>
      <c r="G6219" s="9"/>
      <c r="H6219" s="9"/>
      <c r="I6219" s="9"/>
    </row>
    <row r="6220" spans="1:9" ht="14.25" customHeight="1" x14ac:dyDescent="0.3">
      <c r="A6220" s="10"/>
      <c r="C6220" s="8"/>
      <c r="D6220" s="9"/>
      <c r="E6220" s="9"/>
      <c r="F6220" s="9"/>
      <c r="G6220" s="9"/>
      <c r="H6220" s="9"/>
      <c r="I6220" s="9"/>
    </row>
    <row r="6221" spans="1:9" ht="14.25" customHeight="1" x14ac:dyDescent="0.3">
      <c r="A6221" s="10"/>
      <c r="C6221" s="8"/>
      <c r="D6221" s="9"/>
      <c r="E6221" s="9"/>
      <c r="F6221" s="9"/>
      <c r="G6221" s="9"/>
      <c r="H6221" s="9"/>
      <c r="I6221" s="9"/>
    </row>
    <row r="6222" spans="1:9" ht="14.25" customHeight="1" x14ac:dyDescent="0.3">
      <c r="A6222" s="10"/>
      <c r="C6222" s="8"/>
      <c r="D6222" s="9"/>
      <c r="E6222" s="9"/>
      <c r="F6222" s="9"/>
      <c r="G6222" s="9"/>
      <c r="H6222" s="9"/>
      <c r="I6222" s="9"/>
    </row>
    <row r="6223" spans="1:9" ht="14.25" customHeight="1" x14ac:dyDescent="0.3">
      <c r="A6223" s="10"/>
      <c r="C6223" s="8"/>
      <c r="D6223" s="9"/>
      <c r="E6223" s="9"/>
      <c r="F6223" s="9"/>
      <c r="G6223" s="9"/>
      <c r="H6223" s="9"/>
      <c r="I6223" s="9"/>
    </row>
    <row r="6224" spans="1:9" ht="14.25" customHeight="1" x14ac:dyDescent="0.3">
      <c r="A6224" s="10"/>
      <c r="C6224" s="8"/>
      <c r="D6224" s="9"/>
      <c r="E6224" s="9"/>
      <c r="F6224" s="9"/>
      <c r="G6224" s="9"/>
      <c r="H6224" s="9"/>
      <c r="I6224" s="9"/>
    </row>
    <row r="6225" spans="1:9" ht="14.25" customHeight="1" x14ac:dyDescent="0.3">
      <c r="A6225" s="10"/>
      <c r="C6225" s="8"/>
      <c r="D6225" s="9"/>
      <c r="E6225" s="9"/>
      <c r="F6225" s="9"/>
      <c r="G6225" s="9"/>
      <c r="H6225" s="9"/>
      <c r="I6225" s="9"/>
    </row>
    <row r="6226" spans="1:9" ht="14.25" customHeight="1" x14ac:dyDescent="0.3">
      <c r="A6226" s="10"/>
      <c r="C6226" s="8"/>
      <c r="D6226" s="9"/>
      <c r="E6226" s="9"/>
      <c r="F6226" s="9"/>
      <c r="G6226" s="9"/>
      <c r="H6226" s="9"/>
      <c r="I6226" s="9"/>
    </row>
    <row r="6227" spans="1:9" ht="14.25" customHeight="1" x14ac:dyDescent="0.3">
      <c r="A6227" s="10"/>
      <c r="C6227" s="8"/>
      <c r="D6227" s="9"/>
      <c r="E6227" s="9"/>
      <c r="F6227" s="9"/>
      <c r="G6227" s="9"/>
      <c r="H6227" s="9"/>
      <c r="I6227" s="9"/>
    </row>
    <row r="6228" spans="1:9" ht="14.25" customHeight="1" x14ac:dyDescent="0.3">
      <c r="A6228" s="10"/>
      <c r="C6228" s="8"/>
      <c r="D6228" s="9"/>
      <c r="E6228" s="9"/>
      <c r="F6228" s="9"/>
      <c r="G6228" s="9"/>
      <c r="H6228" s="9"/>
      <c r="I6228" s="9"/>
    </row>
    <row r="6229" spans="1:9" ht="14.25" customHeight="1" x14ac:dyDescent="0.3">
      <c r="A6229" s="10"/>
      <c r="C6229" s="8"/>
      <c r="D6229" s="9"/>
      <c r="E6229" s="9"/>
      <c r="F6229" s="9"/>
      <c r="G6229" s="9"/>
      <c r="H6229" s="9"/>
      <c r="I6229" s="9"/>
    </row>
    <row r="6230" spans="1:9" ht="14.25" customHeight="1" x14ac:dyDescent="0.3">
      <c r="A6230" s="10"/>
      <c r="C6230" s="8"/>
      <c r="D6230" s="9"/>
      <c r="E6230" s="9"/>
      <c r="F6230" s="9"/>
      <c r="G6230" s="9"/>
      <c r="H6230" s="9"/>
      <c r="I6230" s="9"/>
    </row>
    <row r="6231" spans="1:9" ht="14.25" customHeight="1" x14ac:dyDescent="0.3">
      <c r="A6231" s="10"/>
      <c r="C6231" s="8"/>
      <c r="D6231" s="9"/>
      <c r="E6231" s="9"/>
      <c r="F6231" s="9"/>
      <c r="G6231" s="9"/>
      <c r="H6231" s="9"/>
      <c r="I6231" s="9"/>
    </row>
    <row r="6232" spans="1:9" ht="14.25" customHeight="1" x14ac:dyDescent="0.3">
      <c r="A6232" s="10"/>
      <c r="C6232" s="8"/>
      <c r="D6232" s="9"/>
      <c r="E6232" s="9"/>
      <c r="F6232" s="9"/>
      <c r="G6232" s="9"/>
      <c r="H6232" s="9"/>
      <c r="I6232" s="9"/>
    </row>
    <row r="6233" spans="1:9" ht="14.25" customHeight="1" x14ac:dyDescent="0.3">
      <c r="A6233" s="10"/>
      <c r="C6233" s="8"/>
      <c r="D6233" s="9"/>
      <c r="E6233" s="9"/>
      <c r="F6233" s="9"/>
      <c r="G6233" s="9"/>
      <c r="H6233" s="9"/>
      <c r="I6233" s="9"/>
    </row>
    <row r="6234" spans="1:9" ht="14.25" customHeight="1" x14ac:dyDescent="0.3">
      <c r="A6234" s="10"/>
      <c r="C6234" s="8"/>
      <c r="D6234" s="9"/>
      <c r="E6234" s="9"/>
      <c r="F6234" s="9"/>
      <c r="G6234" s="9"/>
      <c r="H6234" s="9"/>
      <c r="I6234" s="9"/>
    </row>
    <row r="6235" spans="1:9" ht="14.25" customHeight="1" x14ac:dyDescent="0.3">
      <c r="A6235" s="10"/>
      <c r="C6235" s="8"/>
      <c r="D6235" s="9"/>
      <c r="E6235" s="9"/>
      <c r="F6235" s="9"/>
      <c r="G6235" s="9"/>
      <c r="H6235" s="9"/>
      <c r="I6235" s="9"/>
    </row>
    <row r="6236" spans="1:9" ht="14.25" customHeight="1" x14ac:dyDescent="0.3">
      <c r="A6236" s="10"/>
      <c r="C6236" s="8"/>
      <c r="D6236" s="9"/>
      <c r="E6236" s="9"/>
      <c r="F6236" s="9"/>
      <c r="G6236" s="9"/>
      <c r="H6236" s="9"/>
      <c r="I6236" s="9"/>
    </row>
    <row r="6237" spans="1:9" ht="14.25" customHeight="1" x14ac:dyDescent="0.3">
      <c r="A6237" s="10"/>
      <c r="C6237" s="8"/>
      <c r="D6237" s="9"/>
      <c r="E6237" s="9"/>
      <c r="F6237" s="9"/>
      <c r="G6237" s="9"/>
      <c r="H6237" s="9"/>
      <c r="I6237" s="9"/>
    </row>
    <row r="6238" spans="1:9" ht="14.25" customHeight="1" x14ac:dyDescent="0.3">
      <c r="A6238" s="10"/>
      <c r="C6238" s="8"/>
      <c r="D6238" s="9"/>
      <c r="E6238" s="9"/>
      <c r="F6238" s="9"/>
      <c r="G6238" s="9"/>
      <c r="H6238" s="9"/>
      <c r="I6238" s="9"/>
    </row>
    <row r="6239" spans="1:9" ht="14.25" customHeight="1" x14ac:dyDescent="0.3">
      <c r="A6239" s="10"/>
      <c r="C6239" s="8"/>
      <c r="D6239" s="9"/>
      <c r="E6239" s="9"/>
      <c r="F6239" s="9"/>
      <c r="G6239" s="9"/>
      <c r="H6239" s="9"/>
      <c r="I6239" s="9"/>
    </row>
    <row r="6240" spans="1:9" ht="14.25" customHeight="1" x14ac:dyDescent="0.3">
      <c r="A6240" s="10"/>
      <c r="C6240" s="8"/>
      <c r="D6240" s="9"/>
      <c r="E6240" s="9"/>
      <c r="F6240" s="9"/>
      <c r="G6240" s="9"/>
      <c r="H6240" s="9"/>
      <c r="I6240" s="9"/>
    </row>
    <row r="6241" spans="1:9" ht="14.25" customHeight="1" x14ac:dyDescent="0.3">
      <c r="A6241" s="10"/>
      <c r="C6241" s="8"/>
      <c r="D6241" s="9"/>
      <c r="E6241" s="9"/>
      <c r="F6241" s="9"/>
      <c r="G6241" s="9"/>
      <c r="H6241" s="9"/>
      <c r="I6241" s="9"/>
    </row>
    <row r="6242" spans="1:9" ht="14.25" customHeight="1" x14ac:dyDescent="0.3">
      <c r="A6242" s="10"/>
      <c r="C6242" s="8"/>
      <c r="D6242" s="9"/>
      <c r="E6242" s="9"/>
      <c r="F6242" s="9"/>
      <c r="G6242" s="9"/>
      <c r="H6242" s="9"/>
      <c r="I6242" s="9"/>
    </row>
    <row r="6243" spans="1:9" ht="14.25" customHeight="1" x14ac:dyDescent="0.3">
      <c r="A6243" s="10"/>
      <c r="C6243" s="8"/>
      <c r="D6243" s="9"/>
      <c r="E6243" s="9"/>
      <c r="F6243" s="9"/>
      <c r="G6243" s="9"/>
      <c r="H6243" s="9"/>
      <c r="I6243" s="9"/>
    </row>
    <row r="6244" spans="1:9" ht="14.25" customHeight="1" x14ac:dyDescent="0.3">
      <c r="A6244" s="10"/>
      <c r="C6244" s="8"/>
      <c r="D6244" s="9"/>
      <c r="E6244" s="9"/>
      <c r="F6244" s="9"/>
      <c r="G6244" s="9"/>
      <c r="H6244" s="9"/>
      <c r="I6244" s="9"/>
    </row>
    <row r="6245" spans="1:9" ht="14.25" customHeight="1" x14ac:dyDescent="0.3">
      <c r="A6245" s="10"/>
      <c r="C6245" s="8"/>
      <c r="D6245" s="9"/>
      <c r="E6245" s="9"/>
      <c r="F6245" s="9"/>
      <c r="G6245" s="9"/>
      <c r="H6245" s="9"/>
      <c r="I6245" s="9"/>
    </row>
    <row r="6246" spans="1:9" ht="14.25" customHeight="1" x14ac:dyDescent="0.3">
      <c r="A6246" s="10"/>
      <c r="C6246" s="8"/>
      <c r="D6246" s="9"/>
      <c r="E6246" s="9"/>
      <c r="F6246" s="9"/>
      <c r="G6246" s="9"/>
      <c r="H6246" s="9"/>
      <c r="I6246" s="9"/>
    </row>
    <row r="6247" spans="1:9" ht="14.25" customHeight="1" x14ac:dyDescent="0.3">
      <c r="A6247" s="10"/>
      <c r="C6247" s="8"/>
      <c r="D6247" s="9"/>
      <c r="E6247" s="9"/>
      <c r="F6247" s="9"/>
      <c r="G6247" s="9"/>
      <c r="H6247" s="9"/>
      <c r="I6247" s="9"/>
    </row>
    <row r="6248" spans="1:9" ht="14.25" customHeight="1" x14ac:dyDescent="0.3">
      <c r="A6248" s="10"/>
      <c r="C6248" s="8"/>
      <c r="D6248" s="9"/>
      <c r="E6248" s="9"/>
      <c r="F6248" s="9"/>
      <c r="G6248" s="9"/>
      <c r="H6248" s="9"/>
      <c r="I6248" s="9"/>
    </row>
    <row r="6249" spans="1:9" ht="14.25" customHeight="1" x14ac:dyDescent="0.3">
      <c r="A6249" s="10"/>
      <c r="C6249" s="8"/>
      <c r="D6249" s="9"/>
      <c r="E6249" s="9"/>
      <c r="F6249" s="9"/>
      <c r="G6249" s="9"/>
      <c r="H6249" s="9"/>
      <c r="I6249" s="9"/>
    </row>
    <row r="6250" spans="1:9" ht="14.25" customHeight="1" x14ac:dyDescent="0.3">
      <c r="A6250" s="10"/>
      <c r="C6250" s="8"/>
      <c r="D6250" s="9"/>
      <c r="E6250" s="9"/>
      <c r="F6250" s="9"/>
      <c r="G6250" s="9"/>
      <c r="H6250" s="9"/>
      <c r="I6250" s="9"/>
    </row>
    <row r="6251" spans="1:9" ht="14.25" customHeight="1" x14ac:dyDescent="0.3">
      <c r="A6251" s="10"/>
      <c r="C6251" s="8"/>
      <c r="D6251" s="9"/>
      <c r="E6251" s="9"/>
      <c r="F6251" s="9"/>
      <c r="G6251" s="9"/>
      <c r="H6251" s="9"/>
      <c r="I6251" s="9"/>
    </row>
    <row r="6252" spans="1:9" ht="14.25" customHeight="1" x14ac:dyDescent="0.3">
      <c r="A6252" s="10"/>
      <c r="C6252" s="8"/>
      <c r="D6252" s="9"/>
      <c r="E6252" s="9"/>
      <c r="F6252" s="9"/>
      <c r="G6252" s="9"/>
      <c r="H6252" s="9"/>
      <c r="I6252" s="9"/>
    </row>
    <row r="6253" spans="1:9" ht="14.25" customHeight="1" x14ac:dyDescent="0.3">
      <c r="A6253" s="10"/>
      <c r="C6253" s="8"/>
      <c r="D6253" s="9"/>
      <c r="E6253" s="9"/>
      <c r="F6253" s="9"/>
      <c r="G6253" s="9"/>
      <c r="H6253" s="9"/>
      <c r="I6253" s="9"/>
    </row>
    <row r="6254" spans="1:9" ht="14.25" customHeight="1" x14ac:dyDescent="0.3">
      <c r="A6254" s="10"/>
      <c r="C6254" s="8"/>
      <c r="D6254" s="9"/>
      <c r="E6254" s="9"/>
      <c r="F6254" s="9"/>
      <c r="G6254" s="9"/>
      <c r="H6254" s="9"/>
      <c r="I6254" s="9"/>
    </row>
    <row r="6255" spans="1:9" ht="14.25" customHeight="1" x14ac:dyDescent="0.3">
      <c r="A6255" s="10"/>
      <c r="C6255" s="8"/>
      <c r="D6255" s="9"/>
      <c r="E6255" s="9"/>
      <c r="F6255" s="9"/>
      <c r="G6255" s="9"/>
      <c r="H6255" s="9"/>
      <c r="I6255" s="9"/>
    </row>
    <row r="6256" spans="1:9" ht="14.25" customHeight="1" x14ac:dyDescent="0.3">
      <c r="A6256" s="10"/>
      <c r="C6256" s="8"/>
      <c r="D6256" s="9"/>
      <c r="E6256" s="9"/>
      <c r="F6256" s="9"/>
      <c r="G6256" s="9"/>
      <c r="H6256" s="9"/>
      <c r="I6256" s="9"/>
    </row>
    <row r="6257" spans="1:9" ht="14.25" customHeight="1" x14ac:dyDescent="0.3">
      <c r="A6257" s="10"/>
      <c r="C6257" s="8"/>
      <c r="D6257" s="9"/>
      <c r="E6257" s="9"/>
      <c r="F6257" s="9"/>
      <c r="G6257" s="9"/>
      <c r="H6257" s="9"/>
      <c r="I6257" s="9"/>
    </row>
    <row r="6258" spans="1:9" ht="14.25" customHeight="1" x14ac:dyDescent="0.3">
      <c r="A6258" s="10"/>
      <c r="C6258" s="8"/>
      <c r="D6258" s="9"/>
      <c r="E6258" s="9"/>
      <c r="F6258" s="9"/>
      <c r="G6258" s="9"/>
      <c r="H6258" s="9"/>
      <c r="I6258" s="9"/>
    </row>
    <row r="6259" spans="1:9" ht="14.25" customHeight="1" x14ac:dyDescent="0.3">
      <c r="A6259" s="10"/>
      <c r="C6259" s="8"/>
      <c r="D6259" s="9"/>
      <c r="E6259" s="9"/>
      <c r="F6259" s="9"/>
      <c r="G6259" s="9"/>
      <c r="H6259" s="9"/>
      <c r="I6259" s="9"/>
    </row>
    <row r="6260" spans="1:9" ht="14.25" customHeight="1" x14ac:dyDescent="0.3">
      <c r="A6260" s="10"/>
      <c r="C6260" s="8"/>
      <c r="D6260" s="9"/>
      <c r="E6260" s="9"/>
      <c r="F6260" s="9"/>
      <c r="G6260" s="9"/>
      <c r="H6260" s="9"/>
      <c r="I6260" s="9"/>
    </row>
    <row r="6261" spans="1:9" ht="14.25" customHeight="1" x14ac:dyDescent="0.3">
      <c r="A6261" s="10"/>
      <c r="C6261" s="8"/>
      <c r="D6261" s="9"/>
      <c r="E6261" s="9"/>
      <c r="F6261" s="9"/>
      <c r="G6261" s="9"/>
      <c r="H6261" s="9"/>
      <c r="I6261" s="9"/>
    </row>
    <row r="6262" spans="1:9" ht="14.25" customHeight="1" x14ac:dyDescent="0.3">
      <c r="A6262" s="10"/>
      <c r="C6262" s="8"/>
      <c r="D6262" s="9"/>
      <c r="E6262" s="9"/>
      <c r="F6262" s="9"/>
      <c r="G6262" s="9"/>
      <c r="H6262" s="9"/>
      <c r="I6262" s="9"/>
    </row>
    <row r="6263" spans="1:9" ht="14.25" customHeight="1" x14ac:dyDescent="0.3">
      <c r="A6263" s="10"/>
      <c r="C6263" s="8"/>
      <c r="D6263" s="9"/>
      <c r="E6263" s="9"/>
      <c r="F6263" s="9"/>
      <c r="G6263" s="9"/>
      <c r="H6263" s="9"/>
      <c r="I6263" s="9"/>
    </row>
    <row r="6264" spans="1:9" ht="14.25" customHeight="1" x14ac:dyDescent="0.3">
      <c r="A6264" s="10"/>
      <c r="C6264" s="8"/>
      <c r="D6264" s="9"/>
      <c r="E6264" s="9"/>
      <c r="F6264" s="9"/>
      <c r="G6264" s="9"/>
      <c r="H6264" s="9"/>
      <c r="I6264" s="9"/>
    </row>
    <row r="6265" spans="1:9" ht="14.25" customHeight="1" x14ac:dyDescent="0.3">
      <c r="A6265" s="10"/>
      <c r="C6265" s="8"/>
      <c r="D6265" s="9"/>
      <c r="E6265" s="9"/>
      <c r="F6265" s="9"/>
      <c r="G6265" s="9"/>
      <c r="H6265" s="9"/>
      <c r="I6265" s="9"/>
    </row>
    <row r="6266" spans="1:9" ht="14.25" customHeight="1" x14ac:dyDescent="0.3">
      <c r="A6266" s="10"/>
      <c r="C6266" s="8"/>
      <c r="D6266" s="9"/>
      <c r="E6266" s="9"/>
      <c r="F6266" s="9"/>
      <c r="G6266" s="9"/>
      <c r="H6266" s="9"/>
      <c r="I6266" s="9"/>
    </row>
    <row r="6267" spans="1:9" ht="14.25" customHeight="1" x14ac:dyDescent="0.3">
      <c r="A6267" s="10"/>
      <c r="C6267" s="8"/>
      <c r="D6267" s="9"/>
      <c r="E6267" s="9"/>
      <c r="F6267" s="9"/>
      <c r="G6267" s="9"/>
      <c r="H6267" s="9"/>
      <c r="I6267" s="9"/>
    </row>
    <row r="6268" spans="1:9" ht="14.25" customHeight="1" x14ac:dyDescent="0.3">
      <c r="A6268" s="10"/>
      <c r="C6268" s="8"/>
      <c r="D6268" s="9"/>
      <c r="E6268" s="9"/>
      <c r="F6268" s="9"/>
      <c r="G6268" s="9"/>
      <c r="H6268" s="9"/>
      <c r="I6268" s="9"/>
    </row>
    <row r="6269" spans="1:9" ht="14.25" customHeight="1" x14ac:dyDescent="0.3">
      <c r="A6269" s="10"/>
      <c r="C6269" s="8"/>
      <c r="D6269" s="9"/>
      <c r="E6269" s="9"/>
      <c r="F6269" s="9"/>
      <c r="G6269" s="9"/>
      <c r="H6269" s="9"/>
      <c r="I6269" s="9"/>
    </row>
    <row r="6270" spans="1:9" ht="14.25" customHeight="1" x14ac:dyDescent="0.3">
      <c r="A6270" s="10"/>
      <c r="C6270" s="8"/>
      <c r="D6270" s="9"/>
      <c r="E6270" s="9"/>
      <c r="F6270" s="9"/>
      <c r="G6270" s="9"/>
      <c r="H6270" s="9"/>
      <c r="I6270" s="9"/>
    </row>
    <row r="6271" spans="1:9" ht="14.25" customHeight="1" x14ac:dyDescent="0.3">
      <c r="A6271" s="10"/>
      <c r="C6271" s="8"/>
      <c r="D6271" s="9"/>
      <c r="E6271" s="9"/>
      <c r="F6271" s="9"/>
      <c r="G6271" s="9"/>
      <c r="H6271" s="9"/>
      <c r="I6271" s="9"/>
    </row>
    <row r="6272" spans="1:9" ht="14.25" customHeight="1" x14ac:dyDescent="0.3">
      <c r="A6272" s="10"/>
      <c r="C6272" s="8"/>
      <c r="D6272" s="9"/>
      <c r="E6272" s="9"/>
      <c r="F6272" s="9"/>
      <c r="G6272" s="9"/>
      <c r="H6272" s="9"/>
      <c r="I6272" s="9"/>
    </row>
    <row r="6273" spans="1:9" ht="14.25" customHeight="1" x14ac:dyDescent="0.3">
      <c r="A6273" s="10"/>
      <c r="C6273" s="8"/>
      <c r="D6273" s="9"/>
      <c r="E6273" s="9"/>
      <c r="F6273" s="9"/>
      <c r="G6273" s="9"/>
      <c r="H6273" s="9"/>
      <c r="I6273" s="9"/>
    </row>
    <row r="6274" spans="1:9" ht="14.25" customHeight="1" x14ac:dyDescent="0.3">
      <c r="A6274" s="10"/>
      <c r="C6274" s="8"/>
      <c r="D6274" s="9"/>
      <c r="E6274" s="9"/>
      <c r="F6274" s="9"/>
      <c r="G6274" s="9"/>
      <c r="H6274" s="9"/>
      <c r="I6274" s="9"/>
    </row>
    <row r="6275" spans="1:9" ht="14.25" customHeight="1" x14ac:dyDescent="0.3">
      <c r="A6275" s="10"/>
      <c r="C6275" s="8"/>
      <c r="D6275" s="9"/>
      <c r="E6275" s="9"/>
      <c r="F6275" s="9"/>
      <c r="G6275" s="9"/>
      <c r="H6275" s="9"/>
      <c r="I6275" s="9"/>
    </row>
    <row r="6276" spans="1:9" ht="14.25" customHeight="1" x14ac:dyDescent="0.3">
      <c r="A6276" s="10"/>
      <c r="C6276" s="8"/>
      <c r="D6276" s="9"/>
      <c r="E6276" s="9"/>
      <c r="F6276" s="9"/>
      <c r="G6276" s="9"/>
      <c r="H6276" s="9"/>
      <c r="I6276" s="9"/>
    </row>
    <row r="6277" spans="1:9" ht="14.25" customHeight="1" x14ac:dyDescent="0.3">
      <c r="A6277" s="10"/>
      <c r="C6277" s="8"/>
      <c r="D6277" s="9"/>
      <c r="E6277" s="9"/>
      <c r="F6277" s="9"/>
      <c r="G6277" s="9"/>
      <c r="H6277" s="9"/>
      <c r="I6277" s="9"/>
    </row>
    <row r="6278" spans="1:9" ht="14.25" customHeight="1" x14ac:dyDescent="0.3">
      <c r="A6278" s="10"/>
      <c r="C6278" s="8"/>
      <c r="D6278" s="9"/>
      <c r="E6278" s="9"/>
      <c r="F6278" s="9"/>
      <c r="G6278" s="9"/>
      <c r="H6278" s="9"/>
      <c r="I6278" s="9"/>
    </row>
    <row r="6279" spans="1:9" ht="14.25" customHeight="1" x14ac:dyDescent="0.3">
      <c r="A6279" s="10"/>
      <c r="C6279" s="8"/>
      <c r="D6279" s="9"/>
      <c r="E6279" s="9"/>
      <c r="F6279" s="9"/>
      <c r="G6279" s="9"/>
      <c r="H6279" s="9"/>
      <c r="I6279" s="9"/>
    </row>
    <row r="6280" spans="1:9" ht="14.25" customHeight="1" x14ac:dyDescent="0.3">
      <c r="A6280" s="10"/>
      <c r="C6280" s="8"/>
      <c r="D6280" s="9"/>
      <c r="E6280" s="9"/>
      <c r="F6280" s="9"/>
      <c r="G6280" s="9"/>
      <c r="H6280" s="9"/>
      <c r="I6280" s="9"/>
    </row>
    <row r="6281" spans="1:9" ht="14.25" customHeight="1" x14ac:dyDescent="0.3">
      <c r="A6281" s="10"/>
      <c r="C6281" s="8"/>
      <c r="D6281" s="9"/>
      <c r="E6281" s="9"/>
      <c r="F6281" s="9"/>
      <c r="G6281" s="9"/>
      <c r="H6281" s="9"/>
      <c r="I6281" s="9"/>
    </row>
    <row r="6282" spans="1:9" ht="14.25" customHeight="1" x14ac:dyDescent="0.3">
      <c r="A6282" s="10"/>
      <c r="C6282" s="8"/>
      <c r="D6282" s="9"/>
      <c r="E6282" s="9"/>
      <c r="F6282" s="9"/>
      <c r="G6282" s="9"/>
      <c r="H6282" s="9"/>
      <c r="I6282" s="9"/>
    </row>
    <row r="6283" spans="1:9" ht="14.25" customHeight="1" x14ac:dyDescent="0.3">
      <c r="A6283" s="10"/>
      <c r="C6283" s="8"/>
      <c r="D6283" s="9"/>
      <c r="E6283" s="9"/>
      <c r="F6283" s="9"/>
      <c r="G6283" s="9"/>
      <c r="H6283" s="9"/>
      <c r="I6283" s="9"/>
    </row>
    <row r="6284" spans="1:9" ht="14.25" customHeight="1" x14ac:dyDescent="0.3">
      <c r="A6284" s="10"/>
      <c r="C6284" s="8"/>
      <c r="D6284" s="9"/>
      <c r="E6284" s="9"/>
      <c r="F6284" s="9"/>
      <c r="G6284" s="9"/>
      <c r="H6284" s="9"/>
      <c r="I6284" s="9"/>
    </row>
    <row r="6285" spans="1:9" ht="14.25" customHeight="1" x14ac:dyDescent="0.3">
      <c r="A6285" s="10"/>
      <c r="C6285" s="8"/>
      <c r="D6285" s="9"/>
      <c r="E6285" s="9"/>
      <c r="F6285" s="9"/>
      <c r="G6285" s="9"/>
      <c r="H6285" s="9"/>
      <c r="I6285" s="9"/>
    </row>
    <row r="6286" spans="1:9" ht="14.25" customHeight="1" x14ac:dyDescent="0.3">
      <c r="A6286" s="10"/>
      <c r="C6286" s="8"/>
      <c r="D6286" s="9"/>
      <c r="E6286" s="9"/>
      <c r="F6286" s="9"/>
      <c r="G6286" s="9"/>
      <c r="H6286" s="9"/>
      <c r="I6286" s="9"/>
    </row>
    <row r="6287" spans="1:9" ht="14.25" customHeight="1" x14ac:dyDescent="0.3">
      <c r="A6287" s="10"/>
      <c r="C6287" s="8"/>
      <c r="D6287" s="9"/>
      <c r="E6287" s="9"/>
      <c r="F6287" s="9"/>
      <c r="G6287" s="9"/>
      <c r="H6287" s="9"/>
      <c r="I6287" s="9"/>
    </row>
    <row r="6288" spans="1:9" ht="14.25" customHeight="1" x14ac:dyDescent="0.3">
      <c r="A6288" s="10"/>
      <c r="C6288" s="8"/>
      <c r="D6288" s="9"/>
      <c r="E6288" s="9"/>
      <c r="F6288" s="9"/>
      <c r="G6288" s="9"/>
      <c r="H6288" s="9"/>
      <c r="I6288" s="9"/>
    </row>
    <row r="6289" spans="1:9" ht="14.25" customHeight="1" x14ac:dyDescent="0.3">
      <c r="A6289" s="10"/>
      <c r="C6289" s="8"/>
      <c r="D6289" s="9"/>
      <c r="E6289" s="9"/>
      <c r="F6289" s="9"/>
      <c r="G6289" s="9"/>
      <c r="H6289" s="9"/>
      <c r="I6289" s="9"/>
    </row>
    <row r="6290" spans="1:9" ht="14.25" customHeight="1" x14ac:dyDescent="0.3">
      <c r="A6290" s="10"/>
      <c r="C6290" s="8"/>
      <c r="D6290" s="9"/>
      <c r="E6290" s="9"/>
      <c r="F6290" s="9"/>
      <c r="G6290" s="9"/>
      <c r="H6290" s="9"/>
      <c r="I6290" s="9"/>
    </row>
    <row r="6291" spans="1:9" ht="14.25" customHeight="1" x14ac:dyDescent="0.3">
      <c r="A6291" s="10"/>
      <c r="C6291" s="8"/>
      <c r="D6291" s="9"/>
      <c r="E6291" s="9"/>
      <c r="F6291" s="9"/>
      <c r="G6291" s="9"/>
      <c r="H6291" s="9"/>
      <c r="I6291" s="9"/>
    </row>
    <row r="6292" spans="1:9" ht="14.25" customHeight="1" x14ac:dyDescent="0.3">
      <c r="A6292" s="10"/>
      <c r="C6292" s="8"/>
      <c r="D6292" s="9"/>
      <c r="E6292" s="9"/>
      <c r="F6292" s="9"/>
      <c r="G6292" s="9"/>
      <c r="H6292" s="9"/>
      <c r="I6292" s="9"/>
    </row>
    <row r="6293" spans="1:9" ht="14.25" customHeight="1" x14ac:dyDescent="0.3">
      <c r="A6293" s="10"/>
      <c r="C6293" s="8"/>
      <c r="D6293" s="9"/>
      <c r="E6293" s="9"/>
      <c r="F6293" s="9"/>
      <c r="G6293" s="9"/>
      <c r="H6293" s="9"/>
      <c r="I6293" s="9"/>
    </row>
    <row r="6294" spans="1:9" ht="14.25" customHeight="1" x14ac:dyDescent="0.3">
      <c r="A6294" s="10"/>
      <c r="C6294" s="8"/>
      <c r="D6294" s="9"/>
      <c r="E6294" s="9"/>
      <c r="F6294" s="9"/>
      <c r="G6294" s="9"/>
      <c r="H6294" s="9"/>
      <c r="I6294" s="9"/>
    </row>
    <row r="6295" spans="1:9" ht="14.25" customHeight="1" x14ac:dyDescent="0.3">
      <c r="A6295" s="10"/>
      <c r="C6295" s="8"/>
      <c r="D6295" s="9"/>
      <c r="E6295" s="9"/>
      <c r="F6295" s="9"/>
      <c r="G6295" s="9"/>
      <c r="H6295" s="9"/>
      <c r="I6295" s="9"/>
    </row>
    <row r="6296" spans="1:9" ht="14.25" customHeight="1" x14ac:dyDescent="0.3">
      <c r="A6296" s="10"/>
      <c r="C6296" s="8"/>
      <c r="D6296" s="9"/>
      <c r="E6296" s="9"/>
      <c r="F6296" s="9"/>
      <c r="G6296" s="9"/>
      <c r="H6296" s="9"/>
      <c r="I6296" s="9"/>
    </row>
    <row r="6297" spans="1:9" ht="14.25" customHeight="1" x14ac:dyDescent="0.3">
      <c r="A6297" s="10"/>
      <c r="C6297" s="8"/>
      <c r="D6297" s="9"/>
      <c r="E6297" s="9"/>
      <c r="F6297" s="9"/>
      <c r="G6297" s="9"/>
      <c r="H6297" s="9"/>
      <c r="I6297" s="9"/>
    </row>
    <row r="6298" spans="1:9" ht="14.25" customHeight="1" x14ac:dyDescent="0.3">
      <c r="A6298" s="10"/>
      <c r="C6298" s="8"/>
      <c r="D6298" s="9"/>
      <c r="E6298" s="9"/>
      <c r="F6298" s="9"/>
      <c r="G6298" s="9"/>
      <c r="H6298" s="9"/>
      <c r="I6298" s="9"/>
    </row>
    <row r="6299" spans="1:9" ht="14.25" customHeight="1" x14ac:dyDescent="0.3">
      <c r="A6299" s="10"/>
      <c r="C6299" s="8"/>
      <c r="D6299" s="9"/>
      <c r="E6299" s="9"/>
      <c r="F6299" s="9"/>
      <c r="G6299" s="9"/>
      <c r="H6299" s="9"/>
      <c r="I6299" s="9"/>
    </row>
    <row r="6300" spans="1:9" ht="14.25" customHeight="1" x14ac:dyDescent="0.3">
      <c r="A6300" s="10"/>
      <c r="C6300" s="8"/>
      <c r="D6300" s="9"/>
      <c r="E6300" s="9"/>
      <c r="F6300" s="9"/>
      <c r="G6300" s="9"/>
      <c r="H6300" s="9"/>
      <c r="I6300" s="9"/>
    </row>
    <row r="6301" spans="1:9" ht="14.25" customHeight="1" x14ac:dyDescent="0.3">
      <c r="A6301" s="10"/>
      <c r="C6301" s="8"/>
      <c r="D6301" s="9"/>
      <c r="E6301" s="9"/>
      <c r="F6301" s="9"/>
      <c r="G6301" s="9"/>
      <c r="H6301" s="9"/>
      <c r="I6301" s="9"/>
    </row>
    <row r="6302" spans="1:9" ht="14.25" customHeight="1" x14ac:dyDescent="0.3">
      <c r="A6302" s="10"/>
      <c r="C6302" s="8"/>
      <c r="D6302" s="9"/>
      <c r="E6302" s="9"/>
      <c r="F6302" s="9"/>
      <c r="G6302" s="9"/>
      <c r="H6302" s="9"/>
      <c r="I6302" s="9"/>
    </row>
    <row r="6303" spans="1:9" ht="14.25" customHeight="1" x14ac:dyDescent="0.3">
      <c r="A6303" s="10"/>
      <c r="C6303" s="8"/>
      <c r="D6303" s="9"/>
      <c r="E6303" s="9"/>
      <c r="F6303" s="9"/>
      <c r="G6303" s="9"/>
      <c r="H6303" s="9"/>
      <c r="I6303" s="9"/>
    </row>
    <row r="6304" spans="1:9" ht="14.25" customHeight="1" x14ac:dyDescent="0.3">
      <c r="A6304" s="10"/>
      <c r="C6304" s="8"/>
      <c r="D6304" s="9"/>
      <c r="E6304" s="9"/>
      <c r="F6304" s="9"/>
      <c r="G6304" s="9"/>
      <c r="H6304" s="9"/>
      <c r="I6304" s="9"/>
    </row>
    <row r="6305" spans="1:9" ht="14.25" customHeight="1" x14ac:dyDescent="0.3">
      <c r="A6305" s="10"/>
      <c r="C6305" s="8"/>
      <c r="D6305" s="9"/>
      <c r="E6305" s="9"/>
      <c r="F6305" s="9"/>
      <c r="G6305" s="9"/>
      <c r="H6305" s="9"/>
      <c r="I6305" s="9"/>
    </row>
  </sheetData>
  <hyperlinks>
    <hyperlink ref="E1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All Chart</vt:lpstr>
      <vt:lpstr>Recent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Asghar</dc:creator>
  <cp:lastModifiedBy>Prof. Dr. Zahid Asghar</cp:lastModifiedBy>
  <dcterms:created xsi:type="dcterms:W3CDTF">2024-01-12T13:46:36Z</dcterms:created>
  <dcterms:modified xsi:type="dcterms:W3CDTF">2024-01-12T13:46:37Z</dcterms:modified>
</cp:coreProperties>
</file>